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charts/chart4.xml" ContentType="application/vnd.openxmlformats-officedocument.drawingml.chart+xml"/>
  <Override PartName="/xl/drawings/drawing4.xml" ContentType="application/vnd.openxmlformats-officedocument.drawing+xml"/>
  <Override PartName="/xl/drawings/drawing5.xml" ContentType="application/vnd.openxmlformats-officedocument.drawing+xml"/>
  <Override PartName="/xl/charts/chart5.xml" ContentType="application/vnd.openxmlformats-officedocument.drawingml.chart+xml"/>
  <Override PartName="/xl/drawings/drawing6.xml" ContentType="application/vnd.openxmlformats-officedocument.drawing+xml"/>
  <Override PartName="/xl/drawings/drawing7.xml" ContentType="application/vnd.openxmlformats-officedocument.drawing+xml"/>
  <Override PartName="/xl/charts/chart6.xml" ContentType="application/vnd.openxmlformats-officedocument.drawingml.chart+xml"/>
  <Override PartName="/xl/charts/style4.xml" ContentType="application/vnd.ms-office.chartstyle+xml"/>
  <Override PartName="/xl/charts/colors4.xml" ContentType="application/vnd.ms-office.chartcolorstyle+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harts/chart7.xml" ContentType="application/vnd.openxmlformats-officedocument.drawingml.chart+xml"/>
  <Override PartName="/xl/charts/style5.xml" ContentType="application/vnd.ms-office.chartstyle+xml"/>
  <Override PartName="/xl/charts/colors5.xml" ContentType="application/vnd.ms-office.chartcolorstyle+xml"/>
  <Override PartName="/xl/charts/chart8.xml" ContentType="application/vnd.openxmlformats-officedocument.drawingml.chart+xml"/>
  <Override PartName="/xl/charts/style6.xml" ContentType="application/vnd.ms-office.chartstyle+xml"/>
  <Override PartName="/xl/charts/colors6.xml" ContentType="application/vnd.ms-office.chartcolorstyle+xml"/>
  <Override PartName="/xl/drawings/drawing12.xml" ContentType="application/vnd.openxmlformats-officedocument.drawing+xml"/>
  <Override PartName="/xl/charts/chart9.xml" ContentType="application/vnd.openxmlformats-officedocument.drawingml.chart+xml"/>
  <Override PartName="/xl/charts/style7.xml" ContentType="application/vnd.ms-office.chartstyle+xml"/>
  <Override PartName="/xl/charts/colors7.xml" ContentType="application/vnd.ms-office.chartcolorstyle+xml"/>
  <Override PartName="/xl/drawings/drawing13.xml" ContentType="application/vnd.openxmlformats-officedocument.drawing+xml"/>
  <Override PartName="/xl/ctrlProps/ctrlProp1.xml" ContentType="application/vnd.ms-excel.controlproperties+xml"/>
  <Override PartName="/xl/charts/chart10.xml" ContentType="application/vnd.openxmlformats-officedocument.drawingml.chart+xml"/>
  <Override PartName="/xl/charts/style8.xml" ContentType="application/vnd.ms-office.chartstyle+xml"/>
  <Override PartName="/xl/charts/colors8.xml" ContentType="application/vnd.ms-office.chartcolorstyle+xml"/>
  <Override PartName="/xl/charts/chart11.xml" ContentType="application/vnd.openxmlformats-officedocument.drawingml.chart+xml"/>
  <Override PartName="/xl/charts/style9.xml" ContentType="application/vnd.ms-office.chartstyle+xml"/>
  <Override PartName="/xl/charts/colors9.xml" ContentType="application/vnd.ms-office.chartcolorstyle+xml"/>
  <Override PartName="/xl/charts/chart12.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4.xml" ContentType="application/vnd.openxmlformats-officedocument.drawing+xml"/>
  <Override PartName="/xl/charts/chart13.xml" ContentType="application/vnd.openxmlformats-officedocument.drawingml.chart+xml"/>
  <Override PartName="/xl/charts/style11.xml" ContentType="application/vnd.ms-office.chartstyle+xml"/>
  <Override PartName="/xl/charts/colors11.xml" ContentType="application/vnd.ms-office.chartcolorstyle+xml"/>
  <Override PartName="/xl/charts/chart14.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5.xml" ContentType="application/vnd.openxmlformats-officedocument.drawing+xml"/>
  <Override PartName="/xl/charts/chart15.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codeName="EstaPastaDeTrabalho" defaultThemeVersion="166925"/>
  <mc:AlternateContent xmlns:mc="http://schemas.openxmlformats.org/markup-compatibility/2006">
    <mc:Choice Requires="x15">
      <x15ac:absPath xmlns:x15ac="http://schemas.microsoft.com/office/spreadsheetml/2010/11/ac" url="/Users/edujn/Desktop/Projeto Paineiras/Pasta Incorporadores-Construtores/"/>
    </mc:Choice>
  </mc:AlternateContent>
  <xr:revisionPtr revIDLastSave="0" documentId="13_ncr:1_{CC6DE08A-14C7-8A49-BD28-C12001DFA66E}" xr6:coauthVersionLast="47" xr6:coauthVersionMax="47" xr10:uidLastSave="{00000000-0000-0000-0000-000000000000}"/>
  <bookViews>
    <workbookView xWindow="0" yWindow="760" windowWidth="34560" windowHeight="19580" activeTab="8" xr2:uid="{CF397CAE-8701-4E4C-B0D9-5FABB1141220}"/>
  </bookViews>
  <sheets>
    <sheet name="Painel de Controle para SCP-Inv" sheetId="10" state="hidden" r:id="rId1"/>
    <sheet name="Fluxo de caixa" sheetId="11" state="hidden" r:id="rId2"/>
    <sheet name="Preco-de-Custo" sheetId="12" r:id="rId3"/>
    <sheet name="Inputs" sheetId="24" r:id="rId4"/>
    <sheet name="Fluxos_mensais" sheetId="25" r:id="rId5"/>
    <sheet name="Investimento_Casas" sheetId="27" r:id="rId6"/>
    <sheet name="Fluxo_de_Caixa Casas" sheetId="28" r:id="rId7"/>
    <sheet name="Permuta Funding" sheetId="58" r:id="rId8"/>
    <sheet name="Cidade Jardim III" sheetId="29" r:id="rId9"/>
    <sheet name="Quadro de Áreas" sheetId="54" state="hidden" r:id="rId10"/>
    <sheet name="Desembolso - LV" sheetId="55" r:id="rId11"/>
    <sheet name="FlCx_Invest_Mutuo - PROJETADO" sheetId="31" state="hidden" r:id="rId12"/>
    <sheet name="EVTE - Projetado" sheetId="30" state="hidden" r:id="rId13"/>
    <sheet name="EVTE - SEM PERMUTA FUNDING" sheetId="56" state="hidden" r:id="rId14"/>
    <sheet name="FlCx_Invest_Mutuo - SEM PERMUTA" sheetId="57" state="hidden" r:id="rId15"/>
    <sheet name="Projeto" sheetId="59" r:id="rId16"/>
    <sheet name="Dash_Viab" sheetId="60" state="hidden" r:id="rId17"/>
    <sheet name="Dash_Disp" sheetId="61" state="hidden" r:id="rId18"/>
    <sheet name="Dash_Proj" sheetId="62" state="hidden" r:id="rId19"/>
    <sheet name="Dash_Fin" sheetId="64" state="hidden" r:id="rId20"/>
    <sheet name="Dash_Cen" sheetId="63" state="hidden" r:id="rId21"/>
    <sheet name="Termos_de_Uso" sheetId="37" r:id="rId22"/>
  </sheets>
  <externalReferences>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s>
  <definedNames>
    <definedName name="__123Graph_A" hidden="1">[1]PRODUCAO!$C$11:$F$11</definedName>
    <definedName name="__123Graph_AANIDRO" hidden="1">[1]PRODUCAO!$C$4:$F$4</definedName>
    <definedName name="__123Graph_ACURRENT" hidden="1">'[2]CASH 2000'!#REF!</definedName>
    <definedName name="__123Graph_AHIALCOOL" hidden="1">[1]PRODUCAO!$C$8:$F$8</definedName>
    <definedName name="__123Graph_AHIDRATADO" hidden="1">[1]PRODUCAO!$C$6:$F$6</definedName>
    <definedName name="__123Graph_ASACAS" hidden="1">[1]PRODUCAO!$C$11:$F$11</definedName>
    <definedName name="__123Graph_AVEICULOS" hidden="1">[3]Graf_Segurança!$C$56:$C$67</definedName>
    <definedName name="__123Graph_B" hidden="1">[4]ABLS!#REF!</definedName>
    <definedName name="__123Graph_BCURRENT" hidden="1">'[2]CASH 2000'!#REF!</definedName>
    <definedName name="__123Graph_BVEICULOS" hidden="1">[3]Graf_Segurança!$H$56:$H$67</definedName>
    <definedName name="__123Graph_C" hidden="1">[4]ABLS!#REF!</definedName>
    <definedName name="__123Graph_CCURRENT" hidden="1">'[2]CASH 2000'!#REF!</definedName>
    <definedName name="__123Graph_CP1" hidden="1">[5]TMP_Aux!#REF!</definedName>
    <definedName name="__123Graph_CVEICULOS" hidden="1">[3]Graf_Segurança!$L$56:$L$67</definedName>
    <definedName name="__123Graph_D" hidden="1">[4]ABLS!#REF!</definedName>
    <definedName name="__123Graph_DCURRENT" hidden="1">'[2]CASH 2000'!#REF!</definedName>
    <definedName name="__123Graph_DVEICULOS" hidden="1">[3]Graf_Segurança!$N$56:$N$67</definedName>
    <definedName name="__123Graph_E" hidden="1">[4]ABLS!#REF!</definedName>
    <definedName name="__123Graph_ECURRENT" hidden="1">'[2]CASH 2000'!#REF!</definedName>
    <definedName name="__123Graph_EVEICULOS" hidden="1">[3]Graf_Segurança!$P$56:$P$67</definedName>
    <definedName name="__123Graph_F" hidden="1">[4]ABLS!#REF!</definedName>
    <definedName name="__123Graph_FCURRENT" hidden="1">'[2]CASH 2000'!#REF!</definedName>
    <definedName name="__123Graph_FVEICULOS" hidden="1">[3]Graf_Segurança!$R$56:$R$67</definedName>
    <definedName name="__123Graph_LBL_BP1" hidden="1">[5]TMP_Aux!#REF!</definedName>
    <definedName name="__123Graph_X" hidden="1">[1]PRODUCAO!$C$3:$F$3</definedName>
    <definedName name="__123Graph_XANIDRO" hidden="1">[1]PRODUCAO!$C$3:$F$3</definedName>
    <definedName name="__123Graph_XHIALCOOL" hidden="1">[1]PRODUCAO!$C$3:$F$3</definedName>
    <definedName name="__123Graph_XHIDRATADO" hidden="1">[1]PRODUCAO!$C$3:$F$3</definedName>
    <definedName name="__123Graph_XSACAS" hidden="1">[1]PRODUCAO!$C$3:$F$3</definedName>
    <definedName name="__123Graph_XVEICULOS" hidden="1">[3]Graf_Segurança!$A$56:$A$67</definedName>
    <definedName name="__DRE0700" hidden="1">{"'PXR_6500'!$A$1:$I$124"}</definedName>
    <definedName name="__FDS_HYPERLINK_TOGGLE_STATE__" hidden="1">"ON"</definedName>
    <definedName name="_b2" hidden="1">{"PVGraph2",#N/A,FALSE,"PV Data"}</definedName>
    <definedName name="_bdm.ToolkitBookmark.9_29_2003_6_58_57_PM.edm" hidden="1">#REF!</definedName>
    <definedName name="_dem2" hidden="1">{"cash",#N/A,FALSE,"cash";"historico",#N/A,FALSE,"historico"}</definedName>
    <definedName name="_DRE0700" hidden="1">{"'PXR_6500'!$A$1:$I$124"}</definedName>
    <definedName name="_Fill" hidden="1">#REF!</definedName>
    <definedName name="_xlnm._FilterDatabase" localSheetId="10" hidden="1">'Desembolso - LV'!$A$4:$E$2342</definedName>
    <definedName name="_GSRATES_1" hidden="1">"CT30000119991103        "</definedName>
    <definedName name="_GSRATES_2" hidden="1">"CT30000119991202        "</definedName>
    <definedName name="_GSRATES_3" hidden="1">"CT30000119991128        "</definedName>
    <definedName name="_GSRATES_4" hidden="1">"CT30000119991128        "</definedName>
    <definedName name="_GSRATES_5" hidden="1">"CT30000119991209        "</definedName>
    <definedName name="_GSRATES_COUNT" hidden="1">2</definedName>
    <definedName name="_GSRATESR_1" hidden="1">#REF!</definedName>
    <definedName name="_GSRATESR_2" hidden="1">#REF!</definedName>
    <definedName name="_I2" hidden="1">{"PVGraph2",#N/A,FALSE,"PV Data"}</definedName>
    <definedName name="_I22" hidden="1">{"PVGraph2",#N/A,FALSE,"PV Data"}</definedName>
    <definedName name="_I3" hidden="1">{"PVGraph2",#N/A,FALSE,"PV Data"}</definedName>
    <definedName name="_II2" hidden="1">{"PVGraph2",#N/A,FALSE,"PV Data"}</definedName>
    <definedName name="_Key1" hidden="1">[6]Condir!#REF!</definedName>
    <definedName name="_Key2" hidden="1">#REF!</definedName>
    <definedName name="_Order1" hidden="1">255</definedName>
    <definedName name="_Order2" hidden="1">255</definedName>
    <definedName name="_Regression_Out" hidden="1">#REF!</definedName>
    <definedName name="_Regression_X" hidden="1">#REF!</definedName>
    <definedName name="_Regression_Y" hidden="1">#REF!</definedName>
    <definedName name="_Sort" hidden="1">[6]Condir!#REF!</definedName>
    <definedName name="_Table1_In1" hidden="1">#REF!</definedName>
    <definedName name="_Table1_Out" hidden="1">#REF!</definedName>
    <definedName name="_Table2_In1" hidden="1">#REF!</definedName>
    <definedName name="_Table2_In2" hidden="1">#REF!</definedName>
    <definedName name="_Table2_Out" hidden="1">#REF!</definedName>
    <definedName name="_Table3_In2" hidden="1">#REF!</definedName>
    <definedName name="_w1" hidden="1">{"PVGraph2",#N/A,FALSE,"PV Data"}</definedName>
    <definedName name="_w12" hidden="1">{"PVGraph2",#N/A,FALSE,"PV Data"}</definedName>
    <definedName name="_w2" hidden="1">{"PVGraph2",#N/A,FALSE,"PV Data"}</definedName>
    <definedName name="_w3" hidden="1">{"PVGraph2",#N/A,FALSE,"PV Data"}</definedName>
    <definedName name="_w9" hidden="1">{"PVGraph2",#N/A,FALSE,"PV Data"}</definedName>
    <definedName name="_x2" hidden="1">{"PVGraph2",#N/A,FALSE,"PV Data"}</definedName>
    <definedName name="_y2" hidden="1">{"PVGraph2",#N/A,FALSE,"PV Data"}</definedName>
    <definedName name="_y22" hidden="1">{"PVGraph2",#N/A,FALSE,"PV Data"}</definedName>
    <definedName name="a" hidden="1">{#N/A,"100% Success",TRUE,"Sales Forecast";#N/A,#N/A,TRUE,"Sheet2"}</definedName>
    <definedName name="AAA_DOCTOPS" hidden="1">"AAA_SET"</definedName>
    <definedName name="AAA_duser" hidden="1">"OFF"</definedName>
    <definedName name="aaaaaaaaaaaaaaaaaaaa" hidden="1">{#N/A,"10% Success",FALSE,"Sales Forecast";#N/A,#N/A,FALSE,"Sheet2"}</definedName>
    <definedName name="AAB_Addin5" hidden="1">"AAB_Description for addin 5,Description for addin 5,Description for addin 5,Description for addin 5,Description for addin 5,Description for addin 5"</definedName>
    <definedName name="AAB_GSPPG" hidden="1">"AAB_Goldman Sachs PPG Chart Utilities 1.0g"</definedName>
    <definedName name="abcdef" hidden="1">{"'PXR_6500'!$A$1:$I$124"}</definedName>
    <definedName name="ABN" hidden="1">{"'PXR_6500'!$A$1:$I$124"}</definedName>
    <definedName name="abr" hidden="1">{"VUSS",#N/A,TRUE,"VUS$";"VIPC",#N/A,TRUE,"VIPC";"RUSS",#N/A,TRUE,"RUS$";"RIPC",#N/A,TRUE,"RIPC";"RIPCM2",#N/A,TRUE,"R IPC-M2";"RENT",#N/A,TRUE,"RENT";"COND",#N/A,TRUE,"COND";"LFESC",#N/A,TRUE,"LFESC";"SHOPP",#N/A,TRUE,"SHOPP";"PESS",#N/A,TRUE,"PESS";"LFP",#N/A,TRUE,"LFP"}</definedName>
    <definedName name="AccessDatabase" hidden="1">"C:\Mis documentos\ACTIVOS.MDB"</definedName>
    <definedName name="ad" hidden="1">{#N/A,#N/A,FALSE,"TOC";#N/A,#N/A,FALSE,"ASS";#N/A,#N/A,FALSE,"CF";#N/A,#N/A,FALSE,"FUEL&amp;MTC"}</definedName>
    <definedName name="adrian" hidden="1">{#N/A,#N/A,FALSE,"TOC";#N/A,#N/A,FALSE,"ASS";#N/A,#N/A,FALSE,"CF";#N/A,#N/A,FALSE,"FUEL&amp;MTC"}</definedName>
    <definedName name="AEqC">#REF!</definedName>
    <definedName name="ALUG.VENCIDOSGER" hidden="1">{#N/A,#N/A,FALSE,"Vendas e Receitas";#N/A,#N/A,FALSE,"Veículos";#N/A,#N/A,FALSE,"Posição de atraso";#N/A,#N/A,FALSE,"Inadimplência";#N/A,#N/A,FALSE,"Alug.vencidos";#N/A,#N/A,FALSE,"vacancy";#N/A,#N/A,FALSE,"luvas";#N/A,#N/A,FALSE,"DespCond1";#N/A,#N/A,FALSE,"DespCond2-pg13";#N/A,#N/A,FALSE,"DespCond3 pg14"}</definedName>
    <definedName name="ALUGGEREN" hidden="1">{#N/A,#N/A,FALSE,"V-R-gr";#N/A,#N/A,FALSE,"Veículos -gr"}</definedName>
    <definedName name="Ano_1">Dash_Proj!$V$12:$X$42</definedName>
    <definedName name="Ano_11">Dash_Proj!$V$12:$V$42</definedName>
    <definedName name="Ano_2">Dash_Proj!$Y$12:$AA$42</definedName>
    <definedName name="Ano_22">Dash_Proj!$Y$12:$Y$42</definedName>
    <definedName name="Ano_3">Dash_Proj!$AB$12:$AD$42</definedName>
    <definedName name="Ano_33">Dash_Proj!$AB$12:$AB$42</definedName>
    <definedName name="Ano_4">Dash_Proj!$AE$12:$AG$42</definedName>
    <definedName name="Ano_44">Dash_Proj!$AE$12:$AE$42</definedName>
    <definedName name="Ano_5">Dash_Proj!$AH$12:$AJ$42</definedName>
    <definedName name="Ano_55">Dash_Proj!$AH$12:$AH$42</definedName>
    <definedName name="anscount" hidden="1">1</definedName>
    <definedName name="antonio" hidden="1">{#N/A,"70% Success",FALSE,"Sales Forecast";#N/A,#N/A,FALSE,"Sheet2"}</definedName>
    <definedName name="_xlnm.Print_Area" localSheetId="8">'Cidade Jardim III'!$A$1:$AL$65</definedName>
    <definedName name="_xlnm.Print_Area" localSheetId="20">Dash_Cen!$B$4:$R$17</definedName>
    <definedName name="_xlnm.Print_Area" localSheetId="17">Dash_Disp!$C$4:$M$13</definedName>
    <definedName name="_xlnm.Print_Area" localSheetId="19">Dash_Fin!$C$4:$M$13</definedName>
    <definedName name="_xlnm.Print_Area" localSheetId="18">Dash_Proj!$C$4:$N$15</definedName>
    <definedName name="_xlnm.Print_Area" localSheetId="16">Dash_Viab!$C$4:$Q$15</definedName>
    <definedName name="_xlnm.Print_Area" localSheetId="10">'Desembolso - LV'!$A$1:$P$33</definedName>
    <definedName name="_xlnm.Print_Area" localSheetId="12">'EVTE - Projetado'!$I$4:$Q$117</definedName>
    <definedName name="_xlnm.Print_Area" localSheetId="13">'EVTE - SEM PERMUTA FUNDING'!$I$4:$Q$106</definedName>
    <definedName name="_xlnm.Print_Area" localSheetId="11">'FlCx_Invest_Mutuo - PROJETADO'!$B$3:$AB$41</definedName>
    <definedName name="_xlnm.Print_Area" localSheetId="14">'FlCx_Invest_Mutuo - SEM PERMUTA'!$B$3:$AB$41</definedName>
    <definedName name="AS" hidden="1">{"'TG'!$A$1:$L$37"}</definedName>
    <definedName name="AS2DocOpenMode" hidden="1">"AS2DocumentEdit"</definedName>
    <definedName name="asdasdasd" hidden="1">{#N/A,"100% Success",TRUE,"Sales Forecast";#N/A,#N/A,TRUE,"Sheet2"}</definedName>
    <definedName name="asdf" hidden="1">{"cap_structure",#N/A,FALSE,"Graph-Mkt Cap";"price",#N/A,FALSE,"Graph-Price";"ebit",#N/A,FALSE,"Graph-EBITDA";"ebitda",#N/A,FALSE,"Graph-EBITDA"}</definedName>
    <definedName name="ausucua" hidden="1">{#N/A,#N/A,FALSE,"TOC";#N/A,#N/A,FALSE,"ASS";#N/A,#N/A,FALSE,"CF";#N/A,#N/A,FALSE,"FUEL&amp;MTC"}</definedName>
    <definedName name="aw"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b" hidden="1">{#N/A,"30% Success",TRUE,"Sales Forecast";#N/A,#N/A,TRUE,"Sheet2"}</definedName>
    <definedName name="balls" hidden="1">{#N/A,#N/A,TRUE,"CASH COND_B1";#N/A,#N/A,TRUE,"COMP DESP COND_B2_B3";#N/A,#N/A,TRUE,"11";#N/A,#N/A,TRUE,"12";#N/A,#N/A,TRUE,"13";#N/A,#N/A,TRUE,"14";#N/A,#N/A,TRUE,"15";#N/A,#N/A,TRUE,"16";#N/A,#N/A,TRUE,"19";#N/A,#N/A,TRUE,"21";#N/A,#N/A,TRUE,"22";#N/A,#N/A,TRUE,"23";#N/A,#N/A,TRUE,"24";#N/A,#N/A,TRUE,"27";#N/A,#N/A,TRUE,"IMOB COND_B5";#N/A,#N/A,TRUE,"B6";#N/A,#N/A,TRUE,"B7";#N/A,#N/A,TRUE,"QUADRO PESSOAL";#N/A,#N/A,TRUE,"ORG."}</definedName>
    <definedName name="belnew" hidden="1">{"IS",#N/A,FALSE,"IS";"RPTIS",#N/A,FALSE,"RPTIS";"STATS",#N/A,FALSE,"STATS";"CELL",#N/A,FALSE,"CELL";"BS",#N/A,FALSE,"BS"}</definedName>
    <definedName name="BG" hidden="1">{#N/A,#N/A,FALSE,"Vendas e Receitas";#N/A,#N/A,FALSE,"Veículos";#N/A,#N/A,FALSE,"Posição de atraso";#N/A,#N/A,FALSE,"Inadimplência";#N/A,#N/A,FALSE,"Alug.vencidos";#N/A,#N/A,FALSE,"vacancy";#N/A,#N/A,FALSE,"luvas";#N/A,#N/A,FALSE,"DespCond1";#N/A,#N/A,FALSE,"DespCond2-pg13";#N/A,#N/A,FALSE,"DespCond3 pg14"}</definedName>
    <definedName name="BLPH17" hidden="1">#REF!</definedName>
    <definedName name="BLPH18" hidden="1">#REF!</definedName>
    <definedName name="BLPH19" hidden="1">#REF!</definedName>
    <definedName name="BLPH20" hidden="1">#REF!</definedName>
    <definedName name="BLPH21" hidden="1">#REF!</definedName>
    <definedName name="BLPH22" hidden="1">#REF!</definedName>
    <definedName name="BLPH23" hidden="1">#REF!</definedName>
    <definedName name="BLPH24" hidden="1">#REF!</definedName>
    <definedName name="BLPH25" hidden="1">#REF!</definedName>
    <definedName name="BLPH26" hidden="1">#REF!</definedName>
    <definedName name="BLPH27" hidden="1">#REF!</definedName>
    <definedName name="BLPH28" hidden="1">#REF!</definedName>
    <definedName name="BLPR10020040303143550017" hidden="1">#REF!</definedName>
    <definedName name="BLPR10020040303143550017_1_1" hidden="1">#REF!</definedName>
    <definedName name="BLPR10120040303143550017" hidden="1">#REF!</definedName>
    <definedName name="BLPR10120040303143550017_1_1" hidden="1">#REF!</definedName>
    <definedName name="BLPR1020040303143540803" hidden="1">#REF!</definedName>
    <definedName name="BLPR1020040303143540803_1_3" hidden="1">#REF!</definedName>
    <definedName name="BLPR1020040303143540803_2_3" hidden="1">#REF!</definedName>
    <definedName name="BLPR1020040303143540803_3_3" hidden="1">#REF!</definedName>
    <definedName name="BLPR10220040303143550017" hidden="1">#REF!</definedName>
    <definedName name="BLPR10220040303143550017_1_1" hidden="1">#REF!</definedName>
    <definedName name="BLPR10320040303143550017" hidden="1">#REF!</definedName>
    <definedName name="BLPR10320040303143550017_1_1" hidden="1">#REF!</definedName>
    <definedName name="BLPR10420040303143550027" hidden="1">#REF!</definedName>
    <definedName name="BLPR10420040303143550027_1_1" hidden="1">#REF!</definedName>
    <definedName name="BLPR10520040303143550027" hidden="1">#REF!</definedName>
    <definedName name="BLPR10520040303143550027_1_1" hidden="1">#REF!</definedName>
    <definedName name="BLPR10620040303143550027" hidden="1">#REF!</definedName>
    <definedName name="BLPR10620040303143550027_1_1" hidden="1">#REF!</definedName>
    <definedName name="BLPR10720040303143550027" hidden="1">#REF!</definedName>
    <definedName name="BLPR10720040303143550027_1_1" hidden="1">#REF!</definedName>
    <definedName name="BLPR10820040303143550027" hidden="1">#REF!</definedName>
    <definedName name="BLPR10820040303143550027_1_1" hidden="1">#REF!</definedName>
    <definedName name="BLPR10920040303143550027" hidden="1">#REF!</definedName>
    <definedName name="BLPR10920040303143550027_1_1" hidden="1">#REF!</definedName>
    <definedName name="BLPR11020040303143550027" hidden="1">#REF!</definedName>
    <definedName name="BLPR11020040303143550027_1_1" hidden="1">#REF!</definedName>
    <definedName name="BLPR11120040303143550037" hidden="1">#REF!</definedName>
    <definedName name="BLPR11120040303143550037_1_1" hidden="1">#REF!</definedName>
    <definedName name="BLPR1120040303143540803" hidden="1">#REF!</definedName>
    <definedName name="BLPR1120040303143540803_1_3" hidden="1">#REF!</definedName>
    <definedName name="BLPR1120040303143540803_2_3" hidden="1">#REF!</definedName>
    <definedName name="BLPR1120040303143540803_3_3" hidden="1">#REF!</definedName>
    <definedName name="BLPR11220040303143550037" hidden="1">#REF!</definedName>
    <definedName name="BLPR11220040303143550037_1_1" hidden="1">#REF!</definedName>
    <definedName name="BLPR11320040303143550037" hidden="1">#REF!</definedName>
    <definedName name="BLPR11320040303143550037_1_1" hidden="1">#REF!</definedName>
    <definedName name="BLPR11420040303143550037" hidden="1">#REF!</definedName>
    <definedName name="BLPR11420040303143550037_1_1" hidden="1">#REF!</definedName>
    <definedName name="BLPR11520040303143550037" hidden="1">#REF!</definedName>
    <definedName name="BLPR11520040303143550037_1_1" hidden="1">#REF!</definedName>
    <definedName name="BLPR11620040303143550037" hidden="1">#REF!</definedName>
    <definedName name="BLPR11620040303143550037_1_1" hidden="1">#REF!</definedName>
    <definedName name="BLPR11720040303143550047" hidden="1">#REF!</definedName>
    <definedName name="BLPR11720040303143550047_1_1" hidden="1">#REF!</definedName>
    <definedName name="BLPR11820040303143550047" hidden="1">#REF!</definedName>
    <definedName name="BLPR11820040303143550047_1_1" hidden="1">#REF!</definedName>
    <definedName name="BLPR11920040303143550047" hidden="1">#REF!</definedName>
    <definedName name="BLPR11920040303143550047_1_1" hidden="1">#REF!</definedName>
    <definedName name="BLPR120040303143540763" hidden="1">#REF!</definedName>
    <definedName name="BLPR120040303143540763_1_3" hidden="1">#REF!</definedName>
    <definedName name="BLPR120040303143540763_2_3" hidden="1">#REF!</definedName>
    <definedName name="BLPR120040303143540763_3_3" hidden="1">#REF!</definedName>
    <definedName name="BLPR12020040303143550047" hidden="1">#REF!</definedName>
    <definedName name="BLPR12020040303143550047_1_1" hidden="1">#REF!</definedName>
    <definedName name="BLPR12120040303143550047" hidden="1">#REF!</definedName>
    <definedName name="BLPR12120040303143550047_1_1" hidden="1">#REF!</definedName>
    <definedName name="BLPR1220040303143540803" hidden="1">#REF!</definedName>
    <definedName name="BLPR1220040303143540803_1_3" hidden="1">#REF!</definedName>
    <definedName name="BLPR1220040303143540803_2_3" hidden="1">#REF!</definedName>
    <definedName name="BLPR1220040303143540803_3_3" hidden="1">#REF!</definedName>
    <definedName name="BLPR12220040303143550047" hidden="1">#REF!</definedName>
    <definedName name="BLPR12220040303143550047_1_1" hidden="1">#REF!</definedName>
    <definedName name="BLPR12320040303143550047" hidden="1">#REF!</definedName>
    <definedName name="BLPR12320040303143550047_1_1" hidden="1">#REF!</definedName>
    <definedName name="BLPR12420040303143550057" hidden="1">#REF!</definedName>
    <definedName name="BLPR12420040303143550057_1_1" hidden="1">#REF!</definedName>
    <definedName name="BLPR12520040303143550057" hidden="1">#REF!</definedName>
    <definedName name="BLPR12520040303143550057_1_1" hidden="1">#REF!</definedName>
    <definedName name="BLPR12620040303143550057" hidden="1">#REF!</definedName>
    <definedName name="BLPR12620040303143550057_1_1" hidden="1">#REF!</definedName>
    <definedName name="BLPR12720040303143550057" hidden="1">#REF!</definedName>
    <definedName name="BLPR12720040303143550057_1_1" hidden="1">#REF!</definedName>
    <definedName name="BLPR12820040303143550057" hidden="1">#REF!</definedName>
    <definedName name="BLPR12820040303143550057_1_1" hidden="1">#REF!</definedName>
    <definedName name="BLPR12920040303143550057" hidden="1">#REF!</definedName>
    <definedName name="BLPR12920040303143550057_1_1" hidden="1">#REF!</definedName>
    <definedName name="BLPR13020040303143550067" hidden="1">#REF!</definedName>
    <definedName name="BLPR13020040303143550067_1_1" hidden="1">#REF!</definedName>
    <definedName name="BLPR13120040303143550067" hidden="1">#REF!</definedName>
    <definedName name="BLPR13120040303143550067_1_1" hidden="1">#REF!</definedName>
    <definedName name="BLPR1320040303143540813" hidden="1">#REF!</definedName>
    <definedName name="BLPR1320040303143540813_1_3" hidden="1">#REF!</definedName>
    <definedName name="BLPR1320040303143540813_2_3" hidden="1">#REF!</definedName>
    <definedName name="BLPR1320040303143540813_3_3" hidden="1">#REF!</definedName>
    <definedName name="BLPR13220040303143550067" hidden="1">#REF!</definedName>
    <definedName name="BLPR13220040303143550067_1_1" hidden="1">#REF!</definedName>
    <definedName name="BLPR13320040303143550067" hidden="1">#REF!</definedName>
    <definedName name="BLPR13320040303143550067_1_1" hidden="1">#REF!</definedName>
    <definedName name="BLPR13420040303143550067" hidden="1">#REF!</definedName>
    <definedName name="BLPR13420040303143550067_1_1" hidden="1">#REF!</definedName>
    <definedName name="BLPR13520040303143550067" hidden="1">#REF!</definedName>
    <definedName name="BLPR13520040303143550067_1_1" hidden="1">#REF!</definedName>
    <definedName name="BLPR13620040303143550077" hidden="1">#REF!</definedName>
    <definedName name="BLPR13620040303143550077_1_1" hidden="1">#REF!</definedName>
    <definedName name="BLPR13720040303143550077" hidden="1">#REF!</definedName>
    <definedName name="BLPR13720040303143550077_1_1" hidden="1">#REF!</definedName>
    <definedName name="BLPR13820040303143550077" hidden="1">#REF!</definedName>
    <definedName name="BLPR13820040303143550077_1_1" hidden="1">#REF!</definedName>
    <definedName name="BLPR13920040303143550077" hidden="1">#REF!</definedName>
    <definedName name="BLPR13920040303143550077_1_1" hidden="1">#REF!</definedName>
    <definedName name="BLPR14020040303143550077" hidden="1">#REF!</definedName>
    <definedName name="BLPR14020040303143550077_1_1" hidden="1">#REF!</definedName>
    <definedName name="BLPR14120040303143550077" hidden="1">#REF!</definedName>
    <definedName name="BLPR14120040303143550077_1_1" hidden="1">#REF!</definedName>
    <definedName name="BLPR1420040303143540813" hidden="1">#REF!</definedName>
    <definedName name="BLPR1420040303143540813_1_3" hidden="1">#REF!</definedName>
    <definedName name="BLPR1420040303143540813_2_3" hidden="1">#REF!</definedName>
    <definedName name="BLPR1420040303143540813_3_3" hidden="1">#REF!</definedName>
    <definedName name="BLPR14220040303143550077" hidden="1">#REF!</definedName>
    <definedName name="BLPR14220040303143550077_1_1" hidden="1">#REF!</definedName>
    <definedName name="BLPR14320040303143550077" hidden="1">#REF!</definedName>
    <definedName name="BLPR14320040303143550077_1_1" hidden="1">#REF!</definedName>
    <definedName name="BLPR14420040303143550077" hidden="1">#REF!</definedName>
    <definedName name="BLPR14420040303143550077_1_1" hidden="1">#REF!</definedName>
    <definedName name="BLPR14520040303143550077" hidden="1">#REF!</definedName>
    <definedName name="BLPR14520040303143550077_1_1" hidden="1">#REF!</definedName>
    <definedName name="BLPR14620040303143550077" hidden="1">#REF!</definedName>
    <definedName name="BLPR14620040303143550077_1_1" hidden="1">#REF!</definedName>
    <definedName name="BLPR14720040303143550077" hidden="1">#REF!</definedName>
    <definedName name="BLPR14720040303143550077_1_1" hidden="1">#REF!</definedName>
    <definedName name="BLPR14820040303143550077" hidden="1">#REF!</definedName>
    <definedName name="BLPR14820040303143550077_1_1" hidden="1">#REF!</definedName>
    <definedName name="BLPR14920040303143550077" hidden="1">#REF!</definedName>
    <definedName name="BLPR14920040303143550077_1_1" hidden="1">#REF!</definedName>
    <definedName name="BLPR15020040303143550087" hidden="1">#REF!</definedName>
    <definedName name="BLPR15020040303143550087_1_1" hidden="1">#REF!</definedName>
    <definedName name="BLPR15120040303143550087" hidden="1">#REF!</definedName>
    <definedName name="BLPR15120040303143550087_1_1" hidden="1">#REF!</definedName>
    <definedName name="BLPR1520040303143540813" hidden="1">#REF!</definedName>
    <definedName name="BLPR1520040303143540813_1_3" hidden="1">#REF!</definedName>
    <definedName name="BLPR1520040303143540813_2_3" hidden="1">#REF!</definedName>
    <definedName name="BLPR1520040303143540813_3_3" hidden="1">#REF!</definedName>
    <definedName name="BLPR15220040303143550087" hidden="1">#REF!</definedName>
    <definedName name="BLPR15220040303143550087_1_1" hidden="1">#REF!</definedName>
    <definedName name="BLPR15320040303143550087" hidden="1">#REF!</definedName>
    <definedName name="BLPR15320040303143550087_1_1" hidden="1">#REF!</definedName>
    <definedName name="BLPR15420040303143550087" hidden="1">#REF!</definedName>
    <definedName name="BLPR15420040303143550087_1_1" hidden="1">#REF!</definedName>
    <definedName name="BLPR15520040303143550207" hidden="1">#REF!</definedName>
    <definedName name="BLPR15520040303143550207_1_2" hidden="1">#REF!</definedName>
    <definedName name="BLPR15520040303143550207_2_2" hidden="1">#REF!</definedName>
    <definedName name="BLPR15620040303143550227" hidden="1">#REF!</definedName>
    <definedName name="BLPR15620040303143550227_1_2" hidden="1">#REF!</definedName>
    <definedName name="BLPR15620040303143550227_2_2" hidden="1">#REF!</definedName>
    <definedName name="BLPR15720040303143550237" hidden="1">#REF!</definedName>
    <definedName name="BLPR15720040303143550237_1_2" hidden="1">#REF!</definedName>
    <definedName name="BLPR15720040303143550237_2_2" hidden="1">#REF!</definedName>
    <definedName name="BLPR15820040303143550257" hidden="1">#REF!</definedName>
    <definedName name="BLPR15820040303143550257_1_2" hidden="1">#REF!</definedName>
    <definedName name="BLPR15820040303143550257_2_2" hidden="1">#REF!</definedName>
    <definedName name="BLPR15920040303143550267" hidden="1">#REF!</definedName>
    <definedName name="BLPR15920040303143550267_1_2" hidden="1">#REF!</definedName>
    <definedName name="BLPR15920040303143550267_2_2" hidden="1">#REF!</definedName>
    <definedName name="BLPR16020040303143550287" hidden="1">#REF!</definedName>
    <definedName name="BLPR16020040303143550287_1_2" hidden="1">#REF!</definedName>
    <definedName name="BLPR16020040303143550287_2_2" hidden="1">#REF!</definedName>
    <definedName name="BLPR16120040303143550297" hidden="1">#REF!</definedName>
    <definedName name="BLPR16120040303143550297_1_2" hidden="1">#REF!</definedName>
    <definedName name="BLPR16120040303143550297_2_2" hidden="1">#REF!</definedName>
    <definedName name="BLPR1620040303143540813" hidden="1">#REF!</definedName>
    <definedName name="BLPR1620040303143540813_1_3" hidden="1">#REF!</definedName>
    <definedName name="BLPR1620040303143540813_2_3" hidden="1">#REF!</definedName>
    <definedName name="BLPR1620040303143540813_3_3" hidden="1">#REF!</definedName>
    <definedName name="BLPR16220040303143550317" hidden="1">#REF!</definedName>
    <definedName name="BLPR16220040303143550317_1_2" hidden="1">#REF!</definedName>
    <definedName name="BLPR16220040303143550317_2_2" hidden="1">#REF!</definedName>
    <definedName name="BLPR16320040303143550327" hidden="1">#REF!</definedName>
    <definedName name="BLPR16320040303143550327_1_2" hidden="1">#REF!</definedName>
    <definedName name="BLPR16320040303143550327_2_2" hidden="1">#REF!</definedName>
    <definedName name="BLPR16420040303143550347" hidden="1">#REF!</definedName>
    <definedName name="BLPR16420040303143550347_1_2" hidden="1">#REF!</definedName>
    <definedName name="BLPR16420040303143550347_2_2" hidden="1">#REF!</definedName>
    <definedName name="BLPR16520040303143550357" hidden="1">#REF!</definedName>
    <definedName name="BLPR16520040303143550357_1_2" hidden="1">#REF!</definedName>
    <definedName name="BLPR16520040303143550357_2_2" hidden="1">#REF!</definedName>
    <definedName name="BLPR16620040303143550377" hidden="1">#REF!</definedName>
    <definedName name="BLPR16620040303143550377_1_2" hidden="1">#REF!</definedName>
    <definedName name="BLPR16620040303143550377_2_2" hidden="1">#REF!</definedName>
    <definedName name="BLPR16720040303143550397" hidden="1">#REF!</definedName>
    <definedName name="BLPR16720040303143550397_1_2" hidden="1">#REF!</definedName>
    <definedName name="BLPR16720040303143550397_2_2" hidden="1">#REF!</definedName>
    <definedName name="BLPR16820040303143550407" hidden="1">#REF!</definedName>
    <definedName name="BLPR16820040303143550407_1_2" hidden="1">#REF!</definedName>
    <definedName name="BLPR16820040303143550407_2_2" hidden="1">#REF!</definedName>
    <definedName name="BLPR16920040303143550427" hidden="1">#REF!</definedName>
    <definedName name="BLPR16920040303143550427_1_2" hidden="1">#REF!</definedName>
    <definedName name="BLPR16920040303143550427_2_2" hidden="1">#REF!</definedName>
    <definedName name="BLPR17020040303143550437" hidden="1">#REF!</definedName>
    <definedName name="BLPR17020040303143550437_1_2" hidden="1">#REF!</definedName>
    <definedName name="BLPR17020040303143550437_2_2" hidden="1">#REF!</definedName>
    <definedName name="BLPR17120040303143550457" hidden="1">#REF!</definedName>
    <definedName name="BLPR17120040303143550457_1_2" hidden="1">#REF!</definedName>
    <definedName name="BLPR17120040303143550457_2_2" hidden="1">#REF!</definedName>
    <definedName name="BLPR1720040303143540823" hidden="1">#REF!</definedName>
    <definedName name="BLPR1720040303143540823_1_3" hidden="1">#REF!</definedName>
    <definedName name="BLPR1720040303143540823_2_3" hidden="1">#REF!</definedName>
    <definedName name="BLPR1720040303143540823_3_3" hidden="1">#REF!</definedName>
    <definedName name="BLPR17220040303143550477" hidden="1">#REF!</definedName>
    <definedName name="BLPR17220040303143550477_1_2" hidden="1">#REF!</definedName>
    <definedName name="BLPR17220040303143550477_2_2" hidden="1">#REF!</definedName>
    <definedName name="BLPR17320040303143550487" hidden="1">#REF!</definedName>
    <definedName name="BLPR17320040303143550487_1_2" hidden="1">#REF!</definedName>
    <definedName name="BLPR17320040303143550487_2_2" hidden="1">#REF!</definedName>
    <definedName name="BLPR17420040303143550507" hidden="1">#REF!</definedName>
    <definedName name="BLPR17420040303143550507_1_2" hidden="1">#REF!</definedName>
    <definedName name="BLPR17420040303143550507_2_2" hidden="1">#REF!</definedName>
    <definedName name="BLPR17520040303143550527" hidden="1">#REF!</definedName>
    <definedName name="BLPR17520040303143550527_1_2" hidden="1">#REF!</definedName>
    <definedName name="BLPR17520040303143550527_2_2" hidden="1">#REF!</definedName>
    <definedName name="BLPR17620040303143550547" hidden="1">#REF!</definedName>
    <definedName name="BLPR17620040303143550547_1_2" hidden="1">#REF!</definedName>
    <definedName name="BLPR17620040303143550547_2_2" hidden="1">#REF!</definedName>
    <definedName name="BLPR17720040303143550557" hidden="1">#REF!</definedName>
    <definedName name="BLPR17720040303143550557_1_2" hidden="1">#REF!</definedName>
    <definedName name="BLPR17720040303143550557_2_2" hidden="1">#REF!</definedName>
    <definedName name="BLPR17820040303143550577" hidden="1">#REF!</definedName>
    <definedName name="BLPR17820040303143550577_1_2" hidden="1">#REF!</definedName>
    <definedName name="BLPR17820040303143550577_2_2" hidden="1">#REF!</definedName>
    <definedName name="BLPR17920040303143550597" hidden="1">#REF!</definedName>
    <definedName name="BLPR17920040303143550597_1_2" hidden="1">#REF!</definedName>
    <definedName name="BLPR17920040303143550597_2_2" hidden="1">#REF!</definedName>
    <definedName name="BLPR18020040303143550617" hidden="1">#REF!</definedName>
    <definedName name="BLPR18020040303143550617_1_2" hidden="1">#REF!</definedName>
    <definedName name="BLPR18020040303143550617_2_2" hidden="1">#REF!</definedName>
    <definedName name="BLPR18120040303143550637" hidden="1">#REF!</definedName>
    <definedName name="BLPR18120040303143550637_1_2" hidden="1">#REF!</definedName>
    <definedName name="BLPR18120040303143550637_2_2" hidden="1">#REF!</definedName>
    <definedName name="BLPR1820040303143540823" hidden="1">#REF!</definedName>
    <definedName name="BLPR1820040303143540823_1_3" hidden="1">#REF!</definedName>
    <definedName name="BLPR1820040303143540823_2_3" hidden="1">#REF!</definedName>
    <definedName name="BLPR1820040303143540823_3_3" hidden="1">#REF!</definedName>
    <definedName name="BLPR18220040303143550657" hidden="1">#REF!</definedName>
    <definedName name="BLPR18220040303143550657_1_2" hidden="1">#REF!</definedName>
    <definedName name="BLPR18220040303143550657_2_2" hidden="1">#REF!</definedName>
    <definedName name="BLPR18320040303143550678" hidden="1">#REF!</definedName>
    <definedName name="BLPR18320040303143550678_1_2" hidden="1">#REF!</definedName>
    <definedName name="BLPR18320040303143550678_2_2" hidden="1">#REF!</definedName>
    <definedName name="BLPR18420040303143550698" hidden="1">#REF!</definedName>
    <definedName name="BLPR18420040303143550698_1_2" hidden="1">#REF!</definedName>
    <definedName name="BLPR18420040303143550698_2_2" hidden="1">#REF!</definedName>
    <definedName name="BLPR18520040303143550718" hidden="1">#REF!</definedName>
    <definedName name="BLPR18520040303143550718_1_2" hidden="1">#REF!</definedName>
    <definedName name="BLPR18520040303143550718_2_2" hidden="1">#REF!</definedName>
    <definedName name="BLPR18620040303143550738" hidden="1">#REF!</definedName>
    <definedName name="BLPR18620040303143550738_1_2" hidden="1">#REF!</definedName>
    <definedName name="BLPR18620040303143550738_2_2" hidden="1">#REF!</definedName>
    <definedName name="BLPR18720040303143550758" hidden="1">#REF!</definedName>
    <definedName name="BLPR18720040303143550758_1_2" hidden="1">#REF!</definedName>
    <definedName name="BLPR18720040303143550758_2_2" hidden="1">#REF!</definedName>
    <definedName name="BLPR18820040303143550778" hidden="1">#REF!</definedName>
    <definedName name="BLPR18820040303143550778_1_2" hidden="1">#REF!</definedName>
    <definedName name="BLPR18820040303143550778_2_2" hidden="1">#REF!</definedName>
    <definedName name="BLPR18920040303143550798" hidden="1">#REF!</definedName>
    <definedName name="BLPR18920040303143550798_1_2" hidden="1">#REF!</definedName>
    <definedName name="BLPR18920040303143550798_2_2" hidden="1">#REF!</definedName>
    <definedName name="BLPR19020040303143550818" hidden="1">#REF!</definedName>
    <definedName name="BLPR19020040303143550818_1_2" hidden="1">#REF!</definedName>
    <definedName name="BLPR19020040303143550818_2_2" hidden="1">#REF!</definedName>
    <definedName name="BLPR19120040303143550838" hidden="1">#REF!</definedName>
    <definedName name="BLPR19120040303143550838_1_2" hidden="1">#REF!</definedName>
    <definedName name="BLPR19120040303143550838_2_2" hidden="1">#REF!</definedName>
    <definedName name="BLPR1920040303143540823" hidden="1">#REF!</definedName>
    <definedName name="BLPR1920040303143540823_1_3" hidden="1">#REF!</definedName>
    <definedName name="BLPR1920040303143540823_2_3" hidden="1">#REF!</definedName>
    <definedName name="BLPR1920040303143540823_3_3" hidden="1">#REF!</definedName>
    <definedName name="BLPR19220040303143550858" hidden="1">#REF!</definedName>
    <definedName name="BLPR19220040303143550858_1_2" hidden="1">#REF!</definedName>
    <definedName name="BLPR19220040303143550858_2_2" hidden="1">#REF!</definedName>
    <definedName name="BLPR19320040303143550878" hidden="1">#REF!</definedName>
    <definedName name="BLPR19320040303143550878_1_2" hidden="1">#REF!</definedName>
    <definedName name="BLPR19320040303143550878_2_2" hidden="1">#REF!</definedName>
    <definedName name="BLPR19420040303143550898" hidden="1">#REF!</definedName>
    <definedName name="BLPR19420040303143550898_1_2" hidden="1">#REF!</definedName>
    <definedName name="BLPR19420040303143550898_2_2" hidden="1">#REF!</definedName>
    <definedName name="BLPR19520040303143550928" hidden="1">#REF!</definedName>
    <definedName name="BLPR19520040303143550928_1_2" hidden="1">#REF!</definedName>
    <definedName name="BLPR19520040303143550928_2_2" hidden="1">#REF!</definedName>
    <definedName name="BLPR19620040303143550948" hidden="1">#REF!</definedName>
    <definedName name="BLPR19620040303143550948_1_2" hidden="1">#REF!</definedName>
    <definedName name="BLPR19620040303143550948_2_2" hidden="1">#REF!</definedName>
    <definedName name="BLPR19720040303143550968" hidden="1">#REF!</definedName>
    <definedName name="BLPR19720040303143550968_1_2" hidden="1">#REF!</definedName>
    <definedName name="BLPR19720040303143550968_2_2" hidden="1">#REF!</definedName>
    <definedName name="BLPR19820040303143550988" hidden="1">#REF!</definedName>
    <definedName name="BLPR19820040303143550988_1_2" hidden="1">#REF!</definedName>
    <definedName name="BLPR19820040303143550988_2_2" hidden="1">#REF!</definedName>
    <definedName name="BLPR19920040303143551999" hidden="1">#REF!</definedName>
    <definedName name="BLPR19920040303143551999_1_1" hidden="1">#REF!</definedName>
    <definedName name="BLPR20020040303143551999" hidden="1">#REF!</definedName>
    <definedName name="BLPR20020040303143551999_1_1" hidden="1">#REF!</definedName>
    <definedName name="BLPR20120040303143551999" hidden="1">#REF!</definedName>
    <definedName name="BLPR20120040303143551999_1_1" hidden="1">#REF!</definedName>
    <definedName name="BLPR2020040303143540823" hidden="1">#REF!</definedName>
    <definedName name="BLPR2020040303143540823_1_3" hidden="1">#REF!</definedName>
    <definedName name="BLPR2020040303143540823_2_3" hidden="1">#REF!</definedName>
    <definedName name="BLPR2020040303143540823_3_3" hidden="1">#REF!</definedName>
    <definedName name="BLPR20220040303143551999" hidden="1">#REF!</definedName>
    <definedName name="BLPR20220040303143551999_1_1" hidden="1">#REF!</definedName>
    <definedName name="BLPR20320040303143552009" hidden="1">#REF!</definedName>
    <definedName name="BLPR20320040303143552009_1_1" hidden="1">#REF!</definedName>
    <definedName name="BLPR20420040303143552009" hidden="1">#REF!</definedName>
    <definedName name="BLPR20420040303143552009_1_1" hidden="1">#REF!</definedName>
    <definedName name="BLPR20520040303143552009" hidden="1">#REF!</definedName>
    <definedName name="BLPR20520040303143552009_1_1" hidden="1">#REF!</definedName>
    <definedName name="BLPR20620040303143552009" hidden="1">#REF!</definedName>
    <definedName name="BLPR20620040303143552009_1_1" hidden="1">#REF!</definedName>
    <definedName name="BLPR20720040303143552009" hidden="1">#REF!</definedName>
    <definedName name="BLPR20720040303143552009_1_1" hidden="1">#REF!</definedName>
    <definedName name="BLPR20820040303143552009" hidden="1">#REF!</definedName>
    <definedName name="BLPR20820040303143552009_1_1" hidden="1">#REF!</definedName>
    <definedName name="BLPR20920040303143552009" hidden="1">#REF!</definedName>
    <definedName name="BLPR20920040303143552009_1_1" hidden="1">#REF!</definedName>
    <definedName name="BLPR21020040303143552009" hidden="1">#REF!</definedName>
    <definedName name="BLPR21020040303143552009_1_1" hidden="1">#REF!</definedName>
    <definedName name="BLPR21120040303143552009" hidden="1">#REF!</definedName>
    <definedName name="BLPR21120040303143552009_1_1" hidden="1">#REF!</definedName>
    <definedName name="BLPR2120040303143540823" hidden="1">#REF!</definedName>
    <definedName name="BLPR2120040303143540823_1_3" hidden="1">#REF!</definedName>
    <definedName name="BLPR2120040303143540823_2_3" hidden="1">#REF!</definedName>
    <definedName name="BLPR2120040303143540823_3_3" hidden="1">#REF!</definedName>
    <definedName name="BLPR21220040303143552009" hidden="1">#REF!</definedName>
    <definedName name="BLPR21220040303143552009_1_1" hidden="1">#REF!</definedName>
    <definedName name="BLPR21320040303143552009" hidden="1">#REF!</definedName>
    <definedName name="BLPR21320040303143552009_1_1" hidden="1">#REF!</definedName>
    <definedName name="BLPR21420040303143552019" hidden="1">#REF!</definedName>
    <definedName name="BLPR21420040303143552019_1_1" hidden="1">#REF!</definedName>
    <definedName name="BLPR21520040303143552080" hidden="1">#REF!</definedName>
    <definedName name="BLPR21520040303143552080_1_2" hidden="1">#REF!</definedName>
    <definedName name="BLPR21520040303143552080_2_2" hidden="1">#REF!</definedName>
    <definedName name="BLPR21620040303143552110" hidden="1">#REF!</definedName>
    <definedName name="BLPR21620040303143552110_1_2" hidden="1">#REF!</definedName>
    <definedName name="BLPR21620040303143552110_2_2" hidden="1">#REF!</definedName>
    <definedName name="BLPR21720040303143552130" hidden="1">#REF!</definedName>
    <definedName name="BLPR21720040303143552130_1_2" hidden="1">#REF!</definedName>
    <definedName name="BLPR21720040303143552130_2_2" hidden="1">#REF!</definedName>
    <definedName name="BLPR21820040303143552160" hidden="1">#REF!</definedName>
    <definedName name="BLPR21820040303143552160_1_2" hidden="1">#REF!</definedName>
    <definedName name="BLPR21820040303143552160_2_2" hidden="1">#REF!</definedName>
    <definedName name="BLPR21920040303143552180" hidden="1">#REF!</definedName>
    <definedName name="BLPR21920040303143552180_1_2" hidden="1">#REF!</definedName>
    <definedName name="BLPR21920040303143552180_2_2" hidden="1">#REF!</definedName>
    <definedName name="BLPR220040303143540773" hidden="1">#REF!</definedName>
    <definedName name="BLPR220040303143540773_1_3" hidden="1">#REF!</definedName>
    <definedName name="BLPR220040303143540773_2_3" hidden="1">#REF!</definedName>
    <definedName name="BLPR220040303143540773_3_3" hidden="1">#REF!</definedName>
    <definedName name="BLPR22020040303143552210" hidden="1">#REF!</definedName>
    <definedName name="BLPR22020040303143552210_1_2" hidden="1">#REF!</definedName>
    <definedName name="BLPR22020040303143552210_2_2" hidden="1">#REF!</definedName>
    <definedName name="BLPR22120040303143552230" hidden="1">#REF!</definedName>
    <definedName name="BLPR22120040303143552230_1_2" hidden="1">#REF!</definedName>
    <definedName name="BLPR22120040303143552230_2_2" hidden="1">#REF!</definedName>
    <definedName name="BLPR2220040303143540833" hidden="1">#REF!</definedName>
    <definedName name="BLPR2220040303143540833_1_3" hidden="1">#REF!</definedName>
    <definedName name="BLPR2220040303143540833_2_3" hidden="1">#REF!</definedName>
    <definedName name="BLPR2220040303143540833_3_3" hidden="1">#REF!</definedName>
    <definedName name="BLPR22220040303143552260" hidden="1">#REF!</definedName>
    <definedName name="BLPR22220040303143552260_1_2" hidden="1">#REF!</definedName>
    <definedName name="BLPR22220040303143552260_2_2" hidden="1">#REF!</definedName>
    <definedName name="BLPR2320040303143540833" hidden="1">#REF!</definedName>
    <definedName name="BLPR2320040303143540833_1_3" hidden="1">#REF!</definedName>
    <definedName name="BLPR2320040303143540833_2_3" hidden="1">#REF!</definedName>
    <definedName name="BLPR2320040303143540833_3_3" hidden="1">#REF!</definedName>
    <definedName name="BLPR2420040303143540833" hidden="1">#REF!</definedName>
    <definedName name="BLPR2420040303143540833_1_3" hidden="1">#REF!</definedName>
    <definedName name="BLPR2420040303143540833_2_3" hidden="1">#REF!</definedName>
    <definedName name="BLPR2420040303143540833_3_3" hidden="1">#REF!</definedName>
    <definedName name="BLPR2520040303143540833" hidden="1">#REF!</definedName>
    <definedName name="BLPR2520040303143540833_1_3" hidden="1">#REF!</definedName>
    <definedName name="BLPR2520040303143540833_2_3" hidden="1">#REF!</definedName>
    <definedName name="BLPR2520040303143540833_3_3" hidden="1">#REF!</definedName>
    <definedName name="BLPR2620040303143540833" hidden="1">#REF!</definedName>
    <definedName name="BLPR2620040303143540833_1_3" hidden="1">#REF!</definedName>
    <definedName name="BLPR2620040303143540833_2_3" hidden="1">#REF!</definedName>
    <definedName name="BLPR2620040303143540833_3_3" hidden="1">#REF!</definedName>
    <definedName name="BLPR2720040303143540843" hidden="1">#REF!</definedName>
    <definedName name="BLPR2720040303143540843_1_3" hidden="1">#REF!</definedName>
    <definedName name="BLPR2720040303143540843_2_3" hidden="1">#REF!</definedName>
    <definedName name="BLPR2720040303143540843_3_3" hidden="1">#REF!</definedName>
    <definedName name="BLPR2820040303143540843" hidden="1">#REF!</definedName>
    <definedName name="BLPR2820040303143540843_1_3" hidden="1">#REF!</definedName>
    <definedName name="BLPR2820040303143540843_2_3" hidden="1">#REF!</definedName>
    <definedName name="BLPR2820040303143540843_3_3" hidden="1">#REF!</definedName>
    <definedName name="BLPR2920040303143540843" hidden="1">#REF!</definedName>
    <definedName name="BLPR2920040303143540843_1_3" hidden="1">#REF!</definedName>
    <definedName name="BLPR2920040303143540843_2_3" hidden="1">#REF!</definedName>
    <definedName name="BLPR2920040303143540843_3_3" hidden="1">#REF!</definedName>
    <definedName name="BLPR3020040303143540843" hidden="1">#REF!</definedName>
    <definedName name="BLPR3020040303143540843_1_3" hidden="1">#REF!</definedName>
    <definedName name="BLPR3020040303143540843_2_3" hidden="1">#REF!</definedName>
    <definedName name="BLPR3020040303143540843_3_3" hidden="1">#REF!</definedName>
    <definedName name="BLPR3120040303143540853" hidden="1">#REF!</definedName>
    <definedName name="BLPR3120040303143540853_1_3" hidden="1">#REF!</definedName>
    <definedName name="BLPR3120040303143540853_2_3" hidden="1">#REF!</definedName>
    <definedName name="BLPR3120040303143540853_3_3" hidden="1">#REF!</definedName>
    <definedName name="BLPR320040303143540773" hidden="1">#REF!</definedName>
    <definedName name="BLPR320040303143540773_1_3" hidden="1">#REF!</definedName>
    <definedName name="BLPR320040303143540773_2_3" hidden="1">#REF!</definedName>
    <definedName name="BLPR320040303143540773_3_3" hidden="1">#REF!</definedName>
    <definedName name="BLPR3220040303143540853" hidden="1">#REF!</definedName>
    <definedName name="BLPR3220040303143540853_1_3" hidden="1">#REF!</definedName>
    <definedName name="BLPR3220040303143540853_2_3" hidden="1">#REF!</definedName>
    <definedName name="BLPR3220040303143540853_3_3" hidden="1">#REF!</definedName>
    <definedName name="BLPR3320040303143540853" hidden="1">#REF!</definedName>
    <definedName name="BLPR3320040303143540853_1_3" hidden="1">#REF!</definedName>
    <definedName name="BLPR3320040303143540853_2_3" hidden="1">#REF!</definedName>
    <definedName name="BLPR3320040303143540853_3_3" hidden="1">#REF!</definedName>
    <definedName name="BLPR3420040303143540853" hidden="1">#REF!</definedName>
    <definedName name="BLPR3420040303143540853_1_3" hidden="1">#REF!</definedName>
    <definedName name="BLPR3420040303143540853_2_3" hidden="1">#REF!</definedName>
    <definedName name="BLPR3420040303143540853_3_3" hidden="1">#REF!</definedName>
    <definedName name="BLPR3520040303143540853" hidden="1">#REF!</definedName>
    <definedName name="BLPR3520040303143540853_1_3" hidden="1">#REF!</definedName>
    <definedName name="BLPR3520040303143540853_2_3" hidden="1">#REF!</definedName>
    <definedName name="BLPR3520040303143540853_3_3" hidden="1">#REF!</definedName>
    <definedName name="BLPR3620040303143540863" hidden="1">#REF!</definedName>
    <definedName name="BLPR3620040303143540863_1_3" hidden="1">#REF!</definedName>
    <definedName name="BLPR3620040303143540863_2_3" hidden="1">#REF!</definedName>
    <definedName name="BLPR3620040303143540863_3_3" hidden="1">#REF!</definedName>
    <definedName name="BLPR3720040303143540863" hidden="1">#REF!</definedName>
    <definedName name="BLPR3720040303143540863_1_3" hidden="1">#REF!</definedName>
    <definedName name="BLPR3720040303143540863_2_3" hidden="1">#REF!</definedName>
    <definedName name="BLPR3720040303143540863_3_3" hidden="1">#REF!</definedName>
    <definedName name="BLPR3820040303143540863" hidden="1">#REF!</definedName>
    <definedName name="BLPR3820040303143540863_1_3" hidden="1">#REF!</definedName>
    <definedName name="BLPR3820040303143540863_2_3" hidden="1">#REF!</definedName>
    <definedName name="BLPR3820040303143540863_3_3" hidden="1">#REF!</definedName>
    <definedName name="BLPR3920040303143540863" hidden="1">#REF!</definedName>
    <definedName name="BLPR3920040303143540863_1_3" hidden="1">#REF!</definedName>
    <definedName name="BLPR3920040303143540863_2_3" hidden="1">#REF!</definedName>
    <definedName name="BLPR3920040303143540863_3_3" hidden="1">#REF!</definedName>
    <definedName name="BLPR4020040303143540873" hidden="1">#REF!</definedName>
    <definedName name="BLPR4020040303143540873_1_3" hidden="1">#REF!</definedName>
    <definedName name="BLPR4020040303143540873_2_3" hidden="1">#REF!</definedName>
    <definedName name="BLPR4020040303143540873_3_3" hidden="1">#REF!</definedName>
    <definedName name="BLPR4120040303143540873" hidden="1">#REF!</definedName>
    <definedName name="BLPR4120040303143540873_1_3" hidden="1">#REF!</definedName>
    <definedName name="BLPR4120040303143540873_2_3" hidden="1">#REF!</definedName>
    <definedName name="BLPR4120040303143540873_3_3" hidden="1">#REF!</definedName>
    <definedName name="BLPR420040303143540783" hidden="1">#REF!</definedName>
    <definedName name="BLPR420040303143540783_1_3" hidden="1">#REF!</definedName>
    <definedName name="BLPR420040303143540783_2_3" hidden="1">#REF!</definedName>
    <definedName name="BLPR420040303143540783_3_3" hidden="1">#REF!</definedName>
    <definedName name="BLPR4220040303143540873" hidden="1">#REF!</definedName>
    <definedName name="BLPR4220040303143540873_1_3" hidden="1">#REF!</definedName>
    <definedName name="BLPR4220040303143540873_2_3" hidden="1">#REF!</definedName>
    <definedName name="BLPR4220040303143540873_3_3" hidden="1">#REF!</definedName>
    <definedName name="BLPR4320040303143540873" hidden="1">#REF!</definedName>
    <definedName name="BLPR4320040303143540873_1_3" hidden="1">#REF!</definedName>
    <definedName name="BLPR4320040303143540873_2_3" hidden="1">#REF!</definedName>
    <definedName name="BLPR4320040303143540873_3_3" hidden="1">#REF!</definedName>
    <definedName name="BLPR4420040303143540883" hidden="1">#REF!</definedName>
    <definedName name="BLPR4420040303143540883_1_3" hidden="1">#REF!</definedName>
    <definedName name="BLPR4420040303143540883_2_3" hidden="1">#REF!</definedName>
    <definedName name="BLPR4420040303143540883_3_3" hidden="1">#REF!</definedName>
    <definedName name="BLPR4520040303143540883" hidden="1">#REF!</definedName>
    <definedName name="BLPR4520040303143540883_1_3" hidden="1">#REF!</definedName>
    <definedName name="BLPR4520040303143540883_2_3" hidden="1">#REF!</definedName>
    <definedName name="BLPR4520040303143540883_3_3" hidden="1">#REF!</definedName>
    <definedName name="BLPR4620040303143540883" hidden="1">#REF!</definedName>
    <definedName name="BLPR4620040303143540883_1_3" hidden="1">#REF!</definedName>
    <definedName name="BLPR4620040303143540883_2_3" hidden="1">#REF!</definedName>
    <definedName name="BLPR4620040303143540883_3_3" hidden="1">#REF!</definedName>
    <definedName name="BLPR4720040303143540893" hidden="1">#REF!</definedName>
    <definedName name="BLPR4720040303143540893_1_3" hidden="1">#REF!</definedName>
    <definedName name="BLPR4720040303143540893_2_3" hidden="1">#REF!</definedName>
    <definedName name="BLPR4720040303143540893_3_3" hidden="1">#REF!</definedName>
    <definedName name="BLPR4820040303143540893" hidden="1">#REF!</definedName>
    <definedName name="BLPR4820040303143540893_1_3" hidden="1">#REF!</definedName>
    <definedName name="BLPR4820040303143540893_2_3" hidden="1">#REF!</definedName>
    <definedName name="BLPR4820040303143540893_3_3" hidden="1">#REF!</definedName>
    <definedName name="BLPR4920040303143542085" hidden="1">#REF!</definedName>
    <definedName name="BLPR4920040303143542085_1_3" hidden="1">#REF!</definedName>
    <definedName name="BLPR4920040303143542085_2_3" hidden="1">#REF!</definedName>
    <definedName name="BLPR4920040303143542085_3_3" hidden="1">#REF!</definedName>
    <definedName name="BLPR5020040303143542085" hidden="1">#REF!</definedName>
    <definedName name="BLPR5020040303143542085_1_3" hidden="1">#REF!</definedName>
    <definedName name="BLPR5020040303143542085_2_3" hidden="1">#REF!</definedName>
    <definedName name="BLPR5020040303143542085_3_3" hidden="1">#REF!</definedName>
    <definedName name="BLPR5120040303143542095" hidden="1">#REF!</definedName>
    <definedName name="BLPR5120040303143542095_1_3" hidden="1">#REF!</definedName>
    <definedName name="BLPR5120040303143542095_2_3" hidden="1">#REF!</definedName>
    <definedName name="BLPR5120040303143542095_3_3" hidden="1">#REF!</definedName>
    <definedName name="BLPR520040303143540783" hidden="1">#REF!</definedName>
    <definedName name="BLPR520040303143540783_1_3" hidden="1">#REF!</definedName>
    <definedName name="BLPR520040303143540783_2_3" hidden="1">#REF!</definedName>
    <definedName name="BLPR520040303143540783_3_3" hidden="1">#REF!</definedName>
    <definedName name="BLPR5220040303143542095" hidden="1">#REF!</definedName>
    <definedName name="BLPR5220040303143542095_1_3" hidden="1">#REF!</definedName>
    <definedName name="BLPR5220040303143542095_2_3" hidden="1">#REF!</definedName>
    <definedName name="BLPR5220040303143542095_3_3" hidden="1">#REF!</definedName>
    <definedName name="BLPR5320040303143542095" hidden="1">#REF!</definedName>
    <definedName name="BLPR5320040303143542095_1_3" hidden="1">#REF!</definedName>
    <definedName name="BLPR5320040303143542095_2_3" hidden="1">#REF!</definedName>
    <definedName name="BLPR5320040303143542095_3_3" hidden="1">#REF!</definedName>
    <definedName name="BLPR5420040303143542095" hidden="1">#REF!</definedName>
    <definedName name="BLPR5420040303143542095_1_3" hidden="1">#REF!</definedName>
    <definedName name="BLPR5420040303143542095_2_3" hidden="1">#REF!</definedName>
    <definedName name="BLPR5420040303143542095_3_3" hidden="1">#REF!</definedName>
    <definedName name="BLPR5520040303143542095" hidden="1">#REF!</definedName>
    <definedName name="BLPR5520040303143542095_1_3" hidden="1">#REF!</definedName>
    <definedName name="BLPR5520040303143542095_2_3" hidden="1">#REF!</definedName>
    <definedName name="BLPR5520040303143542095_3_3" hidden="1">#REF!</definedName>
    <definedName name="BLPR5620040303143542105" hidden="1">#REF!</definedName>
    <definedName name="BLPR5620040303143542105_1_3" hidden="1">#REF!</definedName>
    <definedName name="BLPR5620040303143542105_2_3" hidden="1">#REF!</definedName>
    <definedName name="BLPR5620040303143542105_3_3" hidden="1">#REF!</definedName>
    <definedName name="BLPR5720040303143542105" hidden="1">#REF!</definedName>
    <definedName name="BLPR5720040303143542105_1_3" hidden="1">#REF!</definedName>
    <definedName name="BLPR5720040303143542105_2_3" hidden="1">#REF!</definedName>
    <definedName name="BLPR5720040303143542105_3_3" hidden="1">#REF!</definedName>
    <definedName name="BLPR5820040303143548064" hidden="1">#REF!</definedName>
    <definedName name="BLPR5820040303143548064_1_1" hidden="1">#REF!</definedName>
    <definedName name="BLPR5920040303143548074" hidden="1">#REF!</definedName>
    <definedName name="BLPR5920040303143548074_1_1" hidden="1">#REF!</definedName>
    <definedName name="BLPR6020040303143548074" hidden="1">#REF!</definedName>
    <definedName name="BLPR6020040303143548074_1_1" hidden="1">#REF!</definedName>
    <definedName name="BLPR6120040303143548074" hidden="1">#REF!</definedName>
    <definedName name="BLPR6120040303143548074_1_1" hidden="1">#REF!</definedName>
    <definedName name="BLPR620040303143540783" hidden="1">#REF!</definedName>
    <definedName name="BLPR620040303143540783_1_3" hidden="1">#REF!</definedName>
    <definedName name="BLPR620040303143540783_2_3" hidden="1">#REF!</definedName>
    <definedName name="BLPR620040303143540783_3_3" hidden="1">#REF!</definedName>
    <definedName name="BLPR6220040303143548074" hidden="1">#REF!</definedName>
    <definedName name="BLPR6220040303143548074_1_1" hidden="1">#REF!</definedName>
    <definedName name="BLPR6320040303143548074" hidden="1">#REF!</definedName>
    <definedName name="BLPR6320040303143548074_1_1" hidden="1">#REF!</definedName>
    <definedName name="BLPR6420040303143548104" hidden="1">#REF!</definedName>
    <definedName name="BLPR6420040303143548104_1_2" hidden="1">#REF!</definedName>
    <definedName name="BLPR6420040303143548104_2_2" hidden="1">#REF!</definedName>
    <definedName name="BLPR6520040303143548114" hidden="1">#REF!</definedName>
    <definedName name="BLPR6520040303143548114_1_2" hidden="1">#REF!</definedName>
    <definedName name="BLPR6520040303143548114_2_2" hidden="1">#REF!</definedName>
    <definedName name="BLPR6620040303143548134" hidden="1">#REF!</definedName>
    <definedName name="BLPR6620040303143548134_1_2" hidden="1">#REF!</definedName>
    <definedName name="BLPR6620040303143548134_2_2" hidden="1">#REF!</definedName>
    <definedName name="BLPR6720040303143549966" hidden="1">#REF!</definedName>
    <definedName name="BLPR6720040303143549966_1_1" hidden="1">#REF!</definedName>
    <definedName name="BLPR6820040303143549966" hidden="1">#REF!</definedName>
    <definedName name="BLPR6820040303143549966_1_1" hidden="1">#REF!</definedName>
    <definedName name="BLPR6920040303143549966" hidden="1">#REF!</definedName>
    <definedName name="BLPR6920040303143549966_1_1" hidden="1">#REF!</definedName>
    <definedName name="BLPR7020040303143549966" hidden="1">#REF!</definedName>
    <definedName name="BLPR7020040303143549966_1_1" hidden="1">#REF!</definedName>
    <definedName name="BLPR7120040303143549966" hidden="1">#REF!</definedName>
    <definedName name="BLPR7120040303143549966_1_1" hidden="1">#REF!</definedName>
    <definedName name="BLPR720040303143540783" hidden="1">#REF!</definedName>
    <definedName name="BLPR720040303143540783_1_3" hidden="1">#REF!</definedName>
    <definedName name="BLPR720040303143540783_2_3" hidden="1">#REF!</definedName>
    <definedName name="BLPR720040303143540783_3_3" hidden="1">#REF!</definedName>
    <definedName name="BLPR7220040303143549966" hidden="1">#REF!</definedName>
    <definedName name="BLPR7220040303143549966_1_1" hidden="1">#REF!</definedName>
    <definedName name="BLPR7320040303143549976" hidden="1">#REF!</definedName>
    <definedName name="BLPR7320040303143549976_1_1" hidden="1">#REF!</definedName>
    <definedName name="BLPR7420040303143549976" hidden="1">#REF!</definedName>
    <definedName name="BLPR7420040303143549976_1_1" hidden="1">#REF!</definedName>
    <definedName name="BLPR7520040303143549976" hidden="1">#REF!</definedName>
    <definedName name="BLPR7520040303143549976_1_1" hidden="1">#REF!</definedName>
    <definedName name="BLPR7620040303143549976" hidden="1">#REF!</definedName>
    <definedName name="BLPR7620040303143549976_1_1" hidden="1">#REF!</definedName>
    <definedName name="BLPR7720040303143549976" hidden="1">#REF!</definedName>
    <definedName name="BLPR7720040303143549976_1_1" hidden="1">#REF!</definedName>
    <definedName name="BLPR7820040303143549976" hidden="1">#REF!</definedName>
    <definedName name="BLPR7820040303143549976_1_1" hidden="1">#REF!</definedName>
    <definedName name="BLPR7920040303143549987" hidden="1">#REF!</definedName>
    <definedName name="BLPR7920040303143549987_1_1" hidden="1">#REF!</definedName>
    <definedName name="BLPR8020040303143549987" hidden="1">#REF!</definedName>
    <definedName name="BLPR8020040303143549987_1_1" hidden="1">#REF!</definedName>
    <definedName name="BLPR8120040303143549987" hidden="1">#REF!</definedName>
    <definedName name="BLPR8120040303143549987_1_1" hidden="1">#REF!</definedName>
    <definedName name="BLPR820040303143540793" hidden="1">#REF!</definedName>
    <definedName name="BLPR820040303143540793_1_3" hidden="1">#REF!</definedName>
    <definedName name="BLPR820040303143540793_2_3" hidden="1">#REF!</definedName>
    <definedName name="BLPR820040303143540793_3_3" hidden="1">#REF!</definedName>
    <definedName name="BLPR8220040303143549987" hidden="1">#REF!</definedName>
    <definedName name="BLPR8220040303143549987_1_1" hidden="1">#REF!</definedName>
    <definedName name="BLPR8320040303143549987" hidden="1">#REF!</definedName>
    <definedName name="BLPR8320040303143549987_1_1" hidden="1">#REF!</definedName>
    <definedName name="BLPR8420040303143549987" hidden="1">#REF!</definedName>
    <definedName name="BLPR8420040303143549987_1_1" hidden="1">#REF!</definedName>
    <definedName name="BLPR8520040303143549987" hidden="1">#REF!</definedName>
    <definedName name="BLPR8520040303143549987_1_1" hidden="1">#REF!</definedName>
    <definedName name="BLPR8620040303143549997" hidden="1">#REF!</definedName>
    <definedName name="BLPR8620040303143549997_1_1" hidden="1">#REF!</definedName>
    <definedName name="BLPR8720040303143549997" hidden="1">#REF!</definedName>
    <definedName name="BLPR8720040303143549997_1_1" hidden="1">#REF!</definedName>
    <definedName name="BLPR8820040303143549997" hidden="1">#REF!</definedName>
    <definedName name="BLPR8820040303143549997_1_1" hidden="1">#REF!</definedName>
    <definedName name="BLPR8920040303143549997" hidden="1">#REF!</definedName>
    <definedName name="BLPR8920040303143549997_1_1" hidden="1">#REF!</definedName>
    <definedName name="BLPR9020040303143549997" hidden="1">#REF!</definedName>
    <definedName name="BLPR9020040303143549997_1_1" hidden="1">#REF!</definedName>
    <definedName name="BLPR9120040303143549997" hidden="1">#REF!</definedName>
    <definedName name="BLPR9120040303143549997_1_1" hidden="1">#REF!</definedName>
    <definedName name="BLPR920040303143540803" hidden="1">#REF!</definedName>
    <definedName name="BLPR920040303143540803_1_3" hidden="1">#REF!</definedName>
    <definedName name="BLPR920040303143540803_2_3" hidden="1">#REF!</definedName>
    <definedName name="BLPR920040303143540803_3_3" hidden="1">#REF!</definedName>
    <definedName name="BLPR9220040303143550007" hidden="1">#REF!</definedName>
    <definedName name="BLPR9220040303143550007_1_1" hidden="1">#REF!</definedName>
    <definedName name="BLPR9320040303143550007" hidden="1">#REF!</definedName>
    <definedName name="BLPR9320040303143550007_1_1" hidden="1">#REF!</definedName>
    <definedName name="BLPR9420040303143550007" hidden="1">#REF!</definedName>
    <definedName name="BLPR9420040303143550007_1_1" hidden="1">#REF!</definedName>
    <definedName name="BLPR9520040303143550007" hidden="1">#REF!</definedName>
    <definedName name="BLPR9520040303143550007_1_1" hidden="1">#REF!</definedName>
    <definedName name="BLPR9620040303143550007" hidden="1">#REF!</definedName>
    <definedName name="BLPR9620040303143550007_1_1" hidden="1">#REF!</definedName>
    <definedName name="BLPR9720040303143550007" hidden="1">#REF!</definedName>
    <definedName name="BLPR9720040303143550007_1_1" hidden="1">#REF!</definedName>
    <definedName name="BLPR9820040303143550017" hidden="1">#REF!</definedName>
    <definedName name="BLPR9820040303143550017_1_1" hidden="1">#REF!</definedName>
    <definedName name="BLPR9920040303143550017" hidden="1">#REF!</definedName>
    <definedName name="BLPR9920040303143550017_1_1" hidden="1">#REF!</definedName>
    <definedName name="carlos" hidden="1">{#N/A,"10% Success",FALSE,"Sales Forecast";#N/A,#N/A,FALSE,"Sheet2"}</definedName>
    <definedName name="CBWorkbookPriority" hidden="1">-1272513935</definedName>
    <definedName name="cdsc" hidden="1">{#N/A,#N/A,FALSE,"FFCXOUT3"}</definedName>
    <definedName name="Cenário_Otimista">Dash_Cen!$U$22:$Y$34</definedName>
    <definedName name="Chicago_Summary_4" hidden="1">{#N/A,#N/A,FALSE,"Additional ARPU"}</definedName>
    <definedName name="claudia" hidden="1">{#N/A,"70% Success",FALSE,"Sales Forecast";#N/A,#N/A,FALSE,"Sheet2"}</definedName>
    <definedName name="Compco1" hidden="1">{"Page1",#N/A,FALSE,"CompCo";"Page2",#N/A,FALSE,"CompCo"}</definedName>
    <definedName name="Compco2" hidden="1">{"Page1",#N/A,FALSE,"CompCo";"Page2",#N/A,FALSE,"CompCo"}</definedName>
    <definedName name="Concessão_Malha_Sul" hidden="1">{#N/A,"100% Success",TRUE,"Sales Forecast";#N/A,#N/A,TRUE,"Sheet2"}</definedName>
    <definedName name="csda" hidden="1">{#N/A,"30% Success",TRUE,"Sales Forecast";#N/A,#N/A,TRUE,"Sheet2"}</definedName>
    <definedName name="cu102.ShareScalingFactor" hidden="1">1000000</definedName>
    <definedName name="cu103.EmployeeScalingFactor" hidden="1">1000</definedName>
    <definedName name="cu107.DPSSymbol" hidden="1">"US$"</definedName>
    <definedName name="cu107.EPSSymbol" hidden="1">"US$"</definedName>
    <definedName name="cu71.ScalingFactor" hidden="1">1000000</definedName>
    <definedName name="d" hidden="1">{#N/A,"70% Success",FALSE,"Sales Forecast";#N/A,#N/A,FALSE,"Sheet2"}</definedName>
    <definedName name="da">{"coversht",#N/A,TRUE,"TOC";"assmp1",#N/A,TRUE,"ASS";"assmp2",#N/A,TRUE,"ASS";"cashfl1",#N/A,TRUE,"CF";"return1",#N/A,TRUE,"Return";"return2",#N/A,TRUE,"Return";"EIncome",#N/A,TRUE,"EINC";"rev1",#N/A,TRUE,"Rev";"rev2",#N/A,TRUE,"Rev";"exp1",#N/A,TRUE,"Exp";"exp2",#N/A,TRUE,"Exp";"exp3",#N/A,TRUE,"Exp";"exp4",#N/A,TRUE,"Exp";"MaintRes",#N/A,TRUE,"MRES";"drwdn1",#N/A,TRUE,"Drwdn";"drwdn2",#N/A,TRUE,"Drwdn";"drwdn3",#N/A,TRUE,"Drwdn";"debt1",#N/A,TRUE,"Fin";"debt2",#N/A,TRUE,"Fin";"tax1",#N/A,TRUE,"TAXES";"tax2",#N/A,TRUE,"TAXES";"Deprec",#N/A,TRUE,"DEPR";"Balsht1",#N/A,TRUE,"BS_IS";"Balsht2",#N/A,TRUE,"BS_IS";"Ref1",#N/A,TRUE,"REF1";"Ref2",#N/A,TRUE,"REF2";"Ref3",#N/A,TRUE,"REF3";"Ref4",#N/A,TRUE,"REF4"}</definedName>
    <definedName name="daasa" hidden="1">{"coversht",#N/A,TRUE,"TOC";"assmp1",#N/A,TRUE,"ASS";"assmp2",#N/A,TRUE,"ASS";"cashfl1",#N/A,TRUE,"CF";"return1",#N/A,TRUE,"Return";"return2",#N/A,TRUE,"Return";"EIncome",#N/A,TRUE,"EINC";"rev1",#N/A,TRUE,"Rev";"rev2",#N/A,TRUE,"Rev";"exp1",#N/A,TRUE,"Exp";"exp2",#N/A,TRUE,"Exp";"exp3",#N/A,TRUE,"Exp";"exp4",#N/A,TRUE,"Exp";"MaintRes",#N/A,TRUE,"MRES";"drwdn1",#N/A,TRUE,"Drwdn";"drwdn2",#N/A,TRUE,"Drwdn";"drwdn3",#N/A,TRUE,"Drwdn";"debt1",#N/A,TRUE,"Fin";"debt2",#N/A,TRUE,"Fin";"tax1",#N/A,TRUE,"TAXES";"tax2",#N/A,TRUE,"TAXES";"Deprec",#N/A,TRUE,"DEPR";"Balsht1",#N/A,TRUE,"BS_IS";"Balsht2",#N/A,TRUE,"BS_IS";"Ref1",#N/A,TRUE,"REF1";"Ref2",#N/A,TRUE,"REF2";"Ref3",#N/A,TRUE,"REF3";"Ref4",#N/A,TRUE,"REF4"}</definedName>
    <definedName name="dadfadfadf" hidden="1">{#N/A,"70% Success",FALSE,"Sales Forecast";#N/A,#N/A,FALSE,"Sheet2"}</definedName>
    <definedName name="dados_ok" hidden="1">{#N/A,#N/A,FALSE,"NET";#N/A,#N/A,FALSE,"caxi";#N/A,#N/A,FALSE,"nhai";#N/A,#N/A,FALSE,"urui";#N/A,#N/A,FALSE,"cali";#N/A,#N/A,FALSE,"joii";#N/A,#N/A,FALSE,"hol";#N/A,#N/A,FALSE,"poa";#N/A,#N/A,FALSE,"pel";#N/A,#N/A,FALSE,"cha";#N/A,#N/A,FALSE,"rgr";#N/A,#N/A,FALSE,"ere";#N/A,#N/A,FALSE,"scr";#N/A,#N/A,FALSE,"cri";#N/A,#N/A,FALSE,"bag";#N/A,#N/A,FALSE,"pfu";#N/A,#N/A,FALSE,"lit";#N/A,#N/A,FALSE,"mmd";#N/A,#N/A,FALSE,"sma";#N/A,#N/A,FALSE,"btg";#N/A,#N/A,FALSE,"far";#N/A,#N/A,FALSE,"laj";#N/A,#N/A,FALSE,"flo";#N/A,#N/A,FALSE,"076";#N/A,#N/A,FALSE,"iflo";#N/A,#N/A,FALSE,"blu"}</definedName>
    <definedName name="dados2" hidden="1">{#N/A,#N/A,FALSE,"NET";#N/A,#N/A,FALSE,"caxi";#N/A,#N/A,FALSE,"nhai";#N/A,#N/A,FALSE,"urui";#N/A,#N/A,FALSE,"cali";#N/A,#N/A,FALSE,"joii";#N/A,#N/A,FALSE,"hol";#N/A,#N/A,FALSE,"poa";#N/A,#N/A,FALSE,"pel";#N/A,#N/A,FALSE,"cha";#N/A,#N/A,FALSE,"rgr";#N/A,#N/A,FALSE,"ere";#N/A,#N/A,FALSE,"scr";#N/A,#N/A,FALSE,"cri";#N/A,#N/A,FALSE,"bag";#N/A,#N/A,FALSE,"pfu";#N/A,#N/A,FALSE,"lit";#N/A,#N/A,FALSE,"mmd";#N/A,#N/A,FALSE,"sma";#N/A,#N/A,FALSE,"btg";#N/A,#N/A,FALSE,"far";#N/A,#N/A,FALSE,"laj";#N/A,#N/A,FALSE,"flo";#N/A,#N/A,FALSE,"076";#N/A,#N/A,FALSE,"iflo";#N/A,#N/A,FALSE,"blu"}</definedName>
    <definedName name="dados3" hidden="1">{#N/A,#N/A,FALSE,"NET";#N/A,#N/A,FALSE,"caxi";#N/A,#N/A,FALSE,"nhai";#N/A,#N/A,FALSE,"urui";#N/A,#N/A,FALSE,"cali";#N/A,#N/A,FALSE,"joii";#N/A,#N/A,FALSE,"hol";#N/A,#N/A,FALSE,"poa";#N/A,#N/A,FALSE,"pel";#N/A,#N/A,FALSE,"cha";#N/A,#N/A,FALSE,"rgr";#N/A,#N/A,FALSE,"ere";#N/A,#N/A,FALSE,"scr";#N/A,#N/A,FALSE,"cri";#N/A,#N/A,FALSE,"bag";#N/A,#N/A,FALSE,"pfu";#N/A,#N/A,FALSE,"lit";#N/A,#N/A,FALSE,"mmd";#N/A,#N/A,FALSE,"sma";#N/A,#N/A,FALSE,"btg";#N/A,#N/A,FALSE,"far";#N/A,#N/A,FALSE,"laj";#N/A,#N/A,FALSE,"flo";#N/A,#N/A,FALSE,"076";#N/A,#N/A,FALSE,"iflo";#N/A,#N/A,FALSE,"blu"}</definedName>
    <definedName name="dafda" hidden="1">{"coversht",#N/A,TRUE,"TOC";"assmp1",#N/A,TRUE,"ASS";"assmp2",#N/A,TRUE,"ASS";"cashfl1",#N/A,TRUE,"CF";"return1",#N/A,TRUE,"Return";"return2",#N/A,TRUE,"Return";"EIncome",#N/A,TRUE,"EINC";"rev1",#N/A,TRUE,"Rev";"rev2",#N/A,TRUE,"Rev";"exp1",#N/A,TRUE,"Exp";"exp2",#N/A,TRUE,"Exp";"exp3",#N/A,TRUE,"Exp";"exp4",#N/A,TRUE,"Exp";"MaintRes",#N/A,TRUE,"MRES";"drwdn1",#N/A,TRUE,"Drwdn";"drwdn2",#N/A,TRUE,"Drwdn";"drwdn3",#N/A,TRUE,"Drwdn";"debt1",#N/A,TRUE,"Fin";"debt2",#N/A,TRUE,"Fin";"tax1",#N/A,TRUE,"TAXES";"tax2",#N/A,TRUE,"TAXES";"Deprec",#N/A,TRUE,"DEPR";"Balsht1",#N/A,TRUE,"BS_IS";"Balsht2",#N/A,TRUE,"BS_IS";"Ref1",#N/A,TRUE,"REF1";"Ref2",#N/A,TRUE,"REF2";"Ref3",#N/A,TRUE,"REF3";"Ref4",#N/A,TRUE,"REF4"}</definedName>
    <definedName name="Data_Base">#REF!</definedName>
    <definedName name="DDD" hidden="1">{"'PXR_6500'!$A$1:$I$124"}</definedName>
    <definedName name="ddt" hidden="1">{"mgmt forecast",#N/A,FALSE,"Mgmt Forecast";"dcf table",#N/A,FALSE,"Mgmt Forecast";"sensitivity",#N/A,FALSE,"Mgmt Forecast";"table inputs",#N/A,FALSE,"Mgmt Forecast";"calculations",#N/A,FALSE,"Mgmt Forecast"}</definedName>
    <definedName name="delete11" hidden="1">{"Page1",#N/A,FALSE,"CompCo";"Page2",#N/A,FALSE,"CompCo"}</definedName>
    <definedName name="delete20" hidden="1">{"Page1",#N/A,FALSE,"CompCo";"Page2",#N/A,FALSE,"CompCo"}</definedName>
    <definedName name="delete5" hidden="1">{"Page1",#N/A,FALSE,"CompCo";"Page2",#N/A,FALSE,"CompCo"}</definedName>
    <definedName name="DESLOC___Gráfico">OFFSET([7]Dash_Proj!E1048570,0,0,COUNTA([7]Dash_Proj!E1048570:E3)-COUNTBLANK([7]Dash_Proj!E1048570:E3),COUNTA([7]Dash_Proj!E1048570:E3)-COUNTBLANK([7]Dash_Proj!E1048570:E3))</definedName>
    <definedName name="dfa" hidden="1">{#N/A,#N/A,FALSE,"Additional ARPU"}</definedName>
    <definedName name="dfadf" hidden="1">{#N/A,#N/A,FALSE,"Additional ARPU"}</definedName>
    <definedName name="dfas" hidden="1">{"coversht",#N/A,TRUE,"TOC";"assmp1",#N/A,TRUE,"ASS";"assmp2",#N/A,TRUE,"ASS";"cashfl1",#N/A,TRUE,"CF";"return1",#N/A,TRUE,"Return";"return2",#N/A,TRUE,"Return";"EIncome",#N/A,TRUE,"EINC";"rev1",#N/A,TRUE,"Rev";"rev2",#N/A,TRUE,"Rev";"exp1",#N/A,TRUE,"Exp";"exp2",#N/A,TRUE,"Exp";"exp3",#N/A,TRUE,"Exp";"exp4",#N/A,TRUE,"Exp";"MaintRes",#N/A,TRUE,"MRES";"drwdn1",#N/A,TRUE,"Drwdn";"drwdn2",#N/A,TRUE,"Drwdn";"drwdn3",#N/A,TRUE,"Drwdn";"debt1",#N/A,TRUE,"Fin";"debt2",#N/A,TRUE,"Fin";"tax1",#N/A,TRUE,"TAXES";"tax2",#N/A,TRUE,"TAXES";"Deprec",#N/A,TRUE,"DEPR";"Balsht1",#N/A,TRUE,"BS_IS";"Balsht2",#N/A,TRUE,"BS_IS";"Ref1",#N/A,TRUE,"REF1";"Ref2",#N/A,TRUE,"REF2";"Ref3",#N/A,TRUE,"REF3";"Ref4",#N/A,TRUE,"REF4"}</definedName>
    <definedName name="dgsd" hidden="1">'[2]CASH 2000'!#REF!</definedName>
    <definedName name="dhg" hidden="1">{"coversht",#N/A,TRUE,"TOC";"assmp1",#N/A,TRUE,"ASS";"assmp2",#N/A,TRUE,"ASS";"cashfl1",#N/A,TRUE,"CF";"return1",#N/A,TRUE,"Return";"return2",#N/A,TRUE,"Return";"EIncome",#N/A,TRUE,"EINC";"rev1",#N/A,TRUE,"Rev";"rev2",#N/A,TRUE,"Rev";"exp1",#N/A,TRUE,"Exp";"exp2",#N/A,TRUE,"Exp";"exp3",#N/A,TRUE,"Exp";"exp4",#N/A,TRUE,"Exp";"MaintRes",#N/A,TRUE,"MRES";"drwdn1",#N/A,TRUE,"Drwdn";"drwdn2",#N/A,TRUE,"Drwdn";"drwdn3",#N/A,TRUE,"Drwdn";"debt1",#N/A,TRUE,"Fin";"debt2",#N/A,TRUE,"Fin";"tax1",#N/A,TRUE,"TAXES";"tax2",#N/A,TRUE,"TAXES";"Deprec",#N/A,TRUE,"DEPR";"Balsht1",#N/A,TRUE,"BS_IS";"Balsht2",#N/A,TRUE,"BS_IS";"Ref1",#N/A,TRUE,"REF1";"Ref2",#N/A,TRUE,"REF2";"Ref3",#N/A,TRUE,"REF3";"Ref4",#N/A,TRUE,"REF4"}</definedName>
    <definedName name="DIR" hidden="1">{"cash",#N/A,FALSE,"cash";"historico",#N/A,FALSE,"historico"}</definedName>
    <definedName name="DRE" hidden="1">{#N/A,#N/A,FALSE,"GP";#N/A,#N/A,FALSE,"Assinantes";#N/A,#N/A,FALSE,"Rede";#N/A,#N/A,FALSE,"Evolução";#N/A,#N/A,FALSE,"Resultado"}</definedName>
    <definedName name="DSDSDS" hidden="1">{#N/A,#N/A,FALSE,"Vendas e Receitas";#N/A,#N/A,FALSE,"Veículos";#N/A,#N/A,FALSE,"Posição de atraso";#N/A,#N/A,FALSE,"Inadimplência";#N/A,#N/A,FALSE,"Alug.vencidos";#N/A,#N/A,FALSE,"vacancy";#N/A,#N/A,FALSE,"luvas";#N/A,#N/A,FALSE,"DespCond1";#N/A,#N/A,FALSE,"DespCond2-pg13";#N/A,#N/A,FALSE,"DespCond3 pg14"}</definedName>
    <definedName name="E"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ECNOFIBRAS" hidden="1">{"'PXR_6500'!$A$1:$I$124"}</definedName>
    <definedName name="ECNOFIBRAS2" hidden="1">{"'PXR_6500'!$A$1:$I$124"}</definedName>
    <definedName name="edd" hidden="1">{#N/A,#N/A,FALSE,"TOC";#N/A,#N/A,FALSE,"ASS";#N/A,#N/A,FALSE,"CF";#N/A,#N/A,FALSE,"FUEL&amp;MTC"}</definedName>
    <definedName name="EEE" hidden="1">{"'PXR_6500'!$A$1:$I$124"}</definedName>
    <definedName name="Empresa_selecionada">'[8]Budget-Control'!$D$8</definedName>
    <definedName name="epe" hidden="1">{"coversht",#N/A,TRUE,"TOC";"assmp1",#N/A,TRUE,"ASS";"assmp2",#N/A,TRUE,"ASS";"cashfl1",#N/A,TRUE,"CF";"return1",#N/A,TRUE,"Return";"return2",#N/A,TRUE,"Return";"EIncome",#N/A,TRUE,"EINC";"rev1",#N/A,TRUE,"Rev";"rev2",#N/A,TRUE,"Rev";"exp1",#N/A,TRUE,"Exp";"exp2",#N/A,TRUE,"Exp";"exp3",#N/A,TRUE,"Exp";"exp4",#N/A,TRUE,"Exp";"MaintRes",#N/A,TRUE,"MRES";"drwdn1",#N/A,TRUE,"Drwdn";"drwdn2",#N/A,TRUE,"Drwdn";"drwdn3",#N/A,TRUE,"Drwdn";"debt1",#N/A,TRUE,"Fin";"debt2",#N/A,TRUE,"Fin";"tax1",#N/A,TRUE,"TAXES";"tax2",#N/A,TRUE,"TAXES";"Deprec",#N/A,TRUE,"DEPR";"Balsht1",#N/A,TRUE,"BS_IS";"Balsht2",#N/A,TRUE,"BS_IS";"Ref1",#N/A,TRUE,"REF1";"Ref2",#N/A,TRUE,"REF2";"Ref3",#N/A,TRUE,"REF3";"Ref4",#N/A,TRUE,"REF4"}</definedName>
    <definedName name="eq" hidden="1">{"coversht",#N/A,TRUE,"TOC";"assmp1",#N/A,TRUE,"ASS";"assmp2",#N/A,TRUE,"ASS";"cashfl1",#N/A,TRUE,"CF";"return1",#N/A,TRUE,"Return";"return2",#N/A,TRUE,"Return";"EIncome",#N/A,TRUE,"EINC";"rev1",#N/A,TRUE,"Rev";"rev2",#N/A,TRUE,"Rev";"exp1",#N/A,TRUE,"Exp";"exp2",#N/A,TRUE,"Exp";"exp3",#N/A,TRUE,"Exp";"exp4",#N/A,TRUE,"Exp";"MaintRes",#N/A,TRUE,"MRES";"drwdn1",#N/A,TRUE,"Drwdn";"drwdn2",#N/A,TRUE,"Drwdn";"drwdn3",#N/A,TRUE,"Drwdn";"debt1",#N/A,TRUE,"Fin";"debt2",#N/A,TRUE,"Fin";"tax1",#N/A,TRUE,"TAXES";"tax2",#N/A,TRUE,"TAXES";"Deprec",#N/A,TRUE,"DEPR";"Balsht1",#N/A,TRUE,"BS_IS";"Balsht2",#N/A,TRUE,"BS_IS";"Ref1",#N/A,TRUE,"REF1";"Ref2",#N/A,TRUE,"REF2";"Ref3",#N/A,TRUE,"REF3";"Ref4",#N/A,TRUE,"REF4"}</definedName>
    <definedName name="erytf" hidden="1">{#N/A,#N/A,FALSE,"TOC";#N/A,#N/A,FALSE,"ASS";#N/A,#N/A,FALSE,"CF";#N/A,#N/A,FALSE,"FUEL&amp;MTC"}</definedName>
    <definedName name="esnrc15c1_values" hidden="1">{"EUWAT","COMPANIES",TRUE}</definedName>
    <definedName name="EST" hidden="1">{"capa",#N/A,FALSE,"capa";"RES",#N/A,FALSE,"RESULTADO";"REALIZ97",#N/A,FALSE,"RES97";"BAL",#N/A,FALSE,"BAL.PATRIM";"BALREALIZ",#N/A,FALSE,"BAL97"}</definedName>
    <definedName name="esti" hidden="1">{#N/A,#N/A,TRUE,"CASH COND_B1";#N/A,#N/A,TRUE,"COMP DESP COND_B2_B3";#N/A,#N/A,TRUE,"11";#N/A,#N/A,TRUE,"12";#N/A,#N/A,TRUE,"13";#N/A,#N/A,TRUE,"14";#N/A,#N/A,TRUE,"15";#N/A,#N/A,TRUE,"16";#N/A,#N/A,TRUE,"19";#N/A,#N/A,TRUE,"21";#N/A,#N/A,TRUE,"22";#N/A,#N/A,TRUE,"23";#N/A,#N/A,TRUE,"24";#N/A,#N/A,TRUE,"27";#N/A,#N/A,TRUE,"IMOB COND_B5";#N/A,#N/A,TRUE,"B6";#N/A,#N/A,TRUE,"B7";#N/A,#N/A,TRUE,"QUADRO PESSOAL";#N/A,#N/A,TRUE,"ORG."}</definedName>
    <definedName name="ety" hidden="1">{"coversht",#N/A,TRUE,"TOC";"assmp1",#N/A,TRUE,"ASS";"assmp2",#N/A,TRUE,"ASS";"cashfl1",#N/A,TRUE,"CF";"return1",#N/A,TRUE,"Return";"return2",#N/A,TRUE,"Return";"EIncome",#N/A,TRUE,"EINC";"rev1",#N/A,TRUE,"Rev";"rev2",#N/A,TRUE,"Rev";"exp1",#N/A,TRUE,"Exp";"exp2",#N/A,TRUE,"Exp";"exp3",#N/A,TRUE,"Exp";"exp4",#N/A,TRUE,"Exp";"MaintRes",#N/A,TRUE,"MRES";"drwdn1",#N/A,TRUE,"Drwdn";"drwdn2",#N/A,TRUE,"Drwdn";"drwdn3",#N/A,TRUE,"Drwdn";"debt1",#N/A,TRUE,"Fin";"debt2",#N/A,TRUE,"Fin";"tax1",#N/A,TRUE,"TAXES";"tax2",#N/A,TRUE,"TAXES";"Deprec",#N/A,TRUE,"DEPR";"Balsht1",#N/A,TRUE,"BS_IS";"Balsht2",#N/A,TRUE,"BS_IS";"Ref1",#N/A,TRUE,"REF1";"Ref2",#N/A,TRUE,"REF2";"Ref3",#N/A,TRUE,"REF3";"Ref4",#N/A,TRUE,"REF4"}</definedName>
    <definedName name="ev.Calculation" hidden="1">-4105</definedName>
    <definedName name="ev.Initialized" hidden="1">FALSE</definedName>
    <definedName name="eventos" hidden="1">{#N/A,#N/A,TRUE,"CASH COND_B1";#N/A,#N/A,TRUE,"COMP DESP COND_B2_B3";#N/A,#N/A,TRUE,"11";#N/A,#N/A,TRUE,"12";#N/A,#N/A,TRUE,"13";#N/A,#N/A,TRUE,"14";#N/A,#N/A,TRUE,"15";#N/A,#N/A,TRUE,"16";#N/A,#N/A,TRUE,"19";#N/A,#N/A,TRUE,"21";#N/A,#N/A,TRUE,"22";#N/A,#N/A,TRUE,"23";#N/A,#N/A,TRUE,"24";#N/A,#N/A,TRUE,"27";#N/A,#N/A,TRUE,"IMOB COND_B5";#N/A,#N/A,TRUE,"B6";#N/A,#N/A,TRUE,"B7";#N/A,#N/A,TRUE,"QUADRO PESSOAL";#N/A,#N/A,TRUE,"ORG."}</definedName>
    <definedName name="Evolução" hidden="1">{#N/A,#N/A,FALSE,"GP";#N/A,#N/A,FALSE,"Assinantes";#N/A,#N/A,FALSE,"Rede";#N/A,#N/A,FALSE,"Evolução";#N/A,#N/A,FALSE,"Resultado"}</definedName>
    <definedName name="fad" hidden="1">{#N/A,"70% Success",FALSE,"Sales Forecast";#N/A,#N/A,FALSE,"Sheet2"}</definedName>
    <definedName name="fd" hidden="1">{#N/A,#N/A,FALSE,"TOC";#N/A,#N/A,FALSE,"ASS";#N/A,#N/A,FALSE,"CF";#N/A,#N/A,FALSE,"FUEL&amp;MTC"}</definedName>
    <definedName name="fdaa" hidden="1">{"coversht",#N/A,TRUE,"TOC";"assmp1",#N/A,TRUE,"ASS";"assmp2",#N/A,TRUE,"ASS";"cashfl1",#N/A,TRUE,"CF";"return1",#N/A,TRUE,"Return";"return2",#N/A,TRUE,"Return";"EIncome",#N/A,TRUE,"EINC";"rev1",#N/A,TRUE,"Rev";"rev2",#N/A,TRUE,"Rev";"exp1",#N/A,TRUE,"Exp";"exp2",#N/A,TRUE,"Exp";"exp3",#N/A,TRUE,"Exp";"exp4",#N/A,TRUE,"Exp";"MaintRes",#N/A,TRUE,"MRES";"drwdn1",#N/A,TRUE,"Drwdn";"drwdn2",#N/A,TRUE,"Drwdn";"drwdn3",#N/A,TRUE,"Drwdn";"debt1",#N/A,TRUE,"Fin";"debt2",#N/A,TRUE,"Fin";"tax1",#N/A,TRUE,"TAXES";"tax2",#N/A,TRUE,"TAXES";"Deprec",#N/A,TRUE,"DEPR";"Balsht1",#N/A,TRUE,"BS_IS";"Balsht2",#N/A,TRUE,"BS_IS";"Ref1",#N/A,TRUE,"REF1";"Ref2",#N/A,TRUE,"REF2";"Ref3",#N/A,TRUE,"REF3";"Ref4",#N/A,TRUE,"REF4"}</definedName>
    <definedName name="fdergf" hidden="1">{#N/A,#N/A,TRUE,"CASH COND_B1";#N/A,#N/A,TRUE,"COMP DESP COND_B2_B3";#N/A,#N/A,TRUE,"11";#N/A,#N/A,TRUE,"12";#N/A,#N/A,TRUE,"13";#N/A,#N/A,TRUE,"14";#N/A,#N/A,TRUE,"15";#N/A,#N/A,TRUE,"16";#N/A,#N/A,TRUE,"19";#N/A,#N/A,TRUE,"21";#N/A,#N/A,TRUE,"22";#N/A,#N/A,TRUE,"23";#N/A,#N/A,TRUE,"24";#N/A,#N/A,TRUE,"27";#N/A,#N/A,TRUE,"IMOB COND_B5";#N/A,#N/A,TRUE,"B6";#N/A,#N/A,TRUE,"B7";#N/A,#N/A,TRUE,"QUADRO PESSOAL";#N/A,#N/A,TRUE,"ORG."}</definedName>
    <definedName name="fdsa" hidden="1">{#N/A,#N/A,FALSE,"TOC";#N/A,#N/A,FALSE,"ASS";#N/A,#N/A,FALSE,"CF";#N/A,#N/A,FALSE,"FUEL&amp;MTC"}</definedName>
    <definedName name="final" hidden="1">{"VUSS",#N/A,TRUE,"VUS$";"VIPC",#N/A,TRUE,"VIPC";"RUSS",#N/A,TRUE,"RUS$";"RIPC",#N/A,TRUE,"RIPC";"RIPCM2",#N/A,TRUE,"R IPC-M2";"RENT",#N/A,TRUE,"RENT";"COND",#N/A,TRUE,"COND";"LFESC",#N/A,TRUE,"LFESC";"SHOPP",#N/A,TRUE,"SHOPP";"PESS",#N/A,TRUE,"PESS";"LFP",#N/A,TRUE,"LFP"}</definedName>
    <definedName name="Finalizado">OFFSET(#REF!,0,0,1,COUNT(#REF!))</definedName>
    <definedName name="Funcionario">OFFSET(#REF!,0,0,COUNT(#REF!),1)</definedName>
    <definedName name="Funcionario2">OFFSET(#REF!,0,0,COUNT(#REF!),1)</definedName>
    <definedName name="gdg" hidden="1">{"coversht",#N/A,TRUE,"TOC";"assmp1",#N/A,TRUE,"ASS";"assmp2",#N/A,TRUE,"ASS";"cashfl1",#N/A,TRUE,"CF";"return1",#N/A,TRUE,"Return";"return2",#N/A,TRUE,"Return";"EIncome",#N/A,TRUE,"EINC";"rev1",#N/A,TRUE,"Rev";"rev2",#N/A,TRUE,"Rev";"exp1",#N/A,TRUE,"Exp";"exp2",#N/A,TRUE,"Exp";"exp3",#N/A,TRUE,"Exp";"exp4",#N/A,TRUE,"Exp";"MaintRes",#N/A,TRUE,"MRES";"drwdn1",#N/A,TRUE,"Drwdn";"drwdn2",#N/A,TRUE,"Drwdn";"drwdn3",#N/A,TRUE,"Drwdn";"debt1",#N/A,TRUE,"Fin";"debt2",#N/A,TRUE,"Fin";"tax1",#N/A,TRUE,"TAXES";"tax2",#N/A,TRUE,"TAXES";"Deprec",#N/A,TRUE,"DEPR";"Balsht1",#N/A,TRUE,"BS_IS";"Balsht2",#N/A,TRUE,"BS_IS";"Ref1",#N/A,TRUE,"REF1";"Ref2",#N/A,TRUE,"REF2";"Ref3",#N/A,TRUE,"REF3";"Ref4",#N/A,TRUE,"REF4"}</definedName>
    <definedName name="general_exp." hidden="1">{#N/A,"100% Success",TRUE,"Sales Forecast";#N/A,#N/A,TRUE,"Sheet2"}</definedName>
    <definedName name="gf\" hidden="1">{"coversht",#N/A,TRUE,"TOC";"assmp1",#N/A,TRUE,"ASS";"assmp2",#N/A,TRUE,"ASS";"cashfl1",#N/A,TRUE,"CF";"return1",#N/A,TRUE,"Return";"return2",#N/A,TRUE,"Return";"EIncome",#N/A,TRUE,"EINC";"rev1",#N/A,TRUE,"Rev";"rev2",#N/A,TRUE,"Rev";"exp1",#N/A,TRUE,"Exp";"exp2",#N/A,TRUE,"Exp";"exp3",#N/A,TRUE,"Exp";"exp4",#N/A,TRUE,"Exp";"MaintRes",#N/A,TRUE,"MRES";"drwdn1",#N/A,TRUE,"Drwdn";"drwdn2",#N/A,TRUE,"Drwdn";"drwdn3",#N/A,TRUE,"Drwdn";"debt1",#N/A,TRUE,"Fin";"debt2",#N/A,TRUE,"Fin";"tax1",#N/A,TRUE,"TAXES";"tax2",#N/A,TRUE,"TAXES";"Deprec",#N/A,TRUE,"DEPR";"Balsht1",#N/A,TRUE,"BS_IS";"Balsht2",#N/A,TRUE,"BS_IS";"Ref1",#N/A,TRUE,"REF1";"Ref2",#N/A,TRUE,"REF2";"Ref3",#N/A,TRUE,"REF3";"Ref4",#N/A,TRUE,"REF4"}</definedName>
    <definedName name="ggggggg" hidden="1">{"capa",#N/A,FALSE,"capa";"RES",#N/A,FALSE,"RESULTADO";"REALIZ97",#N/A,FALSE,"RES97";"BAL",#N/A,FALSE,"BAL.PATRIM";"BALREALIZ",#N/A,FALSE,"BAL97"}</definedName>
    <definedName name="ghd" hidden="1">{"coversht",#N/A,TRUE,"TOC";"assmp1",#N/A,TRUE,"ASS";"assmp2",#N/A,TRUE,"ASS";"cashfl1",#N/A,TRUE,"CF";"return1",#N/A,TRUE,"Return";"return2",#N/A,TRUE,"Return";"EIncome",#N/A,TRUE,"EINC";"rev1",#N/A,TRUE,"Rev";"rev2",#N/A,TRUE,"Rev";"exp1",#N/A,TRUE,"Exp";"exp2",#N/A,TRUE,"Exp";"exp3",#N/A,TRUE,"Exp";"exp4",#N/A,TRUE,"Exp";"MaintRes",#N/A,TRUE,"MRES";"drwdn1",#N/A,TRUE,"Drwdn";"drwdn2",#N/A,TRUE,"Drwdn";"drwdn3",#N/A,TRUE,"Drwdn";"debt1",#N/A,TRUE,"Fin";"debt2",#N/A,TRUE,"Fin";"tax1",#N/A,TRUE,"TAXES";"tax2",#N/A,TRUE,"TAXES";"Deprec",#N/A,TRUE,"DEPR";"Balsht1",#N/A,TRUE,"BS_IS";"Balsht2",#N/A,TRUE,"BS_IS";"Ref1",#N/A,TRUE,"REF1";"Ref2",#N/A,TRUE,"REF2";"Ref3",#N/A,TRUE,"REF3";"Ref4",#N/A,TRUE,"REF4"}</definedName>
    <definedName name="hgjg"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hjg" hidden="1">{#N/A,#N/A,FALSE,"TOC";#N/A,#N/A,FALSE,"ASS";#N/A,#N/A,FALSE,"CF";#N/A,#N/A,FALSE,"FUEL&amp;MTC"}</definedName>
    <definedName name="hn.ExtDb" hidden="1">FALSE</definedName>
    <definedName name="hn.ModelType" hidden="1">"DEAL"</definedName>
    <definedName name="hn.ModelVersion" hidden="1">1</definedName>
    <definedName name="hn.NoUpload" hidden="1">0</definedName>
    <definedName name="HTML" hidden="1">{"'PXR_6500'!$A$1:$I$124"}</definedName>
    <definedName name="HTML_CodePage" hidden="1">1252</definedName>
    <definedName name="HTML_Control" hidden="1">{"'TG'!$A$1:$L$37"}</definedName>
    <definedName name="HTML_Description" hidden="1">""</definedName>
    <definedName name="HTML_Email" hidden="1">""</definedName>
    <definedName name="HTML_Header" hidden="1">""</definedName>
    <definedName name="HTML_LastUpdate" hidden="1">"16/06/98"</definedName>
    <definedName name="HTML_LineAfter" hidden="1">FALSE</definedName>
    <definedName name="HTML_LineBefore" hidden="1">FALSE</definedName>
    <definedName name="HTML_Name" hidden="1">"Setor de Custos"</definedName>
    <definedName name="HTML_OBDlg2" hidden="1">TRUE</definedName>
    <definedName name="HTML_OBDlg4" hidden="1">TRUE</definedName>
    <definedName name="HTML_OS" hidden="1">0</definedName>
    <definedName name="HTML_PathFile" hidden="1">"D:\FIX\Mai98\PXR6500.htm"</definedName>
    <definedName name="HTML_Title" hidden="1">""</definedName>
    <definedName name="i" hidden="1">{"cash",#N/A,FALSE,"cash"}</definedName>
    <definedName name="i_ano_1">Dash_Proj!$AZ$12:$AZ$31</definedName>
    <definedName name="i_ano_11">Dash_Proj!$AZ$12:$BB$31</definedName>
    <definedName name="i_ano_2">Dash_Proj!$BC$12:$BC$31</definedName>
    <definedName name="i_ano_22">Dash_Proj!$BC$12:$BE$31</definedName>
    <definedName name="i_ano_3">Dash_Proj!$BF$12:$BF$31</definedName>
    <definedName name="i_ano_33">Dash_Proj!$BF$12:$BH$31</definedName>
    <definedName name="i_ano_4">Dash_Proj!$BI$12:$BI$31</definedName>
    <definedName name="i_ano_44">Dash_Proj!$BI$12:$BK$31</definedName>
    <definedName name="i_ano_5">Dash_Proj!$BL$12:$BL$31</definedName>
    <definedName name="i_ano_55">Dash_Proj!$BL$12:$BN$31</definedName>
    <definedName name="IESC" hidden="1">{"capapetros",#N/A,FALSE,"capa petros";"RESPETROS",#N/A,FALSE,"RESULTADO";"REALIZ97PETROS",#N/A,FALSE,"RES97"}</definedName>
    <definedName name="ikju" hidden="1">{#N/A,#N/A,TRUE,"Dem_A1";#N/A,#N/A,TRUE,"Vend Rec_A2";#N/A,#N/A,TRUE,"Desc_A5";#N/A,#N/A,TRUE,"COMP_A6";#N/A,#N/A,TRUE,"DR00_A7";#N/A,#N/A,TRUE,"DR 99_A7";#N/A,#N/A,TRUE,"Desc_ A8";#N/A,#N/A,TRUE,"CASH EMPR_A9";#N/A,#N/A,TRUE,"CASH OBRA_A9";#N/A,#N/A,TRUE,"20Empr.";#N/A,#N/A,TRUE,"100%Jurid";#N/A,#N/A,TRUE,"22Empr.";#N/A,#N/A,TRUE,"23Empr.";#N/A,#N/A,TRUE,"IMOB EMPR OBRAS_A11"}</definedName>
    <definedName name="indic" hidden="1">{"capapetros",#N/A,FALSE,"capa petros";"RESPETROS",#N/A,FALSE,"RESULTADO";"REALIZ97PETROS",#N/A,FALSE,"RES97"}</definedName>
    <definedName name="Investimento_Nome">OFFSET([7]Dash_Proj!$BV$12,0,0,(COUNTA([7]Dash_Proj!$BV$12:$BV$21)-COUNTBLANK([7]Dash_Proj!$BV$12:$BV$21)))</definedName>
    <definedName name="Investimento_valor">OFFSET([7]Dash_Proj!$BW$12,0,0,(COUNTA([7]Dash_Proj!$BW$12:$BW$21)-COUNTBLANK([7]Dash_Proj!$BW$12:$BW$21)))</definedName>
    <definedName name="Investimentos_Nome">OFFSET([7]Dash_Proj!$BV$12,0,0,(COUNTA([7]Dash_Proj!$BV$12:$BV$21)-COUNTBLANK([7]Dash_Proj!$BV$12:$BV$21)))</definedName>
    <definedName name="iop" hidden="1">{"capa",#N/A,FALSE,"capa";"RES",#N/A,FALSE,"RESULTADO";"REALIZ97",#N/A,FALSE,"RES97";"BAL",#N/A,FALSE,"BAL.PATRIM";"BALREALIZ",#N/A,FALSE,"BAL97"}</definedName>
    <definedName name="IQ_ACCOUNT_CHANGE" hidden="1">"c413"</definedName>
    <definedName name="IQ_ACCOUNTS_PAY" hidden="1">"c32"</definedName>
    <definedName name="IQ_ACCR_INT_PAY" hidden="1">"c1"</definedName>
    <definedName name="IQ_ACCR_INT_PAY_CF" hidden="1">"c2"</definedName>
    <definedName name="IQ_ACCR_INT_RECEIV" hidden="1">"c3"</definedName>
    <definedName name="IQ_ACCR_INT_RECEIV_CF" hidden="1">"c4"</definedName>
    <definedName name="IQ_ACCRUED_EXP" hidden="1">"c8"</definedName>
    <definedName name="IQ_ACCT_RECV_10YR_ANN_GROWTH" hidden="1">"c1924"</definedName>
    <definedName name="IQ_ACCT_RECV_1YR_ANN_GROWTH" hidden="1">"c1919"</definedName>
    <definedName name="IQ_ACCT_RECV_2YR_ANN_GROWTH" hidden="1">"c1920"</definedName>
    <definedName name="IQ_ACCT_RECV_3YR_ANN_GROWTH" hidden="1">"c1921"</definedName>
    <definedName name="IQ_ACCT_RECV_5YR_ANN_GROWTH" hidden="1">"c1922"</definedName>
    <definedName name="IQ_ACCT_RECV_7YR_ANN_GROWTH" hidden="1">"c1923"</definedName>
    <definedName name="IQ_ACCUM_DEP" hidden="1">"c7"</definedName>
    <definedName name="IQ_ACCUMULATED_PENSION_OBLIGATION" hidden="1">"c2244"</definedName>
    <definedName name="IQ_ACCUMULATED_PENSION_OBLIGATION_DOMESTIC" hidden="1">"c2657"</definedName>
    <definedName name="IQ_ACCUMULATED_PENSION_OBLIGATION_FOREIGN" hidden="1">"c2665"</definedName>
    <definedName name="IQ_ACQ_COST_SUB" hidden="1">"c2125"</definedName>
    <definedName name="IQ_ACQ_COSTS_CAPITALIZED" hidden="1">"c5"</definedName>
    <definedName name="IQ_ACQUIRE_REAL_ESTATE_CF" hidden="1">"c6"</definedName>
    <definedName name="IQ_ACQUISITION_RE_ASSETS" hidden="1">"c1628"</definedName>
    <definedName name="IQ_AD" hidden="1">"c7"</definedName>
    <definedName name="IQ_ADD_PAID_IN" hidden="1">"c39"</definedName>
    <definedName name="IQ_ADDIN" hidden="1">"AUTO"</definedName>
    <definedName name="IQ_ADJ_AVG_BANK_ASSETS" hidden="1">"c2671"</definedName>
    <definedName name="IQ_ADMIN_RATIO" hidden="1">"c2784"</definedName>
    <definedName name="IQ_ADVERTISING" hidden="1">"c2246"</definedName>
    <definedName name="IQ_ADVERTISING_MARKETING" hidden="1">"c1566"</definedName>
    <definedName name="IQ_AE" hidden="1">"c8"</definedName>
    <definedName name="IQ_AE_BNK" hidden="1">"c9"</definedName>
    <definedName name="IQ_AE_BR" hidden="1">"c10"</definedName>
    <definedName name="IQ_AE_FIN" hidden="1">"c11"</definedName>
    <definedName name="IQ_AE_INS" hidden="1">"c12"</definedName>
    <definedName name="IQ_AE_REIT" hidden="1">"c13"</definedName>
    <definedName name="IQ_AE_UTI" hidden="1">"c14"</definedName>
    <definedName name="IQ_AH_EARNED" hidden="1">"c2744"</definedName>
    <definedName name="IQ_AH_POLICY_BENEFITS_EXP" hidden="1">"c2789"</definedName>
    <definedName name="IQ_AIR_AIRPLANES_NOT_IN_SERVICE" hidden="1">"c2842"</definedName>
    <definedName name="IQ_AIR_AIRPLANES_SUBLEASED" hidden="1">"c2841"</definedName>
    <definedName name="IQ_AIR_ASK" hidden="1">"c2813"</definedName>
    <definedName name="IQ_AIR_ASK_INCREASE" hidden="1">"c2826"</definedName>
    <definedName name="IQ_AIR_ASM" hidden="1">"c2812"</definedName>
    <definedName name="IQ_AIR_ASM_INCREASE" hidden="1">"c2825"</definedName>
    <definedName name="IQ_AIR_AVG_AGE" hidden="1">"c2843"</definedName>
    <definedName name="IQ_AIR_BREAK_EVEN_FACTOR" hidden="1">"c2822"</definedName>
    <definedName name="IQ_AIR_CAPITAL_LEASE" hidden="1">"c2833"</definedName>
    <definedName name="IQ_AIR_COMPLETION_FACTOR" hidden="1">"c2824"</definedName>
    <definedName name="IQ_AIR_ENPLANED_PSGRS" hidden="1">"c2809"</definedName>
    <definedName name="IQ_AIR_FUEL_CONSUMED" hidden="1">"c2806"</definedName>
    <definedName name="IQ_AIR_FUEL_CONSUMED_L" hidden="1">"c2807"</definedName>
    <definedName name="IQ_AIR_FUEL_COST" hidden="1">"c2803"</definedName>
    <definedName name="IQ_AIR_FUEL_COST_L" hidden="1">"c2804"</definedName>
    <definedName name="IQ_AIR_FUEL_EXP" hidden="1">"c2802"</definedName>
    <definedName name="IQ_AIR_FUEL_EXP_PERCENT" hidden="1">"c2805"</definedName>
    <definedName name="IQ_AIR_LEASED" hidden="1">"c2835"</definedName>
    <definedName name="IQ_AIR_LOAD_FACTOR" hidden="1">"c2823"</definedName>
    <definedName name="IQ_AIR_NEW_AIRPLANES" hidden="1">"c2839"</definedName>
    <definedName name="IQ_AIR_OPER_EXP_ASK" hidden="1">"c2821"</definedName>
    <definedName name="IQ_AIR_OPER_EXP_ASM" hidden="1">"c2820"</definedName>
    <definedName name="IQ_AIR_OPER_LEASE" hidden="1">"c2834"</definedName>
    <definedName name="IQ_AIR_OPER_REV_YIELD_ASK" hidden="1">"c2819"</definedName>
    <definedName name="IQ_AIR_OPER_REV_YIELD_ASM" hidden="1">"c2818"</definedName>
    <definedName name="IQ_AIR_OPTIONS" hidden="1">"c2837"</definedName>
    <definedName name="IQ_AIR_ORDERS" hidden="1">"c2836"</definedName>
    <definedName name="IQ_AIR_OWNED" hidden="1">"c2832"</definedName>
    <definedName name="IQ_AIR_PSGR_REV_YIELD_ASK" hidden="1">"c2817"</definedName>
    <definedName name="IQ_AIR_PSGR_REV_YIELD_ASM" hidden="1">"c2816"</definedName>
    <definedName name="IQ_AIR_PSGR_REV_YIELD_RPK" hidden="1">"c2815"</definedName>
    <definedName name="IQ_AIR_PSGR_REV_YIELD_RPM" hidden="1">"c2814"</definedName>
    <definedName name="IQ_AIR_PURCHASE_RIGHTS" hidden="1">"c2838"</definedName>
    <definedName name="IQ_AIR_RETIRED_AIRPLANES" hidden="1">"c2840"</definedName>
    <definedName name="IQ_AIR_REV_PSGRS_CARRIED" hidden="1">"c2808"</definedName>
    <definedName name="IQ_AIR_REV_SCHEDULED_SERVICE" hidden="1">"c2830"</definedName>
    <definedName name="IQ_AIR_RPK" hidden="1">"c2811"</definedName>
    <definedName name="IQ_AIR_RPM" hidden="1">"c2810"</definedName>
    <definedName name="IQ_AIR_STAGE_LENGTH" hidden="1">"c2828"</definedName>
    <definedName name="IQ_AIR_STAGE_LENGTH_KM" hidden="1">"c2829"</definedName>
    <definedName name="IQ_AIR_TOTAL" hidden="1">"c2831"</definedName>
    <definedName name="IQ_AIR_UTILIZATION" hidden="1">"c2827"</definedName>
    <definedName name="IQ_ALLOW_BORROW_CONST" hidden="1">"c15"</definedName>
    <definedName name="IQ_ALLOW_CONST" hidden="1">"c16"</definedName>
    <definedName name="IQ_ALLOW_DOUBT_ACCT" hidden="1">"c2092"</definedName>
    <definedName name="IQ_ALLOW_EQUITY_CONST" hidden="1">"c16"</definedName>
    <definedName name="IQ_ALLOW_LL" hidden="1">"c17"</definedName>
    <definedName name="IQ_ALLOWANCE_10YR_ANN_GROWTH" hidden="1">"c18"</definedName>
    <definedName name="IQ_ALLOWANCE_1YR_ANN_GROWTH" hidden="1">"c19"</definedName>
    <definedName name="IQ_ALLOWANCE_2YR_ANN_GROWTH" hidden="1">"c20"</definedName>
    <definedName name="IQ_ALLOWANCE_3YR_ANN_GROWTH" hidden="1">"c21"</definedName>
    <definedName name="IQ_ALLOWANCE_5YR_ANN_GROWTH" hidden="1">"c22"</definedName>
    <definedName name="IQ_ALLOWANCE_7YR_ANN_GROWTH" hidden="1">"c23"</definedName>
    <definedName name="IQ_ALLOWANCE_CHARGE_OFFS" hidden="1">"c24"</definedName>
    <definedName name="IQ_ALLOWANCE_NON_PERF_LOANS" hidden="1">"c25"</definedName>
    <definedName name="IQ_ALLOWANCE_TOTAL_LOANS" hidden="1">"c26"</definedName>
    <definedName name="IQ_AMORTIZATION" hidden="1">"c1471"</definedName>
    <definedName name="IQ_AMT_OUT" hidden="1">"c2145"</definedName>
    <definedName name="IQ_ANNU_DISTRIBUTION_UNIT" hidden="1">"c3004"</definedName>
    <definedName name="IQ_ANNUALIZED_DIVIDEND" hidden="1">"c1579"</definedName>
    <definedName name="IQ_ANNUITY_LIAB" hidden="1">"c27"</definedName>
    <definedName name="IQ_ANNUITY_PAY" hidden="1">"c28"</definedName>
    <definedName name="IQ_ANNUITY_POLICY_EXP" hidden="1">"c29"</definedName>
    <definedName name="IQ_ANNUITY_REC" hidden="1">"c30"</definedName>
    <definedName name="IQ_ANNUITY_REV" hidden="1">"c31"</definedName>
    <definedName name="IQ_AP" hidden="1">"c32"</definedName>
    <definedName name="IQ_AP_BNK" hidden="1">"c33"</definedName>
    <definedName name="IQ_AP_BR" hidden="1">"c34"</definedName>
    <definedName name="IQ_AP_FIN" hidden="1">"c35"</definedName>
    <definedName name="IQ_AP_INS" hidden="1">"c36"</definedName>
    <definedName name="IQ_AP_REIT" hidden="1">"c37"</definedName>
    <definedName name="IQ_AP_UTI" hidden="1">"c38"</definedName>
    <definedName name="IQ_APIC" hidden="1">"c39"</definedName>
    <definedName name="IQ_AR" hidden="1">"c40"</definedName>
    <definedName name="IQ_AR_BR" hidden="1">"c41"</definedName>
    <definedName name="IQ_AR_LT" hidden="1">"c42"</definedName>
    <definedName name="IQ_AR_REIT" hidden="1">"c43"</definedName>
    <definedName name="IQ_AR_TURNS" hidden="1">"c44"</definedName>
    <definedName name="IQ_AR_UTI" hidden="1">"c45"</definedName>
    <definedName name="IQ_ARPU" hidden="1">"c2126"</definedName>
    <definedName name="IQ_ASSET_MGMT_FEE" hidden="1">"c46"</definedName>
    <definedName name="IQ_ASSET_TURNS" hidden="1">"c47"</definedName>
    <definedName name="IQ_ASSET_WRITEDOWN" hidden="1">"c48"</definedName>
    <definedName name="IQ_ASSET_WRITEDOWN_BNK" hidden="1">"c49"</definedName>
    <definedName name="IQ_ASSET_WRITEDOWN_BR" hidden="1">"c50"</definedName>
    <definedName name="IQ_ASSET_WRITEDOWN_CF" hidden="1">"c51"</definedName>
    <definedName name="IQ_ASSET_WRITEDOWN_CF_BNK" hidden="1">"c52"</definedName>
    <definedName name="IQ_ASSET_WRITEDOWN_CF_BR" hidden="1">"c53"</definedName>
    <definedName name="IQ_ASSET_WRITEDOWN_CF_FIN" hidden="1">"c54"</definedName>
    <definedName name="IQ_ASSET_WRITEDOWN_CF_INS" hidden="1">"c55"</definedName>
    <definedName name="IQ_ASSET_WRITEDOWN_CF_REIT" hidden="1">"c56"</definedName>
    <definedName name="IQ_ASSET_WRITEDOWN_CF_UTI" hidden="1">"c57"</definedName>
    <definedName name="IQ_ASSET_WRITEDOWN_FIN" hidden="1">"c58"</definedName>
    <definedName name="IQ_ASSET_WRITEDOWN_INS" hidden="1">"c59"</definedName>
    <definedName name="IQ_ASSET_WRITEDOWN_REIT" hidden="1">"c60"</definedName>
    <definedName name="IQ_ASSET_WRITEDOWN_UTI" hidden="1">"c61"</definedName>
    <definedName name="IQ_ASSETS_CAP_LEASE_DEPR" hidden="1">"c2068"</definedName>
    <definedName name="IQ_ASSETS_CAP_LEASE_GROSS" hidden="1">"c2069"</definedName>
    <definedName name="IQ_ASSETS_OPER_LEASE_DEPR" hidden="1">"c2070"</definedName>
    <definedName name="IQ_ASSETS_OPER_LEASE_GROSS" hidden="1">"c2071"</definedName>
    <definedName name="IQ_ASSUMED_AH_EARNED" hidden="1">"c2741"</definedName>
    <definedName name="IQ_ASSUMED_EARNED" hidden="1">"c2731"</definedName>
    <definedName name="IQ_ASSUMED_LIFE_EARNED" hidden="1">"c2736"</definedName>
    <definedName name="IQ_ASSUMED_LIFE_IN_FORCE" hidden="1">"c2766"</definedName>
    <definedName name="IQ_ASSUMED_PC_EARNED" hidden="1">"c2746"</definedName>
    <definedName name="IQ_ASSUMED_WRITTEN" hidden="1">"c2725"</definedName>
    <definedName name="IQ_AUDITOR_NAME" hidden="1">"c1539"</definedName>
    <definedName name="IQ_AUDITOR_OPINION" hidden="1">"c1540"</definedName>
    <definedName name="IQ_AUTO_WRITTEN" hidden="1">"c62"</definedName>
    <definedName name="IQ_AVG_BANK_ASSETS" hidden="1">"c2072"</definedName>
    <definedName name="IQ_AVG_BANK_LOANS" hidden="1">"c2073"</definedName>
    <definedName name="IQ_AVG_BROKER_REC" hidden="1">"c63"</definedName>
    <definedName name="IQ_AVG_BROKER_REC_NO" hidden="1">"c64"</definedName>
    <definedName name="IQ_AVG_DAILY_VOL" hidden="1">"c65"</definedName>
    <definedName name="IQ_AVG_INT_BEAR_LIAB" hidden="1">"c66"</definedName>
    <definedName name="IQ_AVG_INT_BEAR_LIAB_10YR_ANN_GROWTH" hidden="1">"c67"</definedName>
    <definedName name="IQ_AVG_INT_BEAR_LIAB_1YR_ANN_GROWTH" hidden="1">"c68"</definedName>
    <definedName name="IQ_AVG_INT_BEAR_LIAB_2YR_ANN_GROWTH" hidden="1">"c69"</definedName>
    <definedName name="IQ_AVG_INT_BEAR_LIAB_3YR_ANN_GROWTH" hidden="1">"c70"</definedName>
    <definedName name="IQ_AVG_INT_BEAR_LIAB_5YR_ANN_GROWTH" hidden="1">"c71"</definedName>
    <definedName name="IQ_AVG_INT_BEAR_LIAB_7YR_ANN_GROWTH" hidden="1">"c72"</definedName>
    <definedName name="IQ_AVG_INT_EARN_ASSETS" hidden="1">"c73"</definedName>
    <definedName name="IQ_AVG_INT_EARN_ASSETS_10YR_ANN_GROWTH" hidden="1">"c74"</definedName>
    <definedName name="IQ_AVG_INT_EARN_ASSETS_1YR_ANN_GROWTH" hidden="1">"c75"</definedName>
    <definedName name="IQ_AVG_INT_EARN_ASSETS_2YR_ANN_GROWTH" hidden="1">"c76"</definedName>
    <definedName name="IQ_AVG_INT_EARN_ASSETS_3YR_ANN_GROWTH" hidden="1">"c77"</definedName>
    <definedName name="IQ_AVG_INT_EARN_ASSETS_5YR_ANN_GROWTH" hidden="1">"c78"</definedName>
    <definedName name="IQ_AVG_INT_EARN_ASSETS_7YR_ANN_GROWTH" hidden="1">"c79"</definedName>
    <definedName name="IQ_AVG_MKTCAP" hidden="1">"c80"</definedName>
    <definedName name="IQ_AVG_PRICE" hidden="1">"c81"</definedName>
    <definedName name="IQ_AVG_PRICE_TARGET" hidden="1">"c82"</definedName>
    <definedName name="IQ_AVG_SHAREOUTSTANDING" hidden="1">"c83"</definedName>
    <definedName name="IQ_AVG_TEV" hidden="1">"c84"</definedName>
    <definedName name="IQ_AVG_VOLUME" hidden="1">"c65"</definedName>
    <definedName name="IQ_BANK_DEBT" hidden="1">"c2544"</definedName>
    <definedName name="IQ_BANK_DEBT_PCT" hidden="1">"c2545"</definedName>
    <definedName name="IQ_BASIC_EPS_EXCL" hidden="1">"c85"</definedName>
    <definedName name="IQ_BASIC_EPS_INCL" hidden="1">"c86"</definedName>
    <definedName name="IQ_BASIC_NORMAL_EPS" hidden="1">"c1592"</definedName>
    <definedName name="IQ_BASIC_WEIGHT" hidden="1">"c87"</definedName>
    <definedName name="IQ_BENCHMARK_SECURITY" hidden="1">"c2154"</definedName>
    <definedName name="IQ_BENCHMARK_SPRD" hidden="1">"c2153"</definedName>
    <definedName name="IQ_BETA" hidden="1">"c88"</definedName>
    <definedName name="IQ_BETA_1YR" hidden="1">"c1966"</definedName>
    <definedName name="IQ_BETA_1YR_RSQ" hidden="1">"c2132"</definedName>
    <definedName name="IQ_BETA_2YR" hidden="1">"c1965"</definedName>
    <definedName name="IQ_BETA_2YR_RSQ" hidden="1">"c2131"</definedName>
    <definedName name="IQ_BETA_5YR" hidden="1">"c88"</definedName>
    <definedName name="IQ_BETA_5YR_RSQ" hidden="1">"c2130"</definedName>
    <definedName name="IQ_BIG_INT_BEAR_CD" hidden="1">"c89"</definedName>
    <definedName name="IQ_BOARD_MEMBER" hidden="1">"c96"</definedName>
    <definedName name="IQ_BOARD_MEMBER_BACKGROUND" hidden="1">"c2101"</definedName>
    <definedName name="IQ_BOARD_MEMBER_TITLE" hidden="1">"c97"</definedName>
    <definedName name="IQ_BOND_COUPON" hidden="1">"c2183"</definedName>
    <definedName name="IQ_BOND_COUPON_TYPE" hidden="1">"c2184"</definedName>
    <definedName name="IQ_BOND_PRICE" hidden="1">"c2162"</definedName>
    <definedName name="IQ_BROK_COMISSION" hidden="1">"c98"</definedName>
    <definedName name="IQ_BROK_COMMISSION" hidden="1">"c3514"</definedName>
    <definedName name="IQ_BUILDINGS" hidden="1">"c99"</definedName>
    <definedName name="IQ_BUSINESS_DESCRIPTION" hidden="1">"c322"</definedName>
    <definedName name="IQ_BV_OVER_SHARES" hidden="1">"c100"</definedName>
    <definedName name="IQ_BV_SHARE" hidden="1">"c100"</definedName>
    <definedName name="IQ_CABLE_ARPU" hidden="1">"c2869"</definedName>
    <definedName name="IQ_CABLE_ARPU_ANALOG" hidden="1">"c2864"</definedName>
    <definedName name="IQ_CABLE_ARPU_BASIC" hidden="1">"c2866"</definedName>
    <definedName name="IQ_CABLE_ARPU_BBAND" hidden="1">"c2867"</definedName>
    <definedName name="IQ_CABLE_ARPU_DIG" hidden="1">"c2865"</definedName>
    <definedName name="IQ_CABLE_ARPU_PHONE" hidden="1">"c2868"</definedName>
    <definedName name="IQ_CABLE_BASIC_PENETRATION" hidden="1">"c2850"</definedName>
    <definedName name="IQ_CABLE_BBAND_PENETRATION" hidden="1">"c2852"</definedName>
    <definedName name="IQ_CABLE_BBAND_PENETRATION_THP" hidden="1">"c2851"</definedName>
    <definedName name="IQ_CABLE_CHURN" hidden="1">"c2874"</definedName>
    <definedName name="IQ_CABLE_CHURN_BASIC" hidden="1">"c2871"</definedName>
    <definedName name="IQ_CABLE_CHURN_BBAND" hidden="1">"c2872"</definedName>
    <definedName name="IQ_CABLE_CHURN_DIG" hidden="1">"c2870"</definedName>
    <definedName name="IQ_CABLE_CHURN_PHONE" hidden="1">"c2873"</definedName>
    <definedName name="IQ_CABLE_HOMES_PER_MILE" hidden="1">"c2849"</definedName>
    <definedName name="IQ_CABLE_HP_BBAND" hidden="1">"c2845"</definedName>
    <definedName name="IQ_CABLE_HP_DIG" hidden="1">"c2844"</definedName>
    <definedName name="IQ_CABLE_HP_PHONE" hidden="1">"c2846"</definedName>
    <definedName name="IQ_CABLE_MILES_PASSED" hidden="1">"c2848"</definedName>
    <definedName name="IQ_CABLE_OTHER_REV" hidden="1">"c2882"</definedName>
    <definedName name="IQ_CABLE_PHONE_PENETRATION" hidden="1">"c2853"</definedName>
    <definedName name="IQ_CABLE_PROGRAMMING_COSTS" hidden="1">"c2884"</definedName>
    <definedName name="IQ_CABLE_REV_ADVERT" hidden="1">"c2880"</definedName>
    <definedName name="IQ_CABLE_REV_ANALOG" hidden="1">"c2875"</definedName>
    <definedName name="IQ_CABLE_REV_BASIC" hidden="1">"c2877"</definedName>
    <definedName name="IQ_CABLE_REV_BBAND" hidden="1">"c2878"</definedName>
    <definedName name="IQ_CABLE_REV_COMMERCIAL" hidden="1">"c2881"</definedName>
    <definedName name="IQ_CABLE_REV_DIG" hidden="1">"c2876"</definedName>
    <definedName name="IQ_CABLE_REV_PHONE" hidden="1">"c2879"</definedName>
    <definedName name="IQ_CABLE_RGU" hidden="1">"c2863"</definedName>
    <definedName name="IQ_CABLE_SUBS_ANALOG" hidden="1">"c2855"</definedName>
    <definedName name="IQ_CABLE_SUBS_BASIC" hidden="1">"c2857"</definedName>
    <definedName name="IQ_CABLE_SUBS_BBAND" hidden="1">"c2858"</definedName>
    <definedName name="IQ_CABLE_SUBS_BUNDLED" hidden="1">"c2861"</definedName>
    <definedName name="IQ_CABLE_SUBS_DIG" hidden="1">"c2856"</definedName>
    <definedName name="IQ_CABLE_SUBS_NON_VIDEO" hidden="1">"c2860"</definedName>
    <definedName name="IQ_CABLE_SUBS_PHONE" hidden="1">"c2859"</definedName>
    <definedName name="IQ_CABLE_SUBS_TOTAL" hidden="1">"c2862"</definedName>
    <definedName name="IQ_CABLE_THP" hidden="1">"c2847"</definedName>
    <definedName name="IQ_CABLE_TOTAL_PENETRATION" hidden="1">"c2854"</definedName>
    <definedName name="IQ_CABLE_TOTAL_REV" hidden="1">"c2883"</definedName>
    <definedName name="IQ_CAL_Q" hidden="1">"c101"</definedName>
    <definedName name="IQ_CAL_Y" hidden="1">"c102"</definedName>
    <definedName name="IQ_CALC_TYPE_BS" hidden="1">"c3086"</definedName>
    <definedName name="IQ_CALC_TYPE_CF" hidden="1">"c3085"</definedName>
    <definedName name="IQ_CALC_TYPE_IS" hidden="1">"c3084"</definedName>
    <definedName name="IQ_CALL_DATE_SCHEDULE" hidden="1">"c2481"</definedName>
    <definedName name="IQ_CALL_FEATURE" hidden="1">"c2197"</definedName>
    <definedName name="IQ_CALL_PRICE_SCHEDULE" hidden="1">"c2482"</definedName>
    <definedName name="IQ_CALLABLE" hidden="1">"c2196"</definedName>
    <definedName name="IQ_CAP_LOSS_CF_1YR" hidden="1">"c3474"</definedName>
    <definedName name="IQ_CAP_LOSS_CF_2YR" hidden="1">"c3475"</definedName>
    <definedName name="IQ_CAP_LOSS_CF_3YR" hidden="1">"c3476"</definedName>
    <definedName name="IQ_CAP_LOSS_CF_4YR" hidden="1">"c3477"</definedName>
    <definedName name="IQ_CAP_LOSS_CF_5YR" hidden="1">"c3478"</definedName>
    <definedName name="IQ_CAP_LOSS_CF_AFTER_FIVE" hidden="1">"c3479"</definedName>
    <definedName name="IQ_CAP_LOSS_CF_MAX_YEAR" hidden="1">"c3482"</definedName>
    <definedName name="IQ_CAP_LOSS_CF_NO_EXP" hidden="1">"c3480"</definedName>
    <definedName name="IQ_CAP_LOSS_CF_TOTAL" hidden="1">"c3481"</definedName>
    <definedName name="IQ_CAPEX" hidden="1">"c103"</definedName>
    <definedName name="IQ_CAPEX_10YR_ANN_GROWTH" hidden="1">"c104"</definedName>
    <definedName name="IQ_CAPEX_1YR_ANN_GROWTH" hidden="1">"c105"</definedName>
    <definedName name="IQ_CAPEX_2YR_ANN_GROWTH" hidden="1">"c106"</definedName>
    <definedName name="IQ_CAPEX_3YR_ANN_GROWTH" hidden="1">"c107"</definedName>
    <definedName name="IQ_CAPEX_5YR_ANN_GROWTH" hidden="1">"c108"</definedName>
    <definedName name="IQ_CAPEX_7YR_ANN_GROWTH" hidden="1">"c109"</definedName>
    <definedName name="IQ_CAPEX_BNK" hidden="1">"c110"</definedName>
    <definedName name="IQ_CAPEX_BR" hidden="1">"c111"</definedName>
    <definedName name="IQ_CAPEX_FIN" hidden="1">"c112"</definedName>
    <definedName name="IQ_CAPEX_INS" hidden="1">"c113"</definedName>
    <definedName name="IQ_CAPEX_UTI" hidden="1">"c114"</definedName>
    <definedName name="IQ_CAPITAL_LEASE" hidden="1">"c115"</definedName>
    <definedName name="IQ_CAPITAL_LEASES" hidden="1">"c115"</definedName>
    <definedName name="IQ_CAPITAL_LEASES_TOTAL" hidden="1">"c3031"</definedName>
    <definedName name="IQ_CAPITAL_LEASES_TOTAL_PCT" hidden="1">"c2506"</definedName>
    <definedName name="IQ_CAPITALIZED_INTEREST" hidden="1">"c3460"</definedName>
    <definedName name="IQ_CAPITALIZED_INTEREST_BOP" hidden="1">"c3459"</definedName>
    <definedName name="IQ_CAPITALIZED_INTEREST_EOP" hidden="1">"c3464"</definedName>
    <definedName name="IQ_CAPITALIZED_INTEREST_EXP" hidden="1">"c3461"</definedName>
    <definedName name="IQ_CAPITALIZED_INTEREST_OTHER_ADJ" hidden="1">"c3463"</definedName>
    <definedName name="IQ_CAPITALIZED_INTEREST_WRITE_OFF" hidden="1">"c3462"</definedName>
    <definedName name="IQ_CASH" hidden="1">"c118"</definedName>
    <definedName name="IQ_CASH_ACQUIRE_CF" hidden="1">"c1630"</definedName>
    <definedName name="IQ_CASH_CONVERSION" hidden="1">"c117"</definedName>
    <definedName name="IQ_CASH_DUE_BANKS" hidden="1">"c118"</definedName>
    <definedName name="IQ_CASH_EQUIV" hidden="1">"c118"</definedName>
    <definedName name="IQ_CASH_FINAN" hidden="1">"c119"</definedName>
    <definedName name="IQ_CASH_INTEREST" hidden="1">"c120"</definedName>
    <definedName name="IQ_CASH_INVEST" hidden="1">"c121"</definedName>
    <definedName name="IQ_CASH_OPER" hidden="1">"c122"</definedName>
    <definedName name="IQ_CASH_SEGREG" hidden="1">"c123"</definedName>
    <definedName name="IQ_CASH_SHARE" hidden="1">"c1911"</definedName>
    <definedName name="IQ_CASH_ST" hidden="1">"c124"</definedName>
    <definedName name="IQ_CASH_ST_INVEST" hidden="1">"c124"</definedName>
    <definedName name="IQ_CASH_TAXES" hidden="1">"c125"</definedName>
    <definedName name="IQ_CEDED_AH_EARNED" hidden="1">"c2743"</definedName>
    <definedName name="IQ_CEDED_CLAIM_EXP_INCUR" hidden="1">"c2756"</definedName>
    <definedName name="IQ_CEDED_CLAIM_EXP_PAID" hidden="1">"c2759"</definedName>
    <definedName name="IQ_CEDED_CLAIM_EXP_RES" hidden="1">"c2753"</definedName>
    <definedName name="IQ_CEDED_EARNED" hidden="1">"c2733"</definedName>
    <definedName name="IQ_CEDED_LIFE_EARNED" hidden="1">"c2738"</definedName>
    <definedName name="IQ_CEDED_LIFE_IN_FORCE" hidden="1">"c2768"</definedName>
    <definedName name="IQ_CEDED_PC_EARNED" hidden="1">"c2748"</definedName>
    <definedName name="IQ_CEDED_WRITTEN" hidden="1">"c2727"</definedName>
    <definedName name="IQ_CFO_10YR_ANN_GROWTH" hidden="1">"c126"</definedName>
    <definedName name="IQ_CFO_1YR_ANN_GROWTH" hidden="1">"c127"</definedName>
    <definedName name="IQ_CFO_2YR_ANN_GROWTH" hidden="1">"c128"</definedName>
    <definedName name="IQ_CFO_3YR_ANN_GROWTH" hidden="1">"c129"</definedName>
    <definedName name="IQ_CFO_5YR_ANN_GROWTH" hidden="1">"c130"</definedName>
    <definedName name="IQ_CFO_7YR_ANN_GROWTH" hidden="1">"c131"</definedName>
    <definedName name="IQ_CFO_CURRENT_LIAB" hidden="1">"c132"</definedName>
    <definedName name="IQ_CH" hidden="1">110000</definedName>
    <definedName name="IQ_CHANGE_AP" hidden="1">"c133"</definedName>
    <definedName name="IQ_CHANGE_AP_BNK" hidden="1">"c134"</definedName>
    <definedName name="IQ_CHANGE_AP_BR" hidden="1">"c135"</definedName>
    <definedName name="IQ_CHANGE_AP_FIN" hidden="1">"c136"</definedName>
    <definedName name="IQ_CHANGE_AP_INS" hidden="1">"c137"</definedName>
    <definedName name="IQ_CHANGE_AP_REIT" hidden="1">"c138"</definedName>
    <definedName name="IQ_CHANGE_AP_UTI" hidden="1">"c139"</definedName>
    <definedName name="IQ_CHANGE_AR" hidden="1">"c140"</definedName>
    <definedName name="IQ_CHANGE_AR_BNK" hidden="1">"c141"</definedName>
    <definedName name="IQ_CHANGE_AR_BR" hidden="1">"c142"</definedName>
    <definedName name="IQ_CHANGE_AR_FIN" hidden="1">"c143"</definedName>
    <definedName name="IQ_CHANGE_AR_INS" hidden="1">"c144"</definedName>
    <definedName name="IQ_CHANGE_AR_REIT" hidden="1">"c145"</definedName>
    <definedName name="IQ_CHANGE_AR_UTI" hidden="1">"c146"</definedName>
    <definedName name="IQ_CHANGE_DEF_TAX" hidden="1">"c147"</definedName>
    <definedName name="IQ_CHANGE_DEPOSIT_ACCT" hidden="1">"c148"</definedName>
    <definedName name="IQ_CHANGE_INC_TAX" hidden="1">"c149"</definedName>
    <definedName name="IQ_CHANGE_INS_RES_LIAB" hidden="1">"c150"</definedName>
    <definedName name="IQ_CHANGE_INVENTORY" hidden="1">"c151"</definedName>
    <definedName name="IQ_CHANGE_NET_OPER_ASSETS" hidden="1">"c3592"</definedName>
    <definedName name="IQ_CHANGE_NET_WORKING_CAPITAL" hidden="1">"c1909"</definedName>
    <definedName name="IQ_CHANGE_OTHER_NET_OPER_ASSETS" hidden="1">"c3593"</definedName>
    <definedName name="IQ_CHANGE_OTHER_NET_OPER_ASSETS_BNK" hidden="1">"c3594"</definedName>
    <definedName name="IQ_CHANGE_OTHER_NET_OPER_ASSETS_BR" hidden="1">"c3595"</definedName>
    <definedName name="IQ_CHANGE_OTHER_NET_OPER_ASSETS_FIN" hidden="1">"c3596"</definedName>
    <definedName name="IQ_CHANGE_OTHER_NET_OPER_ASSETS_INS" hidden="1">"c3597"</definedName>
    <definedName name="IQ_CHANGE_OTHER_NET_OPER_ASSETS_REIT" hidden="1">"c3598"</definedName>
    <definedName name="IQ_CHANGE_OTHER_NET_OPER_ASSETS_UTI" hidden="1">"c3599"</definedName>
    <definedName name="IQ_CHANGE_OTHER_WORK_CAP" hidden="1">"c152"</definedName>
    <definedName name="IQ_CHANGE_OTHER_WORK_CAP_BNK" hidden="1">"c153"</definedName>
    <definedName name="IQ_CHANGE_OTHER_WORK_CAP_BR" hidden="1">"c154"</definedName>
    <definedName name="IQ_CHANGE_OTHER_WORK_CAP_FIN" hidden="1">"c155"</definedName>
    <definedName name="IQ_CHANGE_OTHER_WORK_CAP_INS" hidden="1">"c156"</definedName>
    <definedName name="IQ_CHANGE_OTHER_WORK_CAP_REIT" hidden="1">"c157"</definedName>
    <definedName name="IQ_CHANGE_OTHER_WORK_CAP_UTI" hidden="1">"c158"</definedName>
    <definedName name="IQ_CHANGE_TRADING_ASSETS" hidden="1">"c159"</definedName>
    <definedName name="IQ_CHANGE_UNEARN_REV" hidden="1">"c160"</definedName>
    <definedName name="IQ_CHANGE_WORK_CAP" hidden="1">"c161"</definedName>
    <definedName name="IQ_CHANGES_WORK_CAP" hidden="1">"c161"</definedName>
    <definedName name="IQ_CHARGE_OFFS_GROSS" hidden="1">"c162"</definedName>
    <definedName name="IQ_CHARGE_OFFS_NET" hidden="1">"c163"</definedName>
    <definedName name="IQ_CHARGE_OFFS_RECOVERED" hidden="1">"c164"</definedName>
    <definedName name="IQ_CHARGE_OFFS_TOTAL_AVG_LOANS" hidden="1">"c165"</definedName>
    <definedName name="IQ_CITY" hidden="1">"c166"</definedName>
    <definedName name="IQ_CL_DUE_AFTER_FIVE" hidden="1">"c167"</definedName>
    <definedName name="IQ_CL_DUE_CY" hidden="1">"c168"</definedName>
    <definedName name="IQ_CL_DUE_CY1" hidden="1">"c169"</definedName>
    <definedName name="IQ_CL_DUE_CY2" hidden="1">"c170"</definedName>
    <definedName name="IQ_CL_DUE_CY3" hidden="1">"c171"</definedName>
    <definedName name="IQ_CL_DUE_CY4" hidden="1">"c172"</definedName>
    <definedName name="IQ_CL_DUE_NEXT_FIVE" hidden="1">"c173"</definedName>
    <definedName name="IQ_CL_OBLIGATION_IMMEDIATE" hidden="1">"c2253"</definedName>
    <definedName name="IQ_CLASSA_OPTIONS_BEG_OS" hidden="1">"c2679"</definedName>
    <definedName name="IQ_CLASSA_OPTIONS_CANCELLED" hidden="1">"c2682"</definedName>
    <definedName name="IQ_CLASSA_OPTIONS_END_OS" hidden="1">"c2683"</definedName>
    <definedName name="IQ_CLASSA_OPTIONS_EXERCISED" hidden="1">"c2681"</definedName>
    <definedName name="IQ_CLASSA_OPTIONS_GRANTED" hidden="1">"c2680"</definedName>
    <definedName name="IQ_CLASSA_OPTIONS_STRIKE_PRICE_OS" hidden="1">"c2684"</definedName>
    <definedName name="IQ_CLASSA_OUTSTANDING_BS_DATE" hidden="1">"c1971"</definedName>
    <definedName name="IQ_CLASSA_OUTSTANDING_FILING_DATE" hidden="1">"c1973"</definedName>
    <definedName name="IQ_CLASSA_STRIKE_PRICE_GRANTED" hidden="1">"c2685"</definedName>
    <definedName name="IQ_CLASSA_WARRANTS_BEG_OS" hidden="1">"c2705"</definedName>
    <definedName name="IQ_CLASSA_WARRANTS_CANCELLED" hidden="1">"c2708"</definedName>
    <definedName name="IQ_CLASSA_WARRANTS_END_OS" hidden="1">"c2709"</definedName>
    <definedName name="IQ_CLASSA_WARRANTS_EXERCISED" hidden="1">"c2707"</definedName>
    <definedName name="IQ_CLASSA_WARRANTS_ISSUED" hidden="1">"c2706"</definedName>
    <definedName name="IQ_CLASSA_WARRANTS_STRIKE_PRICE_ISSUED" hidden="1">"c2711"</definedName>
    <definedName name="IQ_CLASSA_WARRANTS_STRIKE_PRICE_OS" hidden="1">"c2710"</definedName>
    <definedName name="IQ_CLOSEPRICE" hidden="1">"c174"</definedName>
    <definedName name="IQ_CLOSEPRICE_ADJ" hidden="1">"c2115"</definedName>
    <definedName name="IQ_COGS" hidden="1">"c175"</definedName>
    <definedName name="IQ_COMBINED_RATIO" hidden="1">"c176"</definedName>
    <definedName name="IQ_COMMERCIAL_DOM" hidden="1">"c177"</definedName>
    <definedName name="IQ_COMMERCIAL_FIRE_WRITTEN" hidden="1">"c178"</definedName>
    <definedName name="IQ_COMMERCIAL_MORT" hidden="1">"c179"</definedName>
    <definedName name="IQ_COMMISS_FEES" hidden="1">"c180"</definedName>
    <definedName name="IQ_COMMISSION_DEF" hidden="1">"c181"</definedName>
    <definedName name="IQ_COMMON" hidden="1">"c182"</definedName>
    <definedName name="IQ_COMMON_APIC" hidden="1">"c183"</definedName>
    <definedName name="IQ_COMMON_APIC_BNK" hidden="1">"c184"</definedName>
    <definedName name="IQ_COMMON_APIC_BR" hidden="1">"c185"</definedName>
    <definedName name="IQ_COMMON_APIC_FIN" hidden="1">"c186"</definedName>
    <definedName name="IQ_COMMON_APIC_INS" hidden="1">"c187"</definedName>
    <definedName name="IQ_COMMON_APIC_REIT" hidden="1">"c188"</definedName>
    <definedName name="IQ_COMMON_APIC_UTI" hidden="1">"c189"</definedName>
    <definedName name="IQ_COMMON_DIV" hidden="1">"c3006"</definedName>
    <definedName name="IQ_COMMON_DIV_CF" hidden="1">"c190"</definedName>
    <definedName name="IQ_COMMON_EQUITY_10YR_ANN_GROWTH" hidden="1">"c191"</definedName>
    <definedName name="IQ_COMMON_EQUITY_1YR_ANN_GROWTH" hidden="1">"c192"</definedName>
    <definedName name="IQ_COMMON_EQUITY_2YR_ANN_GROWTH" hidden="1">"c193"</definedName>
    <definedName name="IQ_COMMON_EQUITY_3YR_ANN_GROWTH" hidden="1">"c194"</definedName>
    <definedName name="IQ_COMMON_EQUITY_5YR_ANN_GROWTH" hidden="1">"c195"</definedName>
    <definedName name="IQ_COMMON_EQUITY_7YR_ANN_GROWTH" hidden="1">"c196"</definedName>
    <definedName name="IQ_COMMON_ISSUED" hidden="1">"c197"</definedName>
    <definedName name="IQ_COMMON_ISSUED_BNK" hidden="1">"c198"</definedName>
    <definedName name="IQ_COMMON_ISSUED_BR" hidden="1">"c199"</definedName>
    <definedName name="IQ_COMMON_ISSUED_FIN" hidden="1">"c200"</definedName>
    <definedName name="IQ_COMMON_ISSUED_INS" hidden="1">"c201"</definedName>
    <definedName name="IQ_COMMON_ISSUED_REIT" hidden="1">"c202"</definedName>
    <definedName name="IQ_COMMON_ISSUED_UTI" hidden="1">"c203"</definedName>
    <definedName name="IQ_COMMON_PER_ADR" hidden="1">"c204"</definedName>
    <definedName name="IQ_COMMON_PREF_DIV_CF" hidden="1">"c205"</definedName>
    <definedName name="IQ_COMMON_REP" hidden="1">"c206"</definedName>
    <definedName name="IQ_COMMON_REP_BNK" hidden="1">"c207"</definedName>
    <definedName name="IQ_COMMON_REP_BR" hidden="1">"c208"</definedName>
    <definedName name="IQ_COMMON_REP_FIN" hidden="1">"c209"</definedName>
    <definedName name="IQ_COMMON_REP_INS" hidden="1">"c210"</definedName>
    <definedName name="IQ_COMMON_REP_REIT" hidden="1">"c211"</definedName>
    <definedName name="IQ_COMMON_REP_UTI" hidden="1">"c212"</definedName>
    <definedName name="IQ_COMMON_STOCK" hidden="1">"c182"</definedName>
    <definedName name="IQ_COMP_BENEFITS" hidden="1">"c213"</definedName>
    <definedName name="IQ_COMPANY_ADDRESS" hidden="1">"c214"</definedName>
    <definedName name="IQ_COMPANY_ID" hidden="1">"c3513"</definedName>
    <definedName name="IQ_COMPANY_NAME" hidden="1">"c215"</definedName>
    <definedName name="IQ_COMPANY_NAME_LONG" hidden="1">"c1585"</definedName>
    <definedName name="IQ_COMPANY_PHONE" hidden="1">"c216"</definedName>
    <definedName name="IQ_COMPANY_STATUS" hidden="1">"c2097"</definedName>
    <definedName name="IQ_COMPANY_STREET1" hidden="1">"c217"</definedName>
    <definedName name="IQ_COMPANY_STREET2" hidden="1">"c218"</definedName>
    <definedName name="IQ_COMPANY_TICKER" hidden="1">"c219"</definedName>
    <definedName name="IQ_COMPANY_TYPE" hidden="1">"c2096"</definedName>
    <definedName name="IQ_COMPANY_WEBSITE" hidden="1">"c220"</definedName>
    <definedName name="IQ_COMPANY_ZIP" hidden="1">"c221"</definedName>
    <definedName name="IQ_CONSTRUCTION_LOANS" hidden="1">"c222"</definedName>
    <definedName name="IQ_CONSUMER_LOANS" hidden="1">"c223"</definedName>
    <definedName name="IQ_CONV_DATE" hidden="1">"c2191"</definedName>
    <definedName name="IQ_CONV_EXP_DATE" hidden="1">"c3043"</definedName>
    <definedName name="IQ_CONV_PREMIUM" hidden="1">"c2195"</definedName>
    <definedName name="IQ_CONV_PRICE" hidden="1">"c2193"</definedName>
    <definedName name="IQ_CONV_RATE" hidden="1">"c2192"</definedName>
    <definedName name="IQ_CONV_RATIO" hidden="1">"c2192"</definedName>
    <definedName name="IQ_CONV_SECURITY" hidden="1">"c2189"</definedName>
    <definedName name="IQ_CONV_SECURITY_ISSUER" hidden="1">"c2190"</definedName>
    <definedName name="IQ_CONV_SECURITY_PRICE" hidden="1">"c2194"</definedName>
    <definedName name="IQ_CONVERT" hidden="1">"c2536"</definedName>
    <definedName name="IQ_CONVERT_PCT" hidden="1">"c2537"</definedName>
    <definedName name="IQ_CONVEXITY" hidden="1">"c2182"</definedName>
    <definedName name="IQ_COST_BORROWING" hidden="1">"c2936"</definedName>
    <definedName name="IQ_COST_BORROWINGS" hidden="1">"c225"</definedName>
    <definedName name="IQ_COST_REV" hidden="1">"c226"</definedName>
    <definedName name="IQ_COST_REVENUE" hidden="1">"c226"</definedName>
    <definedName name="IQ_COST_SAVINGS" hidden="1">"c227"</definedName>
    <definedName name="IQ_COST_SERVICE" hidden="1">"c228"</definedName>
    <definedName name="IQ_COST_TOTAL_BORROWINGS" hidden="1">"c229"</definedName>
    <definedName name="IQ_COUNTRY_NAME" hidden="1">"c230"</definedName>
    <definedName name="IQ_COVERED_POPS" hidden="1">"c2124"</definedName>
    <definedName name="IQ_CP" hidden="1">"c2495"</definedName>
    <definedName name="IQ_CP_PCT" hidden="1">"c2496"</definedName>
    <definedName name="IQ_CQ" hidden="1">5000</definedName>
    <definedName name="IQ_CREDIT_CARD_FEE_BNK" hidden="1">"c231"</definedName>
    <definedName name="IQ_CREDIT_CARD_FEE_FIN" hidden="1">"c1583"</definedName>
    <definedName name="IQ_CREDIT_LOSS_CF" hidden="1">"c232"</definedName>
    <definedName name="IQ_CUMULATIVE_SPLIT_FACTOR" hidden="1">"c2094"</definedName>
    <definedName name="IQ_CURR_DOMESTIC_TAXES" hidden="1">"c2074"</definedName>
    <definedName name="IQ_CURR_FOREIGN_TAXES" hidden="1">"c2075"</definedName>
    <definedName name="IQ_CURRENCY_FACTOR_BS" hidden="1">"c233"</definedName>
    <definedName name="IQ_CURRENCY_FACTOR_IS" hidden="1">"c234"</definedName>
    <definedName name="IQ_CURRENCY_GAIN" hidden="1">"c235"</definedName>
    <definedName name="IQ_CURRENCY_GAIN_BR" hidden="1">"c236"</definedName>
    <definedName name="IQ_CURRENCY_GAIN_FIN" hidden="1">"c237"</definedName>
    <definedName name="IQ_CURRENCY_GAIN_INS" hidden="1">"c238"</definedName>
    <definedName name="IQ_CURRENCY_GAIN_REIT" hidden="1">"c239"</definedName>
    <definedName name="IQ_CURRENCY_GAIN_UTI" hidden="1">"c240"</definedName>
    <definedName name="IQ_CURRENT_PORT" hidden="1">"c241"</definedName>
    <definedName name="IQ_CURRENT_PORT_BNK" hidden="1">"c242"</definedName>
    <definedName name="IQ_CURRENT_PORT_DEBT" hidden="1">"c243"</definedName>
    <definedName name="IQ_CURRENT_PORT_DEBT_BNK" hidden="1">"c244"</definedName>
    <definedName name="IQ_CURRENT_PORT_DEBT_BR" hidden="1">"c1567"</definedName>
    <definedName name="IQ_CURRENT_PORT_DEBT_FIN" hidden="1">"c1568"</definedName>
    <definedName name="IQ_CURRENT_PORT_DEBT_INS" hidden="1">"c1569"</definedName>
    <definedName name="IQ_CURRENT_PORT_DEBT_REIT" hidden="1">"c1570"</definedName>
    <definedName name="IQ_CURRENT_PORT_DEBT_UTI" hidden="1">"c1571"</definedName>
    <definedName name="IQ_CURRENT_PORT_LEASES" hidden="1">"c245"</definedName>
    <definedName name="IQ_CURRENT_PORT_PCT" hidden="1">"c2541"</definedName>
    <definedName name="IQ_CURRENT_RATIO" hidden="1">"c246"</definedName>
    <definedName name="IQ_CY" hidden="1">10000</definedName>
    <definedName name="IQ_DA" hidden="1">"c247"</definedName>
    <definedName name="IQ_DA_BR" hidden="1">"c248"</definedName>
    <definedName name="IQ_DA_CF" hidden="1">"c249"</definedName>
    <definedName name="IQ_DA_CF_BNK" hidden="1">"c250"</definedName>
    <definedName name="IQ_DA_CF_BR" hidden="1">"c251"</definedName>
    <definedName name="IQ_DA_CF_FIN" hidden="1">"c252"</definedName>
    <definedName name="IQ_DA_CF_INS" hidden="1">"c253"</definedName>
    <definedName name="IQ_DA_CF_REIT" hidden="1">"c254"</definedName>
    <definedName name="IQ_DA_CF_UTI" hidden="1">"c255"</definedName>
    <definedName name="IQ_DA_FIN" hidden="1">"c256"</definedName>
    <definedName name="IQ_DA_INS" hidden="1">"c257"</definedName>
    <definedName name="IQ_DA_REIT" hidden="1">"c258"</definedName>
    <definedName name="IQ_DA_SUPPL" hidden="1">"c259"</definedName>
    <definedName name="IQ_DA_SUPPL_BR" hidden="1">"c260"</definedName>
    <definedName name="IQ_DA_SUPPL_CF" hidden="1">"c261"</definedName>
    <definedName name="IQ_DA_SUPPL_CF_BNK" hidden="1">"c262"</definedName>
    <definedName name="IQ_DA_SUPPL_CF_BR" hidden="1">"c263"</definedName>
    <definedName name="IQ_DA_SUPPL_CF_FIN" hidden="1">"c264"</definedName>
    <definedName name="IQ_DA_SUPPL_CF_INS" hidden="1">"c265"</definedName>
    <definedName name="IQ_DA_SUPPL_CF_REIT" hidden="1">"c266"</definedName>
    <definedName name="IQ_DA_SUPPL_CF_UTI" hidden="1">"c267"</definedName>
    <definedName name="IQ_DA_SUPPL_FIN" hidden="1">"c268"</definedName>
    <definedName name="IQ_DA_SUPPL_INS" hidden="1">"c269"</definedName>
    <definedName name="IQ_DA_SUPPL_REIT" hidden="1">"c270"</definedName>
    <definedName name="IQ_DA_SUPPL_UTI" hidden="1">"c271"</definedName>
    <definedName name="IQ_DA_UTI" hidden="1">"c272"</definedName>
    <definedName name="IQ_DAILY" hidden="1">500000</definedName>
    <definedName name="IQ_DATED_DATE" hidden="1">"c2185"</definedName>
    <definedName name="IQ_DAY_COUNT" hidden="1">"c2161"</definedName>
    <definedName name="IQ_DAYS_COVER_SHORT" hidden="1">"c1578"</definedName>
    <definedName name="IQ_DAYS_INVENTORY_OUT" hidden="1">"c273"</definedName>
    <definedName name="IQ_DAYS_PAY_OUTST" hidden="1">"c274"</definedName>
    <definedName name="IQ_DAYS_PAYABLE_OUT" hidden="1">"c274"</definedName>
    <definedName name="IQ_DAYS_SALES_OUT" hidden="1">"c275"</definedName>
    <definedName name="IQ_DAYS_SALES_OUTST" hidden="1">"c275"</definedName>
    <definedName name="IQ_DEBT_ADJ" hidden="1">"c2515"</definedName>
    <definedName name="IQ_DEBT_ADJ_PCT" hidden="1">"c2516"</definedName>
    <definedName name="IQ_DEBT_EQUIV_NET_PBO" hidden="1">"c2938"</definedName>
    <definedName name="IQ_DEBT_EQUIV_OPER_LEASE" hidden="1">"c2935"</definedName>
    <definedName name="IQ_DEF_ACQ_CST" hidden="1">"c301"</definedName>
    <definedName name="IQ_DEF_AMORT" hidden="1">"c276"</definedName>
    <definedName name="IQ_DEF_AMORT_BNK" hidden="1">"c277"</definedName>
    <definedName name="IQ_DEF_AMORT_BR" hidden="1">"c278"</definedName>
    <definedName name="IQ_DEF_AMORT_FIN" hidden="1">"c279"</definedName>
    <definedName name="IQ_DEF_AMORT_INS" hidden="1">"c280"</definedName>
    <definedName name="IQ_DEF_AMORT_REIT" hidden="1">"c281"</definedName>
    <definedName name="IQ_DEF_AMORT_UTI" hidden="1">"c282"</definedName>
    <definedName name="IQ_DEF_BENEFIT_INTEREST_COST" hidden="1">"c283"</definedName>
    <definedName name="IQ_DEF_BENEFIT_INTEREST_COST_DOMESTIC" hidden="1">"c2652"</definedName>
    <definedName name="IQ_DEF_BENEFIT_INTEREST_COST_FOREIGN" hidden="1">"c2660"</definedName>
    <definedName name="IQ_DEF_BENEFIT_OTHER_COST" hidden="1">"c284"</definedName>
    <definedName name="IQ_DEF_BENEFIT_OTHER_COST_DOMESTIC" hidden="1">"c2654"</definedName>
    <definedName name="IQ_DEF_BENEFIT_OTHER_COST_FOREIGN" hidden="1">"c2662"</definedName>
    <definedName name="IQ_DEF_BENEFIT_ROA" hidden="1">"c285"</definedName>
    <definedName name="IQ_DEF_BENEFIT_ROA_DOMESTIC" hidden="1">"c2653"</definedName>
    <definedName name="IQ_DEF_BENEFIT_ROA_FOREIGN" hidden="1">"c2661"</definedName>
    <definedName name="IQ_DEF_BENEFIT_SERVICE_COST" hidden="1">"c286"</definedName>
    <definedName name="IQ_DEF_BENEFIT_SERVICE_COST_DOMESTIC" hidden="1">"c2651"</definedName>
    <definedName name="IQ_DEF_BENEFIT_SERVICE_COST_FOREIGN" hidden="1">"c2659"</definedName>
    <definedName name="IQ_DEF_BENEFIT_TOTAL_COST" hidden="1">"c287"</definedName>
    <definedName name="IQ_DEF_BENEFIT_TOTAL_COST_DOMESTIC" hidden="1">"c2655"</definedName>
    <definedName name="IQ_DEF_BENEFIT_TOTAL_COST_FOREIGN" hidden="1">"c2663"</definedName>
    <definedName name="IQ_DEF_CHARGES_BR" hidden="1">"c288"</definedName>
    <definedName name="IQ_DEF_CHARGES_CF" hidden="1">"c289"</definedName>
    <definedName name="IQ_DEF_CHARGES_FIN" hidden="1">"c290"</definedName>
    <definedName name="IQ_DEF_CHARGES_INS" hidden="1">"c291"</definedName>
    <definedName name="IQ_DEF_CHARGES_LT" hidden="1">"c292"</definedName>
    <definedName name="IQ_DEF_CHARGES_LT_BNK" hidden="1">"c293"</definedName>
    <definedName name="IQ_DEF_CHARGES_LT_BR" hidden="1">"c294"</definedName>
    <definedName name="IQ_DEF_CHARGES_LT_FIN" hidden="1">"c295"</definedName>
    <definedName name="IQ_DEF_CHARGES_LT_INS" hidden="1">"c296"</definedName>
    <definedName name="IQ_DEF_CHARGES_LT_REIT" hidden="1">"c297"</definedName>
    <definedName name="IQ_DEF_CHARGES_LT_UTI" hidden="1">"c298"</definedName>
    <definedName name="IQ_DEF_CHARGES_REIT" hidden="1">"c299"</definedName>
    <definedName name="IQ_DEF_CONTRIBUTION_TOTAL_COST" hidden="1">"c300"</definedName>
    <definedName name="IQ_DEF_INC_TAX" hidden="1">"c313"</definedName>
    <definedName name="IQ_DEF_POLICY_ACQ_COSTS" hidden="1">"c301"</definedName>
    <definedName name="IQ_DEF_POLICY_ACQ_COSTS_CF" hidden="1">"c302"</definedName>
    <definedName name="IQ_DEF_POLICY_AMORT" hidden="1">"c303"</definedName>
    <definedName name="IQ_DEF_TAX_ASSET_LT_BR" hidden="1">"c304"</definedName>
    <definedName name="IQ_DEF_TAX_ASSET_LT_FIN" hidden="1">"c305"</definedName>
    <definedName name="IQ_DEF_TAX_ASSET_LT_INS" hidden="1">"c306"</definedName>
    <definedName name="IQ_DEF_TAX_ASSET_LT_REIT" hidden="1">"c307"</definedName>
    <definedName name="IQ_DEF_TAX_ASSET_LT_UTI" hidden="1">"c308"</definedName>
    <definedName name="IQ_DEF_TAX_ASSETS_CURRENT" hidden="1">"c309"</definedName>
    <definedName name="IQ_DEF_TAX_ASSETS_LT" hidden="1">"c310"</definedName>
    <definedName name="IQ_DEF_TAX_ASSETS_LT_BNK" hidden="1">"c311"</definedName>
    <definedName name="IQ_DEF_TAX_LIAB_CURRENT" hidden="1">"c312"</definedName>
    <definedName name="IQ_DEF_TAX_LIAB_LT" hidden="1">"c313"</definedName>
    <definedName name="IQ_DEF_TAX_LIAB_LT_BNK" hidden="1">"c314"</definedName>
    <definedName name="IQ_DEF_TAX_LIAB_LT_BR" hidden="1">"c315"</definedName>
    <definedName name="IQ_DEF_TAX_LIAB_LT_FIN" hidden="1">"c316"</definedName>
    <definedName name="IQ_DEF_TAX_LIAB_LT_INS" hidden="1">"c317"</definedName>
    <definedName name="IQ_DEF_TAX_LIAB_LT_REIT" hidden="1">"c318"</definedName>
    <definedName name="IQ_DEF_TAX_LIAB_LT_UTI" hidden="1">"c319"</definedName>
    <definedName name="IQ_DEFERRED_DOMESTIC_TAXES" hidden="1">"c2077"</definedName>
    <definedName name="IQ_DEFERRED_FOREIGN_TAXES" hidden="1">"c2078"</definedName>
    <definedName name="IQ_DEFERRED_INC_TAX" hidden="1">"c315"</definedName>
    <definedName name="IQ_DEFERRED_TAXES" hidden="1">"c147"</definedName>
    <definedName name="IQ_DEMAND_DEP" hidden="1">"c320"</definedName>
    <definedName name="IQ_DEPOSITS_FIN" hidden="1">"c321"</definedName>
    <definedName name="IQ_DEPRE_AMORT" hidden="1">"c247"</definedName>
    <definedName name="IQ_DEPRE_AMORT_SUPPL" hidden="1">"c1593"</definedName>
    <definedName name="IQ_DEPRE_DEPLE" hidden="1">"c261"</definedName>
    <definedName name="IQ_DEPRE_SUPP" hidden="1">"c1443"</definedName>
    <definedName name="IQ_DESCRIPTION_LONG" hidden="1">"c322"</definedName>
    <definedName name="IQ_DEVELOP_LAND" hidden="1">"c323"</definedName>
    <definedName name="IQ_DILUT_ADJUST" hidden="1">"c1621"</definedName>
    <definedName name="IQ_DILUT_EPS_EXCL" hidden="1">"c324"</definedName>
    <definedName name="IQ_DILUT_EPS_INCL" hidden="1">"c325"</definedName>
    <definedName name="IQ_DILUT_EPS_NORM" hidden="1">"c1903"</definedName>
    <definedName name="IQ_DILUT_NI" hidden="1">"c2079"</definedName>
    <definedName name="IQ_DILUT_NORMAL_EPS" hidden="1">"c1594"</definedName>
    <definedName name="IQ_DILUT_WEIGHT" hidden="1">"c326"</definedName>
    <definedName name="IQ_DIRECT_AH_EARNED" hidden="1">"c2740"</definedName>
    <definedName name="IQ_DIRECT_EARNED" hidden="1">"c2730"</definedName>
    <definedName name="IQ_DIRECT_LIFE_EARNED" hidden="1">"c2735"</definedName>
    <definedName name="IQ_DIRECT_LIFE_IN_FORCE" hidden="1">"c2765"</definedName>
    <definedName name="IQ_DIRECT_PC_EARNED" hidden="1">"c2745"</definedName>
    <definedName name="IQ_DIRECT_WRITTEN" hidden="1">"c2724"</definedName>
    <definedName name="IQ_DISCONT_OPER" hidden="1">"c333"</definedName>
    <definedName name="IQ_DISCOUNT_RATE_PENSION_DOMESTIC" hidden="1">"c327"</definedName>
    <definedName name="IQ_DISCOUNT_RATE_PENSION_FOREIGN" hidden="1">"c328"</definedName>
    <definedName name="IQ_DISTR_EXCESS_EARN" hidden="1">"c329"</definedName>
    <definedName name="IQ_DISTRIBUTABLE_CASH" hidden="1">"c3002"</definedName>
    <definedName name="IQ_DISTRIBUTABLE_CASH_PAYOUT" hidden="1">"c3005"</definedName>
    <definedName name="IQ_DISTRIBUTABLE_CASH_SHARE" hidden="1">"c3003"</definedName>
    <definedName name="IQ_DIV_AMOUNT" hidden="1">"c3041"</definedName>
    <definedName name="IQ_DIV_PAYMENT_DATE" hidden="1">"c2205"</definedName>
    <definedName name="IQ_DIV_RECORD_DATE" hidden="1">"c2204"</definedName>
    <definedName name="IQ_DIV_SHARE" hidden="1">"c330"</definedName>
    <definedName name="IQ_DIVEST_CF" hidden="1">"c331"</definedName>
    <definedName name="IQ_DIVID_SHARE" hidden="1">"c330"</definedName>
    <definedName name="IQ_DIVIDEND_YIELD" hidden="1">"c332"</definedName>
    <definedName name="IQ_DNTM" hidden="1">700000</definedName>
    <definedName name="IQ_DO" hidden="1">"c333"</definedName>
    <definedName name="IQ_DO_ASSETS_CURRENT" hidden="1">"c334"</definedName>
    <definedName name="IQ_DO_ASSETS_LT" hidden="1">"c335"</definedName>
    <definedName name="IQ_DO_CF" hidden="1">"c336"</definedName>
    <definedName name="IQ_DPAC_ACC" hidden="1">"c2799"</definedName>
    <definedName name="IQ_DPAC_AMORT" hidden="1">"c2795"</definedName>
    <definedName name="IQ_DPAC_BEG" hidden="1">"c2791"</definedName>
    <definedName name="IQ_DPAC_COMMISSIONS" hidden="1">"c2792"</definedName>
    <definedName name="IQ_DPAC_END" hidden="1">"c2801"</definedName>
    <definedName name="IQ_DPAC_FX" hidden="1">"c2798"</definedName>
    <definedName name="IQ_DPAC_OTHER_ADJ" hidden="1">"c2800"</definedName>
    <definedName name="IQ_DPAC_OTHERS" hidden="1">"c2793"</definedName>
    <definedName name="IQ_DPAC_PERIOD" hidden="1">"c2794"</definedName>
    <definedName name="IQ_DPAC_REAL_GAIN" hidden="1">"c2797"</definedName>
    <definedName name="IQ_DPAC_UNREAL_GAIN" hidden="1">"c2796"</definedName>
    <definedName name="IQ_DPS_10YR_ANN_GROWTH" hidden="1">"c337"</definedName>
    <definedName name="IQ_DPS_1YR_ANN_GROWTH" hidden="1">"c338"</definedName>
    <definedName name="IQ_DPS_2YR_ANN_GROWTH" hidden="1">"c339"</definedName>
    <definedName name="IQ_DPS_3YR_ANN_GROWTH" hidden="1">"c340"</definedName>
    <definedName name="IQ_DPS_5YR_ANN_GROWTH" hidden="1">"c341"</definedName>
    <definedName name="IQ_DPS_7YR_ANN_GROWTH" hidden="1">"c342"</definedName>
    <definedName name="IQ_DURATION" hidden="1">"c2181"</definedName>
    <definedName name="IQ_EARNING_ASSET_YIELD" hidden="1">"c343"</definedName>
    <definedName name="IQ_EARNING_CO" hidden="1">"c344"</definedName>
    <definedName name="IQ_EARNING_CO_10YR_ANN_GROWTH" hidden="1">"c345"</definedName>
    <definedName name="IQ_EARNING_CO_1YR_ANN_GROWTH" hidden="1">"c346"</definedName>
    <definedName name="IQ_EARNING_CO_2YR_ANN_GROWTH" hidden="1">"c347"</definedName>
    <definedName name="IQ_EARNING_CO_3YR_ANN_GROWTH" hidden="1">"c348"</definedName>
    <definedName name="IQ_EARNING_CO_5YR_ANN_GROWTH" hidden="1">"c349"</definedName>
    <definedName name="IQ_EARNING_CO_7YR_ANN_GROWTH" hidden="1">"c350"</definedName>
    <definedName name="IQ_EARNING_CO_MARGIN" hidden="1">"c351"</definedName>
    <definedName name="IQ_EBIT" hidden="1">"c352"</definedName>
    <definedName name="IQ_EBIT_10YR_ANN_GROWTH" hidden="1">"c353"</definedName>
    <definedName name="IQ_EBIT_1YR_ANN_GROWTH" hidden="1">"c354"</definedName>
    <definedName name="IQ_EBIT_2YR_ANN_GROWTH" hidden="1">"c355"</definedName>
    <definedName name="IQ_EBIT_3YR_ANN_GROWTH" hidden="1">"c356"</definedName>
    <definedName name="IQ_EBIT_5YR_ANN_GROWTH" hidden="1">"c357"</definedName>
    <definedName name="IQ_EBIT_7YR_ANN_GROWTH" hidden="1">"c358"</definedName>
    <definedName name="IQ_EBIT_EQ_INC" hidden="1">"c3498"</definedName>
    <definedName name="IQ_EBIT_EQ_INC_EXCL_SBC" hidden="1">"c3502"</definedName>
    <definedName name="IQ_EBIT_EXCL_SBC" hidden="1">"c3082"</definedName>
    <definedName name="IQ_EBIT_INT" hidden="1">"c360"</definedName>
    <definedName name="IQ_EBIT_MARGIN" hidden="1">"c359"</definedName>
    <definedName name="IQ_EBIT_OVER_IE" hidden="1">"c360"</definedName>
    <definedName name="IQ_EBITA" hidden="1">"c1910"</definedName>
    <definedName name="IQ_EBITA_10YR_ANN_GROWTH" hidden="1">"c1954"</definedName>
    <definedName name="IQ_EBITA_1YR_ANN_GROWTH" hidden="1">"c1949"</definedName>
    <definedName name="IQ_EBITA_2YR_ANN_GROWTH" hidden="1">"c1950"</definedName>
    <definedName name="IQ_EBITA_3YR_ANN_GROWTH" hidden="1">"c1951"</definedName>
    <definedName name="IQ_EBITA_5YR_ANN_GROWTH" hidden="1">"c1952"</definedName>
    <definedName name="IQ_EBITA_7YR_ANN_GROWTH" hidden="1">"c1953"</definedName>
    <definedName name="IQ_EBITA_EQ_INC" hidden="1">"c3497"</definedName>
    <definedName name="IQ_EBITA_EQ_INC_EXCL_SBC" hidden="1">"c3501"</definedName>
    <definedName name="IQ_EBITA_EXCL_SBC" hidden="1">"c3080"</definedName>
    <definedName name="IQ_EBITA_MARGIN" hidden="1">"c1963"</definedName>
    <definedName name="IQ_EBITDA" hidden="1">"c361"</definedName>
    <definedName name="IQ_EBITDA_10YR_ANN_GROWTH" hidden="1">"c362"</definedName>
    <definedName name="IQ_EBITDA_1YR_ANN_GROWTH" hidden="1">"c363"</definedName>
    <definedName name="IQ_EBITDA_2YR_ANN_GROWTH" hidden="1">"c364"</definedName>
    <definedName name="IQ_EBITDA_3YR_ANN_GROWTH" hidden="1">"c365"</definedName>
    <definedName name="IQ_EBITDA_5YR_ANN_GROWTH" hidden="1">"c366"</definedName>
    <definedName name="IQ_EBITDA_7YR_ANN_GROWTH" hidden="1">"c367"</definedName>
    <definedName name="IQ_EBITDA_CAPEX_INT" hidden="1">"c368"</definedName>
    <definedName name="IQ_EBITDA_CAPEX_OVER_TOTAL_IE" hidden="1">"c368"</definedName>
    <definedName name="IQ_EBITDA_EQ_INC" hidden="1">"c3496"</definedName>
    <definedName name="IQ_EBITDA_EQ_INC_EXCL_SBC" hidden="1">"c3500"</definedName>
    <definedName name="IQ_EBITDA_EST" hidden="1">"c369"</definedName>
    <definedName name="IQ_EBITDA_EXCL_SBC" hidden="1">"c3081"</definedName>
    <definedName name="IQ_EBITDA_HIGH_EST" hidden="1">"c370"</definedName>
    <definedName name="IQ_EBITDA_INT" hidden="1">"c373"</definedName>
    <definedName name="IQ_EBITDA_LOW_EST" hidden="1">"c371"</definedName>
    <definedName name="IQ_EBITDA_MARGIN" hidden="1">"c372"</definedName>
    <definedName name="IQ_EBITDA_NUM_EST" hidden="1">"c374"</definedName>
    <definedName name="IQ_EBITDA_OVER_TOTAL_IE" hidden="1">"c373"</definedName>
    <definedName name="IQ_EBITDA_STDDEV_EST" hidden="1">"c375"</definedName>
    <definedName name="IQ_EBITDAR" hidden="1">"c2989"</definedName>
    <definedName name="IQ_EBITDAR_EQ_INC" hidden="1">"c3499"</definedName>
    <definedName name="IQ_EBITDAR_EQ_INC_EXCL_SBC" hidden="1">"c3503"</definedName>
    <definedName name="IQ_EBITDAR_EXCL_SBC" hidden="1">"c3083"</definedName>
    <definedName name="IQ_EBT" hidden="1">"c376"</definedName>
    <definedName name="IQ_EBT_BNK" hidden="1">"c377"</definedName>
    <definedName name="IQ_EBT_BR" hidden="1">"c378"</definedName>
    <definedName name="IQ_EBT_EXCL" hidden="1">"c379"</definedName>
    <definedName name="IQ_EBT_EXCL_BNK" hidden="1">"c380"</definedName>
    <definedName name="IQ_EBT_EXCL_BR" hidden="1">"c381"</definedName>
    <definedName name="IQ_EBT_EXCL_FIN" hidden="1">"c382"</definedName>
    <definedName name="IQ_EBT_EXCL_INS" hidden="1">"c383"</definedName>
    <definedName name="IQ_EBT_EXCL_MARGIN" hidden="1">"c1462"</definedName>
    <definedName name="IQ_EBT_EXCL_REIT" hidden="1">"c384"</definedName>
    <definedName name="IQ_EBT_EXCL_UTI" hidden="1">"c385"</definedName>
    <definedName name="IQ_EBT_FIN" hidden="1">"c386"</definedName>
    <definedName name="IQ_EBT_INCL_MARGIN" hidden="1">"c387"</definedName>
    <definedName name="IQ_EBT_INS" hidden="1">"c388"</definedName>
    <definedName name="IQ_EBT_REIT" hidden="1">"c389"</definedName>
    <definedName name="IQ_EBT_UTI" hidden="1">"c390"</definedName>
    <definedName name="IQ_EFFECT_SPECIAL_CHARGE" hidden="1">"c1595"</definedName>
    <definedName name="IQ_EFFECT_TAX_RATE" hidden="1">"c1899"</definedName>
    <definedName name="IQ_EFFICIENCY_RATIO" hidden="1">"c391"</definedName>
    <definedName name="IQ_EMPLOYEES" hidden="1">"c392"</definedName>
    <definedName name="IQ_ENTERPRISE_VALUE" hidden="1">"c84"</definedName>
    <definedName name="IQ_EPS_10YR_ANN_GROWTH" hidden="1">"c393"</definedName>
    <definedName name="IQ_EPS_1YR_ANN_GROWTH" hidden="1">"c394"</definedName>
    <definedName name="IQ_EPS_2YR_ANN_GROWTH" hidden="1">"c395"</definedName>
    <definedName name="IQ_EPS_3YR_ANN_GROWTH" hidden="1">"c396"</definedName>
    <definedName name="IQ_EPS_5YR_ANN_GROWTH" hidden="1">"c397"</definedName>
    <definedName name="IQ_EPS_7YR_ANN_GROWTH" hidden="1">"c398"</definedName>
    <definedName name="IQ_EPS_EST" hidden="1">"c399"</definedName>
    <definedName name="IQ_EPS_HIGH_EST" hidden="1">"c400"</definedName>
    <definedName name="IQ_EPS_LOW_EST" hidden="1">"c401"</definedName>
    <definedName name="IQ_EPS_NORM" hidden="1">"c1902"</definedName>
    <definedName name="IQ_EPS_NUM_EST" hidden="1">"c402"</definedName>
    <definedName name="IQ_EPS_STDDEV_EST" hidden="1">"c403"</definedName>
    <definedName name="IQ_EQUITY_AFFIL" hidden="1">"c552"</definedName>
    <definedName name="IQ_EQUITY_METHOD" hidden="1">"c404"</definedName>
    <definedName name="IQ_EQV_OVER_BV" hidden="1">"c1596"</definedName>
    <definedName name="IQ_EQV_OVER_LTM_PRETAX_INC" hidden="1">"c739"</definedName>
    <definedName name="IQ_ESOP_DEBT" hidden="1">"c1597"</definedName>
    <definedName name="IQ_EST_ACT_EPS" hidden="1">"c1648"</definedName>
    <definedName name="IQ_EST_DATE" hidden="1">"c1634"</definedName>
    <definedName name="IQ_EST_EPS_GROWTH_1YR" hidden="1">"c1636"</definedName>
    <definedName name="IQ_EST_EPS_GROWTH_2YR" hidden="1">"c1637"</definedName>
    <definedName name="IQ_EST_EPS_GROWTH_Q_1YR" hidden="1">"c1641"</definedName>
    <definedName name="IQ_EST_EPS_SURPRISE" hidden="1">"c1635"</definedName>
    <definedName name="IQ_EST_REV_GROWTH_1YR" hidden="1">"c1638"</definedName>
    <definedName name="IQ_EST_REV_GROWTH_2YR" hidden="1">"c1639"</definedName>
    <definedName name="IQ_EST_REV_GROWTH_Q_1YR" hidden="1">"c1640"</definedName>
    <definedName name="IQ_EV_OVER_EMPLOYEE" hidden="1">"c1225"</definedName>
    <definedName name="IQ_EV_OVER_LTM_EBIT" hidden="1">"c1221"</definedName>
    <definedName name="IQ_EV_OVER_LTM_EBITDA" hidden="1">"c1223"</definedName>
    <definedName name="IQ_EV_OVER_LTM_REVENUE" hidden="1">"c1227"</definedName>
    <definedName name="IQ_EVAL_DATE" hidden="1">"c2180"</definedName>
    <definedName name="IQ_EXCHANGE" hidden="1">"c405"</definedName>
    <definedName name="IQ_EXERCISE_PRICE" hidden="1">"c406"</definedName>
    <definedName name="IQ_EXERCISED" hidden="1">"c406"</definedName>
    <definedName name="IQ_EXP_RETURN_PENSION_DOMESTIC" hidden="1">"c407"</definedName>
    <definedName name="IQ_EXP_RETURN_PENSION_FOREIGN" hidden="1">"c408"</definedName>
    <definedName name="IQ_EXPLORE_DRILL" hidden="1">"c409"</definedName>
    <definedName name="IQ_EXTRA_ACC_ITEMS" hidden="1">"c410"</definedName>
    <definedName name="IQ_EXTRA_ACC_ITEMS_BNK" hidden="1">"c411"</definedName>
    <definedName name="IQ_EXTRA_ACC_ITEMS_BR" hidden="1">"c412"</definedName>
    <definedName name="IQ_EXTRA_ACC_ITEMS_FIN" hidden="1">"c413"</definedName>
    <definedName name="IQ_EXTRA_ACC_ITEMS_INS" hidden="1">"c414"</definedName>
    <definedName name="IQ_EXTRA_ACC_ITEMS_REIT" hidden="1">"c415"</definedName>
    <definedName name="IQ_EXTRA_ACC_ITEMS_UTI" hidden="1">"c416"</definedName>
    <definedName name="IQ_EXTRA_ITEMS" hidden="1">"c413"</definedName>
    <definedName name="IQ_FDIC" hidden="1">"c417"</definedName>
    <definedName name="IQ_FEDFUNDS_SOLD" hidden="1">"c2256"</definedName>
    <definedName name="IQ_FFO" hidden="1">"c1574"</definedName>
    <definedName name="IQ_FFO_EST" hidden="1">"c418"</definedName>
    <definedName name="IQ_FFO_HIGH_EST" hidden="1">"c419"</definedName>
    <definedName name="IQ_FFO_LOW_EST" hidden="1">"c420"</definedName>
    <definedName name="IQ_FFO_NUM_EST" hidden="1">"c421"</definedName>
    <definedName name="IQ_FFO_PAYOUT_RATIO" hidden="1">"c3492"</definedName>
    <definedName name="IQ_FFO_STDDEV_EST" hidden="1">"c422"</definedName>
    <definedName name="IQ_FH" hidden="1">100000</definedName>
    <definedName name="IQ_FHLB_DEBT" hidden="1">"c423"</definedName>
    <definedName name="IQ_FHLB_DUE_CY" hidden="1">"c2080"</definedName>
    <definedName name="IQ_FHLB_DUE_CY1" hidden="1">"c2081"</definedName>
    <definedName name="IQ_FHLB_DUE_CY2" hidden="1">"c2082"</definedName>
    <definedName name="IQ_FHLB_DUE_CY3" hidden="1">"c2083"</definedName>
    <definedName name="IQ_FHLB_DUE_CY4" hidden="1">"c2084"</definedName>
    <definedName name="IQ_FHLB_DUE_NEXT_FIVE" hidden="1">"c2085"</definedName>
    <definedName name="IQ_FILING_CURRENCY" hidden="1">"c2129"</definedName>
    <definedName name="IQ_FILINGDATE_BS" hidden="1">"c424"</definedName>
    <definedName name="IQ_FILINGDATE_CF" hidden="1">"c425"</definedName>
    <definedName name="IQ_FILINGDATE_IS" hidden="1">"c426"</definedName>
    <definedName name="IQ_FILM_RIGHTS" hidden="1">"c2254"</definedName>
    <definedName name="IQ_FIN_DIV_ASSETS_CURRENT" hidden="1">"c427"</definedName>
    <definedName name="IQ_FIN_DIV_ASSETS_LT" hidden="1">"c428"</definedName>
    <definedName name="IQ_FIN_DIV_DEBT_CURRENT" hidden="1">"c429"</definedName>
    <definedName name="IQ_FIN_DIV_DEBT_LT" hidden="1">"c430"</definedName>
    <definedName name="IQ_FIN_DIV_EXP" hidden="1">"c431"</definedName>
    <definedName name="IQ_FIN_DIV_INT_EXP" hidden="1">"c432"</definedName>
    <definedName name="IQ_FIN_DIV_LIAB_CURRENT" hidden="1">"c433"</definedName>
    <definedName name="IQ_FIN_DIV_LIAB_LT" hidden="1">"c434"</definedName>
    <definedName name="IQ_FIN_DIV_LOANS_CURRENT" hidden="1">"c435"</definedName>
    <definedName name="IQ_FIN_DIV_LOANS_LT" hidden="1">"c436"</definedName>
    <definedName name="IQ_FIN_DIV_REV" hidden="1">"c437"</definedName>
    <definedName name="IQ_FINANCING_CASH" hidden="1">"c893"</definedName>
    <definedName name="IQ_FINANCING_CASH_SUPPL" hidden="1">"c899"</definedName>
    <definedName name="IQ_FINISHED_INV" hidden="1">"c438"</definedName>
    <definedName name="IQ_FIRST_INT_DATE" hidden="1">"c2186"</definedName>
    <definedName name="IQ_FIRST_YEAR_LIFE" hidden="1">"c439"</definedName>
    <definedName name="IQ_FIRST_YEAR_LIFE_PREM" hidden="1">"c2787"</definedName>
    <definedName name="IQ_FIRST_YEAR_PREM" hidden="1">"c2786"</definedName>
    <definedName name="IQ_FIRSTPRICINGDATE" hidden="1">"c3050"</definedName>
    <definedName name="IQ_FISCAL_Q" hidden="1">"c440"</definedName>
    <definedName name="IQ_FISCAL_Y" hidden="1">"c441"</definedName>
    <definedName name="IQ_FIVE_PERCENT_OWNER" hidden="1">"c442"</definedName>
    <definedName name="IQ_FIVEPERCENT_PERCENT" hidden="1">"c443"</definedName>
    <definedName name="IQ_FIVEPERCENT_SHARES" hidden="1">"c444"</definedName>
    <definedName name="IQ_FIXED_ASSET_TURNS" hidden="1">"c445"</definedName>
    <definedName name="IQ_FLOAT_PERCENT" hidden="1">"c1575"</definedName>
    <definedName name="IQ_FOREIGN_DEP_IB" hidden="1">"c446"</definedName>
    <definedName name="IQ_FOREIGN_DEP_NON_IB" hidden="1">"c447"</definedName>
    <definedName name="IQ_FOREIGN_EXCHANGE" hidden="1">"c451"</definedName>
    <definedName name="IQ_FOREIGN_LOANS" hidden="1">"c448"</definedName>
    <definedName name="IQ_FQ" hidden="1">500</definedName>
    <definedName name="IQ_FUEL" hidden="1">"c449"</definedName>
    <definedName name="IQ_FULL_TIME" hidden="1">"c450"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X" hidden="1">"c451"</definedName>
    <definedName name="IQ_FY" hidden="1">1000</definedName>
    <definedName name="IQ_GA_EXP" hidden="1">"c2241"</definedName>
    <definedName name="IQ_GAIN_ASSETS" hidden="1">"c452"</definedName>
    <definedName name="IQ_GAIN_ASSETS_BNK" hidden="1">"c453"</definedName>
    <definedName name="IQ_GAIN_ASSETS_BR" hidden="1">"c454"</definedName>
    <definedName name="IQ_GAIN_ASSETS_CF" hidden="1">"c455"</definedName>
    <definedName name="IQ_GAIN_ASSETS_CF_BNK" hidden="1">"c456"</definedName>
    <definedName name="IQ_GAIN_ASSETS_CF_BR" hidden="1">"c457"</definedName>
    <definedName name="IQ_GAIN_ASSETS_CF_FIN" hidden="1">"c458"</definedName>
    <definedName name="IQ_GAIN_ASSETS_CF_INS" hidden="1">"c459"</definedName>
    <definedName name="IQ_GAIN_ASSETS_CF_REIT" hidden="1">"c460"</definedName>
    <definedName name="IQ_GAIN_ASSETS_CF_UTI" hidden="1">"c461"</definedName>
    <definedName name="IQ_GAIN_ASSETS_FIN" hidden="1">"c462"</definedName>
    <definedName name="IQ_GAIN_ASSETS_INS" hidden="1">"c463"</definedName>
    <definedName name="IQ_GAIN_ASSETS_REIT" hidden="1">"c471"</definedName>
    <definedName name="IQ_GAIN_ASSETS_REV" hidden="1">"c472"</definedName>
    <definedName name="IQ_GAIN_ASSETS_REV_BNK" hidden="1">"c473"</definedName>
    <definedName name="IQ_GAIN_ASSETS_REV_BR" hidden="1">"c474"</definedName>
    <definedName name="IQ_GAIN_ASSETS_REV_FIN" hidden="1">"c475"</definedName>
    <definedName name="IQ_GAIN_ASSETS_REV_INS" hidden="1">"c476"</definedName>
    <definedName name="IQ_GAIN_ASSETS_REV_REIT" hidden="1">"c477"</definedName>
    <definedName name="IQ_GAIN_ASSETS_REV_UTI" hidden="1">"c478"</definedName>
    <definedName name="IQ_GAIN_ASSETS_UTI" hidden="1">"c479"</definedName>
    <definedName name="IQ_GAIN_INVEST" hidden="1">"c1463"</definedName>
    <definedName name="IQ_GAIN_INVEST_BNK" hidden="1">"c1582"</definedName>
    <definedName name="IQ_GAIN_INVEST_BR" hidden="1">"c1464"</definedName>
    <definedName name="IQ_GAIN_INVEST_CF" hidden="1">"c480"</definedName>
    <definedName name="IQ_GAIN_INVEST_CF_BNK" hidden="1">"c481"</definedName>
    <definedName name="IQ_GAIN_INVEST_CF_BR" hidden="1">"c482"</definedName>
    <definedName name="IQ_GAIN_INVEST_CF_FIN" hidden="1">"c483"</definedName>
    <definedName name="IQ_GAIN_INVEST_CF_INS" hidden="1">"c484"</definedName>
    <definedName name="IQ_GAIN_INVEST_CF_REIT" hidden="1">"c485"</definedName>
    <definedName name="IQ_GAIN_INVEST_CF_UTI" hidden="1">"c486"</definedName>
    <definedName name="IQ_GAIN_INVEST_FIN" hidden="1">"c1465"</definedName>
    <definedName name="IQ_GAIN_INVEST_INS" hidden="1">"c1466"</definedName>
    <definedName name="IQ_GAIN_INVEST_REIT" hidden="1">"c1467"</definedName>
    <definedName name="IQ_GAIN_INVEST_REV" hidden="1">"c494"</definedName>
    <definedName name="IQ_GAIN_INVEST_REV_BNK" hidden="1">"c495"</definedName>
    <definedName name="IQ_GAIN_INVEST_REV_BR" hidden="1">"c496"</definedName>
    <definedName name="IQ_GAIN_INVEST_REV_FIN" hidden="1">"c497"</definedName>
    <definedName name="IQ_GAIN_INVEST_REV_INS" hidden="1">"c498"</definedName>
    <definedName name="IQ_GAIN_INVEST_REV_REIT" hidden="1">"c499"</definedName>
    <definedName name="IQ_GAIN_INVEST_REV_UTI" hidden="1">"c500"</definedName>
    <definedName name="IQ_GAIN_INVEST_UTI" hidden="1">"c1468"</definedName>
    <definedName name="IQ_GAIN_LOANS_REC" hidden="1">"c501"</definedName>
    <definedName name="IQ_GAIN_LOANS_RECEIV" hidden="1">"c502"</definedName>
    <definedName name="IQ_GAIN_LOANS_RECEIV_REV_FIN" hidden="1">"c503"</definedName>
    <definedName name="IQ_GAIN_LOANS_REV" hidden="1">"c504"</definedName>
    <definedName name="IQ_GAIN_SALE_ASSETS" hidden="1">"c452"</definedName>
    <definedName name="IQ_GOODWILL_NET" hidden="1">"c530"</definedName>
    <definedName name="IQ_GP" hidden="1">"c511"</definedName>
    <definedName name="IQ_GP_10YR_ANN_GROWTH" hidden="1">"c512"</definedName>
    <definedName name="IQ_GP_1YR_ANN_GROWTH" hidden="1">"c513"</definedName>
    <definedName name="IQ_GP_2YR_ANN_GROWTH" hidden="1">"c514"</definedName>
    <definedName name="IQ_GP_3YR_ANN_GROWTH" hidden="1">"c515"</definedName>
    <definedName name="IQ_GP_5YR_ANN_GROWTH" hidden="1">"c516"</definedName>
    <definedName name="IQ_GP_7YR_ANN_GROWTH" hidden="1">"c517"</definedName>
    <definedName name="IQ_GPPE" hidden="1">"c518"</definedName>
    <definedName name="IQ_GROSS_AH_EARNED" hidden="1">"c2742"</definedName>
    <definedName name="IQ_GROSS_CLAIM_EXP_INCUR" hidden="1">"c2755"</definedName>
    <definedName name="IQ_GROSS_CLAIM_EXP_PAID" hidden="1">"c2758"</definedName>
    <definedName name="IQ_GROSS_CLAIM_EXP_RES" hidden="1">"c2752"</definedName>
    <definedName name="IQ_GROSS_DIVID" hidden="1">"c192"</definedName>
    <definedName name="IQ_GROSS_EARNED" hidden="1">"c2732"</definedName>
    <definedName name="IQ_GROSS_LIFE_EARNED" hidden="1">"c2737"</definedName>
    <definedName name="IQ_GROSS_LIFE_IN_FORCE" hidden="1">"c2767"</definedName>
    <definedName name="IQ_GROSS_LOANS" hidden="1">"c521"</definedName>
    <definedName name="IQ_GROSS_LOANS_10YR_ANN_GROWTH" hidden="1">"c522"</definedName>
    <definedName name="IQ_GROSS_LOANS_1YR_ANN_GROWTH" hidden="1">"c523"</definedName>
    <definedName name="IQ_GROSS_LOANS_2YR_ANN_GROWTH" hidden="1">"c524"</definedName>
    <definedName name="IQ_GROSS_LOANS_3YR_ANN_GROWTH" hidden="1">"c525"</definedName>
    <definedName name="IQ_GROSS_LOANS_5YR_ANN_GROWTH" hidden="1">"c526"</definedName>
    <definedName name="IQ_GROSS_LOANS_7YR_ANN_GROWTH" hidden="1">"c527"</definedName>
    <definedName name="IQ_GROSS_LOANS_TOTAL_DEPOSITS" hidden="1">"c528"</definedName>
    <definedName name="IQ_GROSS_MARGIN" hidden="1">"c529"</definedName>
    <definedName name="IQ_GROSS_PC_EARNED" hidden="1">"c2747"</definedName>
    <definedName name="IQ_GROSS_PROFIT" hidden="1">"c511"</definedName>
    <definedName name="IQ_GROSS_SPRD" hidden="1">"c2155"</definedName>
    <definedName name="IQ_GROSS_WRITTEN" hidden="1">"c2726"</definedName>
    <definedName name="IQ_GW" hidden="1">"c530"</definedName>
    <definedName name="IQ_GW_AMORT_BR" hidden="1">"c532"</definedName>
    <definedName name="IQ_GW_AMORT_FIN" hidden="1">"c540"</definedName>
    <definedName name="IQ_GW_AMORT_INS" hidden="1">"c541"</definedName>
    <definedName name="IQ_GW_AMORT_REIT" hidden="1">"c542"</definedName>
    <definedName name="IQ_GW_AMORT_UTI" hidden="1">"c543"</definedName>
    <definedName name="IQ_GW_INTAN_AMORT" hidden="1">"c1469"</definedName>
    <definedName name="IQ_GW_INTAN_AMORT_BNK" hidden="1">"c544"</definedName>
    <definedName name="IQ_GW_INTAN_AMORT_BR" hidden="1">"c1470"</definedName>
    <definedName name="IQ_GW_INTAN_AMORT_CF" hidden="1">"c1471"</definedName>
    <definedName name="IQ_GW_INTAN_AMORT_CF_BNK" hidden="1">"c1472"</definedName>
    <definedName name="IQ_GW_INTAN_AMORT_CF_BR" hidden="1">"c1473"</definedName>
    <definedName name="IQ_GW_INTAN_AMORT_CF_FIN" hidden="1">"c1474"</definedName>
    <definedName name="IQ_GW_INTAN_AMORT_CF_INS" hidden="1">"c1475"</definedName>
    <definedName name="IQ_GW_INTAN_AMORT_CF_REIT" hidden="1">"c1476"</definedName>
    <definedName name="IQ_GW_INTAN_AMORT_CF_UTI" hidden="1">"c1477"</definedName>
    <definedName name="IQ_GW_INTAN_AMORT_FIN" hidden="1">"c1478"</definedName>
    <definedName name="IQ_GW_INTAN_AMORT_INS" hidden="1">"c1479"</definedName>
    <definedName name="IQ_GW_INTAN_AMORT_REIT" hidden="1">"c1480"</definedName>
    <definedName name="IQ_GW_INTAN_AMORT_UTI" hidden="1">"c1481"</definedName>
    <definedName name="IQ_HIGHPRICE" hidden="1">"c545"</definedName>
    <definedName name="IQ_HOMEOWNERS_WRITTEN" hidden="1">"c546"</definedName>
    <definedName name="IQ_IMPAIR_OIL" hidden="1">"c547"</definedName>
    <definedName name="IQ_IMPAIRMENT_GW" hidden="1">"c548"</definedName>
    <definedName name="IQ_IMPUT_OPER_LEASE_DEPR" hidden="1">"c2987"</definedName>
    <definedName name="IQ_IMPUT_OPER_LEASE_INT_EXP" hidden="1">"c2986"</definedName>
    <definedName name="IQ_INC_AFTER_TAX" hidden="1">"c1598"</definedName>
    <definedName name="IQ_INC_AVAIL_EXCL" hidden="1">"c789"</definedName>
    <definedName name="IQ_INC_AVAIL_INCL" hidden="1">"c791"</definedName>
    <definedName name="IQ_INC_BEFORE_TAX" hidden="1">"c386"</definedName>
    <definedName name="IQ_INC_EQUITY" hidden="1">"c549"</definedName>
    <definedName name="IQ_INC_EQUITY_BR" hidden="1">"c550"</definedName>
    <definedName name="IQ_INC_EQUITY_CF" hidden="1">"c551"</definedName>
    <definedName name="IQ_INC_EQUITY_FIN" hidden="1">"c552"</definedName>
    <definedName name="IQ_INC_EQUITY_INS" hidden="1">"c553"</definedName>
    <definedName name="IQ_INC_EQUITY_REC_BNK" hidden="1">"c554"</definedName>
    <definedName name="IQ_INC_EQUITY_REIT" hidden="1">"c555"</definedName>
    <definedName name="IQ_INC_EQUITY_REV_BNK" hidden="1">"c556"</definedName>
    <definedName name="IQ_INC_EQUITY_UTI" hidden="1">"c557"</definedName>
    <definedName name="IQ_INC_REAL_ESTATE_REC" hidden="1">"c558"</definedName>
    <definedName name="IQ_INC_REAL_ESTATE_REV" hidden="1">"c559"</definedName>
    <definedName name="IQ_INC_TAX" hidden="1">"c560"</definedName>
    <definedName name="IQ_INC_TAX_EXCL" hidden="1">"c1599"</definedName>
    <definedName name="IQ_INC_TAX_PAY_CURRENT" hidden="1">"c561"</definedName>
    <definedName name="IQ_INC_TRADE_ACT" hidden="1">"c562"</definedName>
    <definedName name="IQ_INDUSTRY" hidden="1">"c3601"</definedName>
    <definedName name="IQ_INDUSTRY_GROUP" hidden="1">"c3602"</definedName>
    <definedName name="IQ_INDUSTRY_SECTOR" hidden="1">"c3603"</definedName>
    <definedName name="IQ_INS_ANNUITY_LIAB" hidden="1">"c563"</definedName>
    <definedName name="IQ_INS_ANNUITY_REV" hidden="1">"c2788"</definedName>
    <definedName name="IQ_INS_DIV_EXP" hidden="1">"c564"</definedName>
    <definedName name="IQ_INS_DIV_REV" hidden="1">"c565"</definedName>
    <definedName name="IQ_INS_IN_FORCE" hidden="1">"c566"</definedName>
    <definedName name="IQ_INS_LIAB" hidden="1">"c567"</definedName>
    <definedName name="IQ_INS_POLICY_EXP" hidden="1">"c568"</definedName>
    <definedName name="IQ_INS_REV" hidden="1">"c569"</definedName>
    <definedName name="IQ_INS_SETTLE" hidden="1">"c570"</definedName>
    <definedName name="IQ_INS_SETTLE_BNK" hidden="1">"c571"</definedName>
    <definedName name="IQ_INS_SETTLE_BR" hidden="1">"c572"</definedName>
    <definedName name="IQ_INS_SETTLE_FIN" hidden="1">"c573"</definedName>
    <definedName name="IQ_INS_SETTLE_INS" hidden="1">"c574"</definedName>
    <definedName name="IQ_INS_SETTLE_REIT" hidden="1">"c575"</definedName>
    <definedName name="IQ_INS_SETTLE_UTI" hidden="1">"c576"</definedName>
    <definedName name="IQ_INSIDER_3MTH_BOUGHT_PCT" hidden="1">"c1534"</definedName>
    <definedName name="IQ_INSIDER_3MTH_NET_PCT" hidden="1">"c1535"</definedName>
    <definedName name="IQ_INSIDER_3MTH_SOLD_PCT" hidden="1">"c1533"</definedName>
    <definedName name="IQ_INSIDER_6MTH_BOUGHT_PCT" hidden="1">"c1537"</definedName>
    <definedName name="IQ_INSIDER_6MTH_NET_PCT" hidden="1">"c1538"</definedName>
    <definedName name="IQ_INSIDER_6MTH_SOLD_PCT" hidden="1">"c1536"</definedName>
    <definedName name="IQ_INSIDER_OVER_TOTAL" hidden="1">"c1581"</definedName>
    <definedName name="IQ_INSIDER_OWNER" hidden="1">"c577"</definedName>
    <definedName name="IQ_INSIDER_PERCENT" hidden="1">"c578"</definedName>
    <definedName name="IQ_INSIDER_SHARES" hidden="1">"c579"</definedName>
    <definedName name="IQ_INSTITUTIONAL_OVER_TOTAL" hidden="1">"c1580"</definedName>
    <definedName name="IQ_INSTITUTIONAL_OWNER" hidden="1">"c580"</definedName>
    <definedName name="IQ_INSTITUTIONAL_PERCENT" hidden="1">"c581"</definedName>
    <definedName name="IQ_INSTITUTIONAL_SHARES" hidden="1">"c582"</definedName>
    <definedName name="IQ_INSUR_RECEIV" hidden="1">"c1600"</definedName>
    <definedName name="IQ_INT_BORROW" hidden="1">"c583"</definedName>
    <definedName name="IQ_INT_DEPOSITS" hidden="1">"c584"</definedName>
    <definedName name="IQ_INT_DIV_INC" hidden="1">"c585"</definedName>
    <definedName name="IQ_INT_EXP_BR" hidden="1">"c586"</definedName>
    <definedName name="IQ_INT_EXP_COVERAGE" hidden="1">"c587"</definedName>
    <definedName name="IQ_INT_EXP_FIN" hidden="1">"c588"</definedName>
    <definedName name="IQ_INT_EXP_INCL_CAP" hidden="1">"c2988"</definedName>
    <definedName name="IQ_INT_EXP_INS" hidden="1">"c589"</definedName>
    <definedName name="IQ_INT_EXP_LTD" hidden="1">"c2086"</definedName>
    <definedName name="IQ_INT_EXP_REIT" hidden="1">"c590"</definedName>
    <definedName name="IQ_INT_EXP_TOTAL" hidden="1">"c591"</definedName>
    <definedName name="IQ_INT_EXP_UTI" hidden="1">"c592"</definedName>
    <definedName name="IQ_INT_INC_BR" hidden="1">"c593"</definedName>
    <definedName name="IQ_INT_INC_FIN" hidden="1">"c594"</definedName>
    <definedName name="IQ_INT_INC_INVEST" hidden="1">"c595"</definedName>
    <definedName name="IQ_INT_INC_LOANS" hidden="1">"c596"</definedName>
    <definedName name="IQ_INT_INC_REIT" hidden="1">"c597"</definedName>
    <definedName name="IQ_INT_INC_TOTAL" hidden="1">"c598"</definedName>
    <definedName name="IQ_INT_INC_UTI" hidden="1">"c599"</definedName>
    <definedName name="IQ_INT_INV_INC" hidden="1">"c600"</definedName>
    <definedName name="IQ_INT_INV_INC_REIT" hidden="1">"c601"</definedName>
    <definedName name="IQ_INT_INV_INC_UTI" hidden="1">"c602"</definedName>
    <definedName name="IQ_INT_ON_BORROWING_COVERAGE" hidden="1">"c603"</definedName>
    <definedName name="IQ_INT_RATE_SPREAD" hidden="1">"c604"</definedName>
    <definedName name="IQ_INTANGIBLES_NET" hidden="1">"c907"</definedName>
    <definedName name="IQ_INTEREST_CASH_DEPOSITS" hidden="1">"c2255"</definedName>
    <definedName name="IQ_INTEREST_EXP" hidden="1">"c618"</definedName>
    <definedName name="IQ_INTEREST_EXP_NET" hidden="1">"c1450"</definedName>
    <definedName name="IQ_INTEREST_EXP_NON" hidden="1">"c618"</definedName>
    <definedName name="IQ_INTEREST_EXP_SUPPL" hidden="1">"c1460"</definedName>
    <definedName name="IQ_INTEREST_INC" hidden="1">"c769"</definedName>
    <definedName name="IQ_INTEREST_INC_NON" hidden="1">"c619"</definedName>
    <definedName name="IQ_INTEREST_INVEST_INC" hidden="1">"c619"</definedName>
    <definedName name="IQ_INV_10YR_ANN_GROWTH" hidden="1">"c1930"</definedName>
    <definedName name="IQ_INV_1YR_ANN_GROWTH" hidden="1">"c1925"</definedName>
    <definedName name="IQ_INV_2YR_ANN_GROWTH" hidden="1">"c1926"</definedName>
    <definedName name="IQ_INV_3YR_ANN_GROWTH" hidden="1">"c1927"</definedName>
    <definedName name="IQ_INV_5YR_ANN_GROWTH" hidden="1">"c1928"</definedName>
    <definedName name="IQ_INV_7YR_ANN_GROWTH" hidden="1">"c1929"</definedName>
    <definedName name="IQ_INV_BANKING_FEE" hidden="1">"c620"</definedName>
    <definedName name="IQ_INV_METHOD" hidden="1">"c621"</definedName>
    <definedName name="IQ_INVENTORY" hidden="1">"c622"</definedName>
    <definedName name="IQ_INVENTORY_TURNS" hidden="1">"c623"</definedName>
    <definedName name="IQ_INVENTORY_UTI" hidden="1">"c624"</definedName>
    <definedName name="IQ_INVEST_DEBT" hidden="1">"c625"</definedName>
    <definedName name="IQ_INVEST_EQUITY_PREF" hidden="1">"c626"</definedName>
    <definedName name="IQ_INVEST_FHLB" hidden="1">"c627"</definedName>
    <definedName name="IQ_INVEST_LOANS_CF" hidden="1">"c628"</definedName>
    <definedName name="IQ_INVEST_LOANS_CF_BNK" hidden="1">"c629"</definedName>
    <definedName name="IQ_INVEST_LOANS_CF_BR" hidden="1">"c630"</definedName>
    <definedName name="IQ_INVEST_LOANS_CF_FIN" hidden="1">"c631"</definedName>
    <definedName name="IQ_INVEST_LOANS_CF_INS" hidden="1">"c632"</definedName>
    <definedName name="IQ_INVEST_LOANS_CF_REIT" hidden="1">"c633"</definedName>
    <definedName name="IQ_INVEST_LOANS_CF_UTI" hidden="1">"c634"</definedName>
    <definedName name="IQ_INVEST_REAL_ESTATE" hidden="1">"c635"</definedName>
    <definedName name="IQ_INVEST_SECURITY" hidden="1">"c636"</definedName>
    <definedName name="IQ_INVEST_SECURITY_CF" hidden="1">"c637"</definedName>
    <definedName name="IQ_INVEST_SECURITY_CF_BNK" hidden="1">"c638"</definedName>
    <definedName name="IQ_INVEST_SECURITY_CF_BR" hidden="1">"c639"</definedName>
    <definedName name="IQ_INVEST_SECURITY_CF_FIN" hidden="1">"c640"</definedName>
    <definedName name="IQ_INVEST_SECURITY_CF_INS" hidden="1">"c641"</definedName>
    <definedName name="IQ_INVEST_SECURITY_CF_REIT" hidden="1">"c642"</definedName>
    <definedName name="IQ_INVEST_SECURITY_CF_UTI" hidden="1">"c643"</definedName>
    <definedName name="IQ_IPRD" hidden="1">"c644"</definedName>
    <definedName name="IQ_ISS_DEBT_NET" hidden="1">"c751"</definedName>
    <definedName name="IQ_ISS_STOCK_NET" hidden="1">"c1601"</definedName>
    <definedName name="IQ_ISSUE_CURRENCY" hidden="1">"c2156"</definedName>
    <definedName name="IQ_ISSUE_NAME" hidden="1">"c2142"</definedName>
    <definedName name="IQ_ISSUER" hidden="1">"c2143"</definedName>
    <definedName name="IQ_ISSUER_CIQID" hidden="1">"c2258"</definedName>
    <definedName name="IQ_ISSUER_PARENT" hidden="1">"c2144"</definedName>
    <definedName name="IQ_ISSUER_PARENT_CIQID" hidden="1">"c2260"</definedName>
    <definedName name="IQ_ISSUER_PARENT_TICKER" hidden="1">"c2259"</definedName>
    <definedName name="IQ_ISSUER_TICKER" hidden="1">"c2252"</definedName>
    <definedName name="IQ_JR_SUB_DEBT" hidden="1">"c2534"</definedName>
    <definedName name="IQ_JR_SUB_DEBT_EBITDA" hidden="1">"c2560"</definedName>
    <definedName name="IQ_JR_SUB_DEBT_EBITDA_CAPEX" hidden="1">"c2561"</definedName>
    <definedName name="IQ_JR_SUB_DEBT_PCT" hidden="1">"c2535"</definedName>
    <definedName name="IQ_LAND" hidden="1">"c645"</definedName>
    <definedName name="IQ_LAST_PMT_DATE" hidden="1">"c2188"</definedName>
    <definedName name="IQ_LAST_SPLIT_DATE" hidden="1">"c2095"</definedName>
    <definedName name="IQ_LAST_SPLIT_FACTOR" hidden="1">"c2093"</definedName>
    <definedName name="IQ_LASTPRICINGDATE" hidden="1">"c3051"</definedName>
    <definedName name="IQ_LASTSALEPRICE" hidden="1">"c646"</definedName>
    <definedName name="IQ_LASTSALEPRICE_DATE" hidden="1">"c2109"</definedName>
    <definedName name="IQ_LATESTK" hidden="1">1000</definedName>
    <definedName name="IQ_LATESTQ" hidden="1">500</definedName>
    <definedName name="IQ_LEGAL_SETTLE" hidden="1">"c647"</definedName>
    <definedName name="IQ_LEGAL_SETTLE_BNK" hidden="1">"c648"</definedName>
    <definedName name="IQ_LEGAL_SETTLE_BR" hidden="1">"c649"</definedName>
    <definedName name="IQ_LEGAL_SETTLE_FIN" hidden="1">"c650"</definedName>
    <definedName name="IQ_LEGAL_SETTLE_INS" hidden="1">"c651"</definedName>
    <definedName name="IQ_LEGAL_SETTLE_REIT" hidden="1">"c652"</definedName>
    <definedName name="IQ_LEGAL_SETTLE_UTI" hidden="1">"c653"</definedName>
    <definedName name="IQ_LEVERAGE_RATIO" hidden="1">"c654"</definedName>
    <definedName name="IQ_LEVERED_FCF" hidden="1">"c1907"</definedName>
    <definedName name="IQ_LFCF_10YR_ANN_GROWTH" hidden="1">"c1942"</definedName>
    <definedName name="IQ_LFCF_1YR_ANN_GROWTH" hidden="1">"c1937"</definedName>
    <definedName name="IQ_LFCF_2YR_ANN_GROWTH" hidden="1">"c1938"</definedName>
    <definedName name="IQ_LFCF_3YR_ANN_GROWTH" hidden="1">"c1939"</definedName>
    <definedName name="IQ_LFCF_5YR_ANN_GROWTH" hidden="1">"c1940"</definedName>
    <definedName name="IQ_LFCF_7YR_ANN_GROWTH" hidden="1">"c1941"</definedName>
    <definedName name="IQ_LFCF_MARGIN" hidden="1">"c1961"</definedName>
    <definedName name="IQ_LH_STATUTORY_SURPLUS" hidden="1">"c2771"</definedName>
    <definedName name="IQ_LICENSED_POPS" hidden="1">"c2123"</definedName>
    <definedName name="IQ_LIFE_EARNED" hidden="1">"c2739"</definedName>
    <definedName name="IQ_LIFOR" hidden="1">"c655"</definedName>
    <definedName name="IQ_LL" hidden="1">"c656"</definedName>
    <definedName name="IQ_LOAN_LEASE_RECEIV" hidden="1">"c657"</definedName>
    <definedName name="IQ_LOAN_LOSS" hidden="1">"c656"</definedName>
    <definedName name="IQ_LOAN_SERVICE_REV" hidden="1">"c658"</definedName>
    <definedName name="IQ_LOANS_CF" hidden="1">"c659"</definedName>
    <definedName name="IQ_LOANS_CF_BNK" hidden="1">"c660"</definedName>
    <definedName name="IQ_LOANS_CF_BR" hidden="1">"c661"</definedName>
    <definedName name="IQ_LOANS_CF_FIN" hidden="1">"c662"</definedName>
    <definedName name="IQ_LOANS_CF_INS" hidden="1">"c663"</definedName>
    <definedName name="IQ_LOANS_CF_REIT" hidden="1">"c664"</definedName>
    <definedName name="IQ_LOANS_CF_UTI" hidden="1">"c665"</definedName>
    <definedName name="IQ_LOANS_FOR_SALE" hidden="1">"c666"</definedName>
    <definedName name="IQ_LOANS_PAST_DUE" hidden="1">"c667"</definedName>
    <definedName name="IQ_LOANS_RECEIV_CURRENT" hidden="1">"c668"</definedName>
    <definedName name="IQ_LOANS_RECEIV_LT" hidden="1">"c669"</definedName>
    <definedName name="IQ_LOANS_RECEIV_LT_UTI" hidden="1">"c670"</definedName>
    <definedName name="IQ_LONG_TERM_DEBT" hidden="1">"c674"</definedName>
    <definedName name="IQ_LONG_TERM_DEBT_OVER_TOTAL_CAP" hidden="1">"c677"</definedName>
    <definedName name="IQ_LONG_TERM_GROWTH" hidden="1">"c671"</definedName>
    <definedName name="IQ_LONG_TERM_INV" hidden="1">"c697"</definedName>
    <definedName name="IQ_LOSS_LOSS_EXP" hidden="1">"c672"</definedName>
    <definedName name="IQ_LOSS_TO_NET_EARNED" hidden="1">"c2751"</definedName>
    <definedName name="IQ_LOWPRICE" hidden="1">"c673"</definedName>
    <definedName name="IQ_LT_DEBT" hidden="1">"c674"</definedName>
    <definedName name="IQ_LT_DEBT_BNK" hidden="1">"c675"</definedName>
    <definedName name="IQ_LT_DEBT_BR" hidden="1">"c676"</definedName>
    <definedName name="IQ_LT_DEBT_CAPITAL" hidden="1">"c677"</definedName>
    <definedName name="IQ_LT_DEBT_CAPITAL_LEASES" hidden="1">"c2542"</definedName>
    <definedName name="IQ_LT_DEBT_CAPITAL_LEASES_PCT" hidden="1">"c2543"</definedName>
    <definedName name="IQ_LT_DEBT_EQUITY" hidden="1">"c678"</definedName>
    <definedName name="IQ_LT_DEBT_FIN" hidden="1">"c679"</definedName>
    <definedName name="IQ_LT_DEBT_INS" hidden="1">"c680"</definedName>
    <definedName name="IQ_LT_DEBT_ISSUED" hidden="1">"c681"</definedName>
    <definedName name="IQ_LT_DEBT_ISSUED_BNK" hidden="1">"c682"</definedName>
    <definedName name="IQ_LT_DEBT_ISSUED_BR" hidden="1">"c683"</definedName>
    <definedName name="IQ_LT_DEBT_ISSUED_FIN" hidden="1">"c684"</definedName>
    <definedName name="IQ_LT_DEBT_ISSUED_INS" hidden="1">"c685"</definedName>
    <definedName name="IQ_LT_DEBT_ISSUED_REIT" hidden="1">"c686"</definedName>
    <definedName name="IQ_LT_DEBT_ISSUED_UTI" hidden="1">"c687"</definedName>
    <definedName name="IQ_LT_DEBT_REIT" hidden="1">"c688"</definedName>
    <definedName name="IQ_LT_DEBT_REPAID" hidden="1">"c689"</definedName>
    <definedName name="IQ_LT_DEBT_REPAID_BNK" hidden="1">"c690"</definedName>
    <definedName name="IQ_LT_DEBT_REPAID_BR" hidden="1">"c691"</definedName>
    <definedName name="IQ_LT_DEBT_REPAID_FIN" hidden="1">"c692"</definedName>
    <definedName name="IQ_LT_DEBT_REPAID_INS" hidden="1">"c693"</definedName>
    <definedName name="IQ_LT_DEBT_REPAID_REIT" hidden="1">"c694"</definedName>
    <definedName name="IQ_LT_DEBT_REPAID_UTI" hidden="1">"c695"</definedName>
    <definedName name="IQ_LT_DEBT_UTI" hidden="1">"c696"</definedName>
    <definedName name="IQ_LT_INVEST" hidden="1">"c697"</definedName>
    <definedName name="IQ_LT_INVEST_BR" hidden="1">"c698"</definedName>
    <definedName name="IQ_LT_INVEST_FIN" hidden="1">"c699"</definedName>
    <definedName name="IQ_LT_INVEST_REIT" hidden="1">"c700"</definedName>
    <definedName name="IQ_LT_INVEST_UTI" hidden="1">"c701"</definedName>
    <definedName name="IQ_LT_NOTE_RECEIV" hidden="1">"c1602"</definedName>
    <definedName name="IQ_LTD_DUE_AFTER_FIVE" hidden="1">"c704"</definedName>
    <definedName name="IQ_LTD_DUE_CY" hidden="1">"c705"</definedName>
    <definedName name="IQ_LTD_DUE_CY1" hidden="1">"c706"</definedName>
    <definedName name="IQ_LTD_DUE_CY2" hidden="1">"c707"</definedName>
    <definedName name="IQ_LTD_DUE_CY3" hidden="1">"c708"</definedName>
    <definedName name="IQ_LTD_DUE_CY4" hidden="1">"c709"</definedName>
    <definedName name="IQ_LTD_DUE_NEXT_FIVE" hidden="1">"c710"</definedName>
    <definedName name="IQ_LTM" hidden="1">2000</definedName>
    <definedName name="IQ_LTM_REVENUE_OVER_EMPLOYEES" hidden="1">"c1304"</definedName>
    <definedName name="IQ_LTMMONTH" hidden="1">120000</definedName>
    <definedName name="IQ_MACHINERY" hidden="1">"c711"</definedName>
    <definedName name="IQ_MAINT_CAPEX" hidden="1">"c2947"</definedName>
    <definedName name="IQ_MAINT_REPAIR" hidden="1">"c2087"</definedName>
    <definedName name="IQ_MAKE_WHOLE_END_DATE" hidden="1">"c2493"</definedName>
    <definedName name="IQ_MAKE_WHOLE_SPREAD" hidden="1">"c2494"</definedName>
    <definedName name="IQ_MAKE_WHOLE_START_DATE" hidden="1">"c2492"</definedName>
    <definedName name="IQ_MARKET_CAP_LFCF" hidden="1">"c2209"</definedName>
    <definedName name="IQ_MARKETCAP" hidden="1">"c712"</definedName>
    <definedName name="IQ_MARKETING" hidden="1">"c2239"</definedName>
    <definedName name="IQ_MATURITY_DATE" hidden="1">"c2146"</definedName>
    <definedName name="IQ_MC_RATIO" hidden="1">"c2783"</definedName>
    <definedName name="IQ_MC_STATUTORY_SURPLUS" hidden="1">"c2772"</definedName>
    <definedName name="IQ_MERGER" hidden="1">"c713"</definedName>
    <definedName name="IQ_MERGER_BNK" hidden="1">"c714"</definedName>
    <definedName name="IQ_MERGER_BR" hidden="1">"c715"</definedName>
    <definedName name="IQ_MERGER_FIN" hidden="1">"c716"</definedName>
    <definedName name="IQ_MERGER_INS" hidden="1">"c717"</definedName>
    <definedName name="IQ_MERGER_REIT" hidden="1">"c718"</definedName>
    <definedName name="IQ_MERGER_RESTRUCTURE" hidden="1">"c719"</definedName>
    <definedName name="IQ_MERGER_RESTRUCTURE_BNK" hidden="1">"c720"</definedName>
    <definedName name="IQ_MERGER_RESTRUCTURE_BR" hidden="1">"c721"</definedName>
    <definedName name="IQ_MERGER_RESTRUCTURE_FIN" hidden="1">"c722"</definedName>
    <definedName name="IQ_MERGER_RESTRUCTURE_INS" hidden="1">"c723"</definedName>
    <definedName name="IQ_MERGER_RESTRUCTURE_REIT" hidden="1">"c724"</definedName>
    <definedName name="IQ_MERGER_RESTRUCTURE_UTI" hidden="1">"c725"</definedName>
    <definedName name="IQ_MERGER_UTI" hidden="1">"c726"</definedName>
    <definedName name="IQ_MINORITY_INTEREST" hidden="1">"c727"</definedName>
    <definedName name="IQ_MINORITY_INTEREST_BNK" hidden="1">"c728"</definedName>
    <definedName name="IQ_MINORITY_INTEREST_BR" hidden="1">"c729"</definedName>
    <definedName name="IQ_MINORITY_INTEREST_CF" hidden="1">"c730"</definedName>
    <definedName name="IQ_MINORITY_INTEREST_FIN" hidden="1">"c731"</definedName>
    <definedName name="IQ_MINORITY_INTEREST_INS" hidden="1">"c732"</definedName>
    <definedName name="IQ_MINORITY_INTEREST_IS" hidden="1">"c733"</definedName>
    <definedName name="IQ_MINORITY_INTEREST_REIT" hidden="1">"c734"</definedName>
    <definedName name="IQ_MINORITY_INTEREST_TOTAL" hidden="1">"c1905"</definedName>
    <definedName name="IQ_MINORITY_INTEREST_UTI" hidden="1">"c735"</definedName>
    <definedName name="IQ_MISC_ADJUST_CF" hidden="1">"c736"</definedName>
    <definedName name="IQ_MISC_EARN_ADJ" hidden="1">"c1603"</definedName>
    <definedName name="IQ_MKTCAP_EBT_EXCL" hidden="1">"c737"</definedName>
    <definedName name="IQ_MKTCAP_EBT_EXCL_AVG" hidden="1">"c738"</definedName>
    <definedName name="IQ_MKTCAP_EBT_INCL_AVG" hidden="1">"c739"</definedName>
    <definedName name="IQ_MKTCAP_TOTAL_REV" hidden="1">"c740"</definedName>
    <definedName name="IQ_MKTCAP_TOTAL_REV_AVG" hidden="1">"c741"</definedName>
    <definedName name="IQ_MKTCAP_TOTAL_REV_FWD" hidden="1">"c742"</definedName>
    <definedName name="IQ_MM_ACCOUNT" hidden="1">"c743"</definedName>
    <definedName name="IQ_MONTH" hidden="1">15000</definedName>
    <definedName name="IQ_MORT_BANK_ACT" hidden="1">"c744"</definedName>
    <definedName name="IQ_MORT_BANKING_FEE" hidden="1">"c745"</definedName>
    <definedName name="IQ_MORT_INT_INC" hidden="1">"c746"</definedName>
    <definedName name="IQ_MORT_LOANS" hidden="1">"c747"</definedName>
    <definedName name="IQ_MORT_SECURITY" hidden="1">"c748"</definedName>
    <definedName name="IQ_MORTGAGE_SERV_RIGHTS" hidden="1">"c2242"</definedName>
    <definedName name="IQ_MTD" hidden="1">800000</definedName>
    <definedName name="IQ_NAMES_REVISION_DATE_" hidden="1">41157.7643402778</definedName>
    <definedName name="IQ_NET_CHANGE" hidden="1">"c749"</definedName>
    <definedName name="IQ_NET_CLAIM_EXP_INCUR" hidden="1">"c2757"</definedName>
    <definedName name="IQ_NET_CLAIM_EXP_INCUR_CY" hidden="1">"c2761"</definedName>
    <definedName name="IQ_NET_CLAIM_EXP_INCUR_PY" hidden="1">"c2762"</definedName>
    <definedName name="IQ_NET_CLAIM_EXP_PAID" hidden="1">"c2760"</definedName>
    <definedName name="IQ_NET_CLAIM_EXP_PAID_CY" hidden="1">"c2763"</definedName>
    <definedName name="IQ_NET_CLAIM_EXP_PAID_PY" hidden="1">"c2764"</definedName>
    <definedName name="IQ_NET_CLAIM_EXP_RES" hidden="1">"c2754"</definedName>
    <definedName name="IQ_NET_DEBT" hidden="1">"c1584"</definedName>
    <definedName name="IQ_NET_DEBT_EBITDA" hidden="1">"c750"</definedName>
    <definedName name="IQ_NET_DEBT_EBITDA_CAPEX" hidden="1">"c2949"</definedName>
    <definedName name="IQ_NET_DEBT_ISSUED" hidden="1">"c751"</definedName>
    <definedName name="IQ_NET_DEBT_ISSUED_BNK" hidden="1">"c752"</definedName>
    <definedName name="IQ_NET_DEBT_ISSUED_BR" hidden="1">"c753"</definedName>
    <definedName name="IQ_NET_DEBT_ISSUED_FIN" hidden="1">"c754"</definedName>
    <definedName name="IQ_NET_DEBT_ISSUED_INS" hidden="1">"c755"</definedName>
    <definedName name="IQ_NET_DEBT_ISSUED_REIT" hidden="1">"c756"</definedName>
    <definedName name="IQ_NET_DEBT_ISSUED_UTI" hidden="1">"c757"</definedName>
    <definedName name="IQ_NET_EARNED" hidden="1">"c2734"</definedName>
    <definedName name="IQ_NET_INC" hidden="1">"c781"</definedName>
    <definedName name="IQ_NET_INC_BEFORE" hidden="1">"c344"</definedName>
    <definedName name="IQ_NET_INC_CF" hidden="1">"c793"</definedName>
    <definedName name="IQ_NET_INC_MARGIN" hidden="1">"c794"</definedName>
    <definedName name="IQ_NET_INT_INC_10YR_ANN_GROWTH" hidden="1">"c758"</definedName>
    <definedName name="IQ_NET_INT_INC_1YR_ANN_GROWTH" hidden="1">"c759"</definedName>
    <definedName name="IQ_NET_INT_INC_2YR_ANN_GROWTH" hidden="1">"c760"</definedName>
    <definedName name="IQ_NET_INT_INC_3YR_ANN_GROWTH" hidden="1">"c761"</definedName>
    <definedName name="IQ_NET_INT_INC_5YR_ANN_GROWTH" hidden="1">"c762"</definedName>
    <definedName name="IQ_NET_INT_INC_7YR_ANN_GROWTH" hidden="1">"c763"</definedName>
    <definedName name="IQ_NET_INT_INC_BNK" hidden="1">"c764"</definedName>
    <definedName name="IQ_NET_INT_INC_BR" hidden="1">"c765"</definedName>
    <definedName name="IQ_NET_INT_INC_FIN" hidden="1">"c766"</definedName>
    <definedName name="IQ_NET_INT_INC_TOTAL_REV" hidden="1">"c767"</definedName>
    <definedName name="IQ_NET_INT_MARGIN" hidden="1">"c768"</definedName>
    <definedName name="IQ_NET_INTEREST_EXP" hidden="1">"c769"</definedName>
    <definedName name="IQ_NET_INTEREST_EXP_REIT" hidden="1">"c770"</definedName>
    <definedName name="IQ_NET_INTEREST_EXP_UTI" hidden="1">"c771"</definedName>
    <definedName name="IQ_NET_INTEREST_INC" hidden="1">"c764"</definedName>
    <definedName name="IQ_NET_INTEREST_INC_AFTER_LL" hidden="1">"c1604"</definedName>
    <definedName name="IQ_NET_LIFE_INS_IN_FORCE" hidden="1">"c2769"</definedName>
    <definedName name="IQ_NET_LOANS" hidden="1">"c772"</definedName>
    <definedName name="IQ_NET_LOANS_10YR_ANN_GROWTH" hidden="1">"c773"</definedName>
    <definedName name="IQ_NET_LOANS_1YR_ANN_GROWTH" hidden="1">"c774"</definedName>
    <definedName name="IQ_NET_LOANS_2YR_ANN_GROWTH" hidden="1">"c775"</definedName>
    <definedName name="IQ_NET_LOANS_3YR_ANN_GROWTH" hidden="1">"c776"</definedName>
    <definedName name="IQ_NET_LOANS_5YR_ANN_GROWTH" hidden="1">"c777"</definedName>
    <definedName name="IQ_NET_LOANS_7YR_ANN_GROWTH" hidden="1">"c778"</definedName>
    <definedName name="IQ_NET_LOANS_TOTAL_DEPOSITS" hidden="1">"c779"</definedName>
    <definedName name="IQ_NET_RENTAL_EXP_FN" hidden="1">"c780"</definedName>
    <definedName name="IQ_NET_TO_GROSS_EARNED" hidden="1">"c2750"</definedName>
    <definedName name="IQ_NET_TO_GROSS_WRITTEN" hidden="1">"c2729"</definedName>
    <definedName name="IQ_NET_WORKING_CAP" hidden="1">"c3493"</definedName>
    <definedName name="IQ_NET_WRITTEN" hidden="1">"c2728"</definedName>
    <definedName name="IQ_NEW_PREM" hidden="1">"c2785"</definedName>
    <definedName name="IQ_NEXT_CALL_DATE" hidden="1">"c2198"</definedName>
    <definedName name="IQ_NEXT_CALL_PRICE" hidden="1">"c2199"</definedName>
    <definedName name="IQ_NEXT_INT_DATE" hidden="1">"c2187"</definedName>
    <definedName name="IQ_NEXT_PUT_DATE" hidden="1">"c2200"</definedName>
    <definedName name="IQ_NEXT_PUT_PRICE" hidden="1">"c2201"</definedName>
    <definedName name="IQ_NEXT_SINK_FUND_AMOUNT" hidden="1">"c2490"</definedName>
    <definedName name="IQ_NEXT_SINK_FUND_DATE" hidden="1">"c2489"</definedName>
    <definedName name="IQ_NEXT_SINK_FUND_PRICE" hidden="1">"c2491"</definedName>
    <definedName name="IQ_NI" hidden="1">"c781"</definedName>
    <definedName name="IQ_NI_10YR_ANN_GROWTH" hidden="1">"c782"</definedName>
    <definedName name="IQ_NI_1YR_ANN_GROWTH" hidden="1">"c783"</definedName>
    <definedName name="IQ_NI_2YR_ANN_GROWTH" hidden="1">"c784"</definedName>
    <definedName name="IQ_NI_3YR_ANN_GROWTH" hidden="1">"c785"</definedName>
    <definedName name="IQ_NI_5YR_ANN_GROWTH" hidden="1">"c786"</definedName>
    <definedName name="IQ_NI_7YR_ANN_GROWTH" hidden="1">"c787"</definedName>
    <definedName name="IQ_NI_AFTER_CAPITALIZED" hidden="1">"c788"</definedName>
    <definedName name="IQ_NI_AVAIL_EXCL" hidden="1">"c789"</definedName>
    <definedName name="IQ_NI_AVAIL_EXCL_MARGIN" hidden="1">"c790"</definedName>
    <definedName name="IQ_NI_AVAIL_INCL" hidden="1">"c791"</definedName>
    <definedName name="IQ_NI_BEFORE_CAPITALIZED" hidden="1">"c792"</definedName>
    <definedName name="IQ_NI_CF" hidden="1">"c793"</definedName>
    <definedName name="IQ_NI_MARGIN" hidden="1">"c794"</definedName>
    <definedName name="IQ_NI_NORM" hidden="1">"c1901"</definedName>
    <definedName name="IQ_NI_NORM_10YR_ANN_GROWTH" hidden="1">"c1960"</definedName>
    <definedName name="IQ_NI_NORM_1YR_ANN_GROWTH" hidden="1">"c1955"</definedName>
    <definedName name="IQ_NI_NORM_2YR_ANN_GROWTH" hidden="1">"c1956"</definedName>
    <definedName name="IQ_NI_NORM_3YR_ANN_GROWTH" hidden="1">"c1957"</definedName>
    <definedName name="IQ_NI_NORM_5YR_ANN_GROWTH" hidden="1">"c1958"</definedName>
    <definedName name="IQ_NI_NORM_7YR_ANN_GROWTH" hidden="1">"c1959"</definedName>
    <definedName name="IQ_NI_NORM_MARGIN" hidden="1">"c1964"</definedName>
    <definedName name="IQ_NI_SFAS" hidden="1">"c795"</definedName>
    <definedName name="IQ_NOL_CF_1YR" hidden="1">"c3465"</definedName>
    <definedName name="IQ_NOL_CF_2YR" hidden="1">"c3466"</definedName>
    <definedName name="IQ_NOL_CF_3YR" hidden="1">"c3467"</definedName>
    <definedName name="IQ_NOL_CF_4YR" hidden="1">"c3468"</definedName>
    <definedName name="IQ_NOL_CF_5YR" hidden="1">"c3469"</definedName>
    <definedName name="IQ_NOL_CF_AFTER_FIVE" hidden="1">"c3470"</definedName>
    <definedName name="IQ_NOL_CF_MAX_YEAR" hidden="1">"c3473"</definedName>
    <definedName name="IQ_NOL_CF_NO_EXP" hidden="1">"c3471"</definedName>
    <definedName name="IQ_NOL_CF_TOTAL" hidden="1">"c3472"</definedName>
    <definedName name="IQ_NON_ACCRUAL_LOANS" hidden="1">"c796"</definedName>
    <definedName name="IQ_NON_CASH" hidden="1">"c797"</definedName>
    <definedName name="IQ_NON_CASH_ITEMS" hidden="1">"c797"</definedName>
    <definedName name="IQ_NON_INS_EXP" hidden="1">"c798"</definedName>
    <definedName name="IQ_NON_INS_REV" hidden="1">"c799"</definedName>
    <definedName name="IQ_NON_INT_BEAR_CD" hidden="1">"c800"</definedName>
    <definedName name="IQ_NON_INT_EXP" hidden="1">"c801"</definedName>
    <definedName name="IQ_NON_INT_INC" hidden="1">"c802"</definedName>
    <definedName name="IQ_NON_INT_INC_10YR_ANN_GROWTH" hidden="1">"c803"</definedName>
    <definedName name="IQ_NON_INT_INC_1YR_ANN_GROWTH" hidden="1">"c804"</definedName>
    <definedName name="IQ_NON_INT_INC_2YR_ANN_GROWTH" hidden="1">"c805"</definedName>
    <definedName name="IQ_NON_INT_INC_3YR_ANN_GROWTH" hidden="1">"c806"</definedName>
    <definedName name="IQ_NON_INT_INC_5YR_ANN_GROWTH" hidden="1">"c807"</definedName>
    <definedName name="IQ_NON_INT_INC_7YR_ANN_GROWTH" hidden="1">"c808"</definedName>
    <definedName name="IQ_NON_INTEREST_EXP" hidden="1">"c801"</definedName>
    <definedName name="IQ_NON_INTEREST_INC" hidden="1">"c802"</definedName>
    <definedName name="IQ_NON_OPER_EXP" hidden="1">"c809"</definedName>
    <definedName name="IQ_NON_OPER_INC" hidden="1">"c810"</definedName>
    <definedName name="IQ_NON_PERF_ASSETS_10YR_ANN_GROWTH" hidden="1">"c811"</definedName>
    <definedName name="IQ_NON_PERF_ASSETS_1YR_ANN_GROWTH" hidden="1">"c812"</definedName>
    <definedName name="IQ_NON_PERF_ASSETS_2YR_ANN_GROWTH" hidden="1">"c813"</definedName>
    <definedName name="IQ_NON_PERF_ASSETS_3YR_ANN_GROWTH" hidden="1">"c814"</definedName>
    <definedName name="IQ_NON_PERF_ASSETS_5YR_ANN_GROWTH" hidden="1">"c815"</definedName>
    <definedName name="IQ_NON_PERF_ASSETS_7YR_ANN_GROWTH" hidden="1">"c816"</definedName>
    <definedName name="IQ_NON_PERF_ASSETS_TOTAL_ASSETS" hidden="1">"c817"</definedName>
    <definedName name="IQ_NON_PERF_LOANS_10YR_ANN_GROWTH" hidden="1">"c818"</definedName>
    <definedName name="IQ_NON_PERF_LOANS_1YR_ANN_GROWTH" hidden="1">"c819"</definedName>
    <definedName name="IQ_NON_PERF_LOANS_2YR_ANN_GROWTH" hidden="1">"c820"</definedName>
    <definedName name="IQ_NON_PERF_LOANS_3YR_ANN_GROWTH" hidden="1">"c821"</definedName>
    <definedName name="IQ_NON_PERF_LOANS_5YR_ANN_GROWTH" hidden="1">"c822"</definedName>
    <definedName name="IQ_NON_PERF_LOANS_7YR_ANN_GROWTH" hidden="1">"c823"</definedName>
    <definedName name="IQ_NON_PERF_LOANS_TOTAL_ASSETS" hidden="1">"c824"</definedName>
    <definedName name="IQ_NON_PERF_LOANS_TOTAL_LOANS" hidden="1">"c825"</definedName>
    <definedName name="IQ_NON_PERFORMING_ASSETS" hidden="1">"c826"</definedName>
    <definedName name="IQ_NON_PERFORMING_LOANS" hidden="1">"c827"</definedName>
    <definedName name="IQ_NONCASH_PENSION_EXP" hidden="1">"c3000"</definedName>
    <definedName name="IQ_NONRECOURSE_DEBT" hidden="1">"c2550"</definedName>
    <definedName name="IQ_NONRECOURSE_DEBT_PCT" hidden="1">"c2551"</definedName>
    <definedName name="IQ_NONUTIL_REV" hidden="1">"c2089"</definedName>
    <definedName name="IQ_NORMAL_INC_AFTER" hidden="1">"c1605"</definedName>
    <definedName name="IQ_NORMAL_INC_AVAIL" hidden="1">"c1606"</definedName>
    <definedName name="IQ_NORMAL_INC_BEFORE" hidden="1">"c1607"</definedName>
    <definedName name="IQ_NOTES_PAY" hidden="1">"c1176"</definedName>
    <definedName name="IQ_NOW_ACCOUNT" hidden="1">"c828"</definedName>
    <definedName name="IQ_NPPE" hidden="1">"c829"</definedName>
    <definedName name="IQ_NPPE_10YR_ANN_GROWTH" hidden="1">"c830"</definedName>
    <definedName name="IQ_NPPE_1YR_ANN_GROWTH" hidden="1">"c831"</definedName>
    <definedName name="IQ_NPPE_2YR_ANN_GROWTH" hidden="1">"c832"</definedName>
    <definedName name="IQ_NPPE_3YR_ANN_GROWTH" hidden="1">"c833"</definedName>
    <definedName name="IQ_NPPE_5YR_ANN_GROWTH" hidden="1">"c834"</definedName>
    <definedName name="IQ_NPPE_7YR_ANN_GROWTH" hidden="1">"c835"</definedName>
    <definedName name="IQ_NTM" hidden="1">6000</definedName>
    <definedName name="IQ_NUKE" hidden="1">"c836"</definedName>
    <definedName name="IQ_NUKE_CF" hidden="1">"c837"</definedName>
    <definedName name="IQ_NUKE_CONTR" hidden="1">"c838"</definedName>
    <definedName name="IQ_NUM_BRANCHES" hidden="1">"c2088"</definedName>
    <definedName name="IQ_NUMBER_ADRHOLDERS" hidden="1">"c1970"</definedName>
    <definedName name="IQ_NUMBER_DAYS" hidden="1">"c1904"</definedName>
    <definedName name="IQ_NUMBER_SHAREHOLDERS" hidden="1">"c1967"</definedName>
    <definedName name="IQ_NUMBER_SHAREHOLDERS_CLASSA" hidden="1">"c1968"</definedName>
    <definedName name="IQ_NUMBER_SHAREHOLDERS_OTHER" hidden="1">"c1969"</definedName>
    <definedName name="IQ_OCCUPY_EXP" hidden="1">"c839"</definedName>
    <definedName name="IQ_OFFER_AMOUNT" hidden="1">"c2152"</definedName>
    <definedName name="IQ_OFFER_COUPON" hidden="1">"c2147"</definedName>
    <definedName name="IQ_OFFER_COUPON_TYPE" hidden="1">"c2148"</definedName>
    <definedName name="IQ_OFFER_DATE" hidden="1">"c2149"</definedName>
    <definedName name="IQ_OFFER_PRICE" hidden="1">"c2150"</definedName>
    <definedName name="IQ_OFFER_YIELD" hidden="1">"c2151"</definedName>
    <definedName name="IQ_OG_10DISC" hidden="1">"c1998"</definedName>
    <definedName name="IQ_OG_10DISC_GAS" hidden="1">"c2018"</definedName>
    <definedName name="IQ_OG_10DISC_OIL" hidden="1">"c2008"</definedName>
    <definedName name="IQ_OG_ACQ_COST_PROVED" hidden="1">"c1975"</definedName>
    <definedName name="IQ_OG_ACQ_COST_PROVED_GAS" hidden="1">"c1987"</definedName>
    <definedName name="IQ_OG_ACQ_COST_PROVED_OIL" hidden="1">"c1981"</definedName>
    <definedName name="IQ_OG_ACQ_COST_UNPROVED" hidden="1">"c1976"</definedName>
    <definedName name="IQ_OG_ACQ_COST_UNPROVED_GAS" hidden="1">"c1988"</definedName>
    <definedName name="IQ_OG_ACQ_COST_UNPROVED_OIL" hidden="1">"c1982"</definedName>
    <definedName name="IQ_OG_AVG_DAILY_PROD_GAS" hidden="1">"c2910"</definedName>
    <definedName name="IQ_OG_AVG_DAILY_PROD_NGL" hidden="1">"c2911"</definedName>
    <definedName name="IQ_OG_AVG_DAILY_PROD_OIL" hidden="1">"c2909"</definedName>
    <definedName name="IQ_OG_CLOSE_BALANCE_GAS" hidden="1">"c2049"</definedName>
    <definedName name="IQ_OG_CLOSE_BALANCE_NGL" hidden="1">"c2920"</definedName>
    <definedName name="IQ_OG_CLOSE_BALANCE_OIL" hidden="1">"c2037"</definedName>
    <definedName name="IQ_OG_DCF_BEFORE_TAXES" hidden="1">"c2023"</definedName>
    <definedName name="IQ_OG_DCF_BEFORE_TAXES_GAS" hidden="1">"c2025"</definedName>
    <definedName name="IQ_OG_DCF_BEFORE_TAXES_OIL" hidden="1">"c2024"</definedName>
    <definedName name="IQ_OG_DEVELOPED_RESERVES_GAS" hidden="1">"c2053"</definedName>
    <definedName name="IQ_OG_DEVELOPED_RESERVES_NGL" hidden="1">"c2922"</definedName>
    <definedName name="IQ_OG_DEVELOPED_RESERVES_OIL" hidden="1">"c2054"</definedName>
    <definedName name="IQ_OG_DEVELOPMENT_COSTS" hidden="1">"c1978"</definedName>
    <definedName name="IQ_OG_DEVELOPMENT_COSTS_GAS" hidden="1">"c1990"</definedName>
    <definedName name="IQ_OG_DEVELOPMENT_COSTS_OIL" hidden="1">"c1984"</definedName>
    <definedName name="IQ_OG_EQUITY_DCF" hidden="1">"c2002"</definedName>
    <definedName name="IQ_OG_EQUITY_DCF_GAS" hidden="1">"c2022"</definedName>
    <definedName name="IQ_OG_EQUITY_DCF_OIL" hidden="1">"c2012"</definedName>
    <definedName name="IQ_OG_EQUTY_RESERVES_GAS" hidden="1">"c2050"</definedName>
    <definedName name="IQ_OG_EQUTY_RESERVES_NGL" hidden="1">"c2921"</definedName>
    <definedName name="IQ_OG_EQUTY_RESERVES_OIL" hidden="1">"c2038"</definedName>
    <definedName name="IQ_OG_EXPLORATION_COSTS" hidden="1">"c1977"</definedName>
    <definedName name="IQ_OG_EXPLORATION_COSTS_GAS" hidden="1">"c1989"</definedName>
    <definedName name="IQ_OG_EXPLORATION_COSTS_OIL" hidden="1">"c1983"</definedName>
    <definedName name="IQ_OG_EXT_DISC_GAS" hidden="1">"c2043"</definedName>
    <definedName name="IQ_OG_EXT_DISC_NGL" hidden="1">"c2914"</definedName>
    <definedName name="IQ_OG_EXT_DISC_OIL" hidden="1">"c2031"</definedName>
    <definedName name="IQ_OG_FUTURE_CASH_INFLOWS" hidden="1">"c1993"</definedName>
    <definedName name="IQ_OG_FUTURE_CASH_INFLOWS_GAS" hidden="1">"c2013"</definedName>
    <definedName name="IQ_OG_FUTURE_CASH_INFLOWS_OIL" hidden="1">"c2003"</definedName>
    <definedName name="IQ_OG_FUTURE_DEVELOPMENT_COSTS" hidden="1">"c1995"</definedName>
    <definedName name="IQ_OG_FUTURE_DEVELOPMENT_COSTS_GAS" hidden="1">"c2015"</definedName>
    <definedName name="IQ_OG_FUTURE_DEVELOPMENT_COSTS_OIL" hidden="1">"c2005"</definedName>
    <definedName name="IQ_OG_FUTURE_INC_TAXES" hidden="1">"c1997"</definedName>
    <definedName name="IQ_OG_FUTURE_INC_TAXES_GAS" hidden="1">"c2017"</definedName>
    <definedName name="IQ_OG_FUTURE_INC_TAXES_OIL" hidden="1">"c2007"</definedName>
    <definedName name="IQ_OG_FUTURE_PRODUCTION_COSTS" hidden="1">"c1994"</definedName>
    <definedName name="IQ_OG_FUTURE_PRODUCTION_COSTS_GAS" hidden="1">"c2014"</definedName>
    <definedName name="IQ_OG_FUTURE_PRODUCTION_COSTS_OIL" hidden="1">"c2004"</definedName>
    <definedName name="IQ_OG_GAS_PRICE_HEDGED" hidden="1">"c2056"</definedName>
    <definedName name="IQ_OG_GAS_PRICE_UNHEDGED" hidden="1">"c2058"</definedName>
    <definedName name="IQ_OG_IMPROVED_RECOVERY_GAS" hidden="1">"c2044"</definedName>
    <definedName name="IQ_OG_IMPROVED_RECOVERY_NGL" hidden="1">"c2915"</definedName>
    <definedName name="IQ_OG_IMPROVED_RECOVERY_OIL" hidden="1">"c2032"</definedName>
    <definedName name="IQ_OG_LIQUID_GAS_PRICE_HEDGED" hidden="1">"c2233"</definedName>
    <definedName name="IQ_OG_LIQUID_GAS_PRICE_UNHEDGED" hidden="1">"c2234"</definedName>
    <definedName name="IQ_OG_NET_FUTURE_CASH_FLOWS" hidden="1">"c1996"</definedName>
    <definedName name="IQ_OG_NET_FUTURE_CASH_FLOWS_GAS" hidden="1">"c2016"</definedName>
    <definedName name="IQ_OG_NET_FUTURE_CASH_FLOWS_OIL" hidden="1">"c2006"</definedName>
    <definedName name="IQ_OG_OIL_PRICE_HEDGED" hidden="1">"c2055"</definedName>
    <definedName name="IQ_OG_OIL_PRICE_UNHEDGED" hidden="1">"c2057"</definedName>
    <definedName name="IQ_OG_OPEN_BALANCE_GAS" hidden="1">"c2041"</definedName>
    <definedName name="IQ_OG_OPEN_BALANCE_NGL" hidden="1">"c2912"</definedName>
    <definedName name="IQ_OG_OPEN_BALANCE_OIL" hidden="1">"c2029"</definedName>
    <definedName name="IQ_OG_OTHER_ADJ_FCF" hidden="1">"c1999"</definedName>
    <definedName name="IQ_OG_OTHER_ADJ_FCF_GAS" hidden="1">"c2019"</definedName>
    <definedName name="IQ_OG_OTHER_ADJ_FCF_OIL" hidden="1">"c2009"</definedName>
    <definedName name="IQ_OG_OTHER_ADJ_GAS" hidden="1">"c2048"</definedName>
    <definedName name="IQ_OG_OTHER_ADJ_NGL" hidden="1">"c2919"</definedName>
    <definedName name="IQ_OG_OTHER_ADJ_OIL" hidden="1">"c2036"</definedName>
    <definedName name="IQ_OG_OTHER_COSTS" hidden="1">"c1979"</definedName>
    <definedName name="IQ_OG_OTHER_COSTS_GAS" hidden="1">"c1991"</definedName>
    <definedName name="IQ_OG_OTHER_COSTS_OIL" hidden="1">"c1985"</definedName>
    <definedName name="IQ_OG_PRODUCTION_GAS" hidden="1">"c2047"</definedName>
    <definedName name="IQ_OG_PRODUCTION_NGL" hidden="1">"c2918"</definedName>
    <definedName name="IQ_OG_PRODUCTION_OIL" hidden="1">"c2035"</definedName>
    <definedName name="IQ_OG_PURCHASES_GAS" hidden="1">"c2045"</definedName>
    <definedName name="IQ_OG_PURCHASES_NGL" hidden="1">"c2916"</definedName>
    <definedName name="IQ_OG_PURCHASES_OIL" hidden="1">"c2033"</definedName>
    <definedName name="IQ_OG_REVISIONS_GAS" hidden="1">"c2042"</definedName>
    <definedName name="IQ_OG_REVISIONS_NGL" hidden="1">"c2913"</definedName>
    <definedName name="IQ_OG_REVISIONS_OIL" hidden="1">"c2030"</definedName>
    <definedName name="IQ_OG_SALES_IN_PLACE_GAS" hidden="1">"c2046"</definedName>
    <definedName name="IQ_OG_SALES_IN_PLACE_NGL" hidden="1">"c2917"</definedName>
    <definedName name="IQ_OG_SALES_IN_PLACE_OIL" hidden="1">"c2034"</definedName>
    <definedName name="IQ_OG_STANDARDIZED_DCF" hidden="1">"c2000"</definedName>
    <definedName name="IQ_OG_STANDARDIZED_DCF_GAS" hidden="1">"c2020"</definedName>
    <definedName name="IQ_OG_STANDARDIZED_DCF_HEDGED" hidden="1">"c2001"</definedName>
    <definedName name="IQ_OG_STANDARDIZED_DCF_HEDGED_GAS" hidden="1">"c2021"</definedName>
    <definedName name="IQ_OG_STANDARDIZED_DCF_HEDGED_OIL" hidden="1">"c2011"</definedName>
    <definedName name="IQ_OG_STANDARDIZED_DCF_OIL" hidden="1">"c2010"</definedName>
    <definedName name="IQ_OG_TAXES" hidden="1">"c2026"</definedName>
    <definedName name="IQ_OG_TAXES_GAS" hidden="1">"c2028"</definedName>
    <definedName name="IQ_OG_TAXES_OIL" hidden="1">"c2027"</definedName>
    <definedName name="IQ_OG_TOTAL_COSTS" hidden="1">"c1980"</definedName>
    <definedName name="IQ_OG_TOTAL_COSTS_GAS" hidden="1">"c1992"</definedName>
    <definedName name="IQ_OG_TOTAL_COSTS_OIL" hidden="1">"c1986"</definedName>
    <definedName name="IQ_OG_TOTAL_EST_PROVED_RESERVES_GAS" hidden="1">"c2052"</definedName>
    <definedName name="IQ_OG_TOTAL_GAS_PRODUCTION" hidden="1">"c2060"</definedName>
    <definedName name="IQ_OG_TOTAL_LIQUID_GAS_PRODUCTION" hidden="1">"c2235"</definedName>
    <definedName name="IQ_OG_TOTAL_OIL_PRODUCTION" hidden="1">"c2059"</definedName>
    <definedName name="IQ_OG_UNDEVELOPED_RESERVES_GAS" hidden="1">"c2051"</definedName>
    <definedName name="IQ_OG_UNDEVELOPED_RESERVES_NGL" hidden="1">"c2923"</definedName>
    <definedName name="IQ_OG_UNDEVELOPED_RESERVES_OIL" hidden="1">"c2039"</definedName>
    <definedName name="IQ_OIL_IMPAIR" hidden="1">"c840"</definedName>
    <definedName name="IQ_OL_COMM_AFTER_FIVE" hidden="1">"c841"</definedName>
    <definedName name="IQ_OL_COMM_CY" hidden="1">"c842"</definedName>
    <definedName name="IQ_OL_COMM_CY1" hidden="1">"c843"</definedName>
    <definedName name="IQ_OL_COMM_CY2" hidden="1">"c844"</definedName>
    <definedName name="IQ_OL_COMM_CY3" hidden="1">"c845"</definedName>
    <definedName name="IQ_OL_COMM_CY4" hidden="1">"c846"</definedName>
    <definedName name="IQ_OL_COMM_NEXT_FIVE" hidden="1">"c847"</definedName>
    <definedName name="IQ_OPEB_ACCRUED_LIAB" hidden="1">"c3308"</definedName>
    <definedName name="IQ_OPEB_ACCRUED_LIAB_DOM" hidden="1">"c3306"</definedName>
    <definedName name="IQ_OPEB_ACCRUED_LIAB_FOREIGN" hidden="1">"c3307"</definedName>
    <definedName name="IQ_OPEB_ACCUM_OTHER_CI" hidden="1">"c3314"</definedName>
    <definedName name="IQ_OPEB_ACCUM_OTHER_CI_DOM" hidden="1">"c3312"</definedName>
    <definedName name="IQ_OPEB_ACCUM_OTHER_CI_FOREIGN" hidden="1">"c3313"</definedName>
    <definedName name="IQ_OPEB_ASSETS" hidden="1">"c3356"</definedName>
    <definedName name="IQ_OPEB_ASSETS_ACQ" hidden="1">"c3347"</definedName>
    <definedName name="IQ_OPEB_ASSETS_ACQ_DOM" hidden="1">"c3345"</definedName>
    <definedName name="IQ_OPEB_ASSETS_ACQ_FOREIGN" hidden="1">"c3346"</definedName>
    <definedName name="IQ_OPEB_ASSETS_ACTUAL_RETURN" hidden="1">"c3332"</definedName>
    <definedName name="IQ_OPEB_ASSETS_ACTUAL_RETURN_DOM" hidden="1">"c3330"</definedName>
    <definedName name="IQ_OPEB_ASSETS_ACTUAL_RETURN_FOREIGN" hidden="1">"c3331"</definedName>
    <definedName name="IQ_OPEB_ASSETS_BEG" hidden="1">"c3329"</definedName>
    <definedName name="IQ_OPEB_ASSETS_BEG_DOM" hidden="1">"c3327"</definedName>
    <definedName name="IQ_OPEB_ASSETS_BEG_FOREIGN" hidden="1">"c3328"</definedName>
    <definedName name="IQ_OPEB_ASSETS_BENEFITS_PAID" hidden="1">"c3341"</definedName>
    <definedName name="IQ_OPEB_ASSETS_BENEFITS_PAID_DOM" hidden="1">"c3339"</definedName>
    <definedName name="IQ_OPEB_ASSETS_BENEFITS_PAID_FOREIGN" hidden="1">"c3340"</definedName>
    <definedName name="IQ_OPEB_ASSETS_CURTAIL" hidden="1">"c3350"</definedName>
    <definedName name="IQ_OPEB_ASSETS_CURTAIL_DOM" hidden="1">"c3348"</definedName>
    <definedName name="IQ_OPEB_ASSETS_CURTAIL_FOREIGN" hidden="1">"c3349"</definedName>
    <definedName name="IQ_OPEB_ASSETS_DOM" hidden="1">"c3354"</definedName>
    <definedName name="IQ_OPEB_ASSETS_EMPLOYER_CONTRIBUTIONS" hidden="1">"c3335"</definedName>
    <definedName name="IQ_OPEB_ASSETS_EMPLOYER_CONTRIBUTIONS_DOM" hidden="1">"c3333"</definedName>
    <definedName name="IQ_OPEB_ASSETS_EMPLOYER_CONTRIBUTIONS_FOREIGN" hidden="1">"c3334"</definedName>
    <definedName name="IQ_OPEB_ASSETS_FOREIGN" hidden="1">"c3355"</definedName>
    <definedName name="IQ_OPEB_ASSETS_FX_ADJ" hidden="1">"c3344"</definedName>
    <definedName name="IQ_OPEB_ASSETS_FX_ADJ_DOM" hidden="1">"c3342"</definedName>
    <definedName name="IQ_OPEB_ASSETS_FX_ADJ_FOREIGN" hidden="1">"c3343"</definedName>
    <definedName name="IQ_OPEB_ASSETS_OTHER_PLAN_ADJ" hidden="1">"c3353"</definedName>
    <definedName name="IQ_OPEB_ASSETS_OTHER_PLAN_ADJ_DOM" hidden="1">"c3351"</definedName>
    <definedName name="IQ_OPEB_ASSETS_OTHER_PLAN_ADJ_FOREIGN" hidden="1">"c3352"</definedName>
    <definedName name="IQ_OPEB_ASSETS_PARTICIP_CONTRIBUTIONS" hidden="1">"c3338"</definedName>
    <definedName name="IQ_OPEB_ASSETS_PARTICIP_CONTRIBUTIONS_DOM" hidden="1">"c3336"</definedName>
    <definedName name="IQ_OPEB_ASSETS_PARTICIP_CONTRIBUTIONS_FOREIGN" hidden="1">"c3337"</definedName>
    <definedName name="IQ_OPEB_BENEFIT_INFO_DATE" hidden="1">"c3410"</definedName>
    <definedName name="IQ_OPEB_BENEFIT_INFO_DATE_DOM" hidden="1">"c3408"</definedName>
    <definedName name="IQ_OPEB_BENEFIT_INFO_DATE_FOREIGN" hidden="1">"c3409"</definedName>
    <definedName name="IQ_OPEB_BREAKDOWN_EQ" hidden="1">"c3275"</definedName>
    <definedName name="IQ_OPEB_BREAKDOWN_EQ_DOM" hidden="1">"c3273"</definedName>
    <definedName name="IQ_OPEB_BREAKDOWN_EQ_FOREIGN" hidden="1">"c3274"</definedName>
    <definedName name="IQ_OPEB_BREAKDOWN_FI" hidden="1">"c3278"</definedName>
    <definedName name="IQ_OPEB_BREAKDOWN_FI_DOM" hidden="1">"c3276"</definedName>
    <definedName name="IQ_OPEB_BREAKDOWN_FI_FOREIGN" hidden="1">"c3277"</definedName>
    <definedName name="IQ_OPEB_BREAKDOWN_OTHER" hidden="1">"c3284"</definedName>
    <definedName name="IQ_OPEB_BREAKDOWN_OTHER_DOM" hidden="1">"c3282"</definedName>
    <definedName name="IQ_OPEB_BREAKDOWN_OTHER_FOREIGN" hidden="1">"c3283"</definedName>
    <definedName name="IQ_OPEB_BREAKDOWN_PCT_EQ" hidden="1">"c3263"</definedName>
    <definedName name="IQ_OPEB_BREAKDOWN_PCT_EQ_DOM" hidden="1">"c3261"</definedName>
    <definedName name="IQ_OPEB_BREAKDOWN_PCT_EQ_FOREIGN" hidden="1">"c3262"</definedName>
    <definedName name="IQ_OPEB_BREAKDOWN_PCT_FI" hidden="1">"c3266"</definedName>
    <definedName name="IQ_OPEB_BREAKDOWN_PCT_FI_DOM" hidden="1">"c3264"</definedName>
    <definedName name="IQ_OPEB_BREAKDOWN_PCT_FI_FOREIGN" hidden="1">"c3265"</definedName>
    <definedName name="IQ_OPEB_BREAKDOWN_PCT_OTHER" hidden="1">"c3272"</definedName>
    <definedName name="IQ_OPEB_BREAKDOWN_PCT_OTHER_DOM" hidden="1">"c3270"</definedName>
    <definedName name="IQ_OPEB_BREAKDOWN_PCT_OTHER_FOREIGN" hidden="1">"c3271"</definedName>
    <definedName name="IQ_OPEB_BREAKDOWN_PCT_RE" hidden="1">"c3269"</definedName>
    <definedName name="IQ_OPEB_BREAKDOWN_PCT_RE_DOM" hidden="1">"c3267"</definedName>
    <definedName name="IQ_OPEB_BREAKDOWN_PCT_RE_FOREIGN" hidden="1">"c3268"</definedName>
    <definedName name="IQ_OPEB_BREAKDOWN_RE" hidden="1">"c3281"</definedName>
    <definedName name="IQ_OPEB_BREAKDOWN_RE_DOM" hidden="1">"c3279"</definedName>
    <definedName name="IQ_OPEB_BREAKDOWN_RE_FOREIGN" hidden="1">"c3280"</definedName>
    <definedName name="IQ_OPEB_DECREASE_EFFECT_PBO" hidden="1">"c3458"</definedName>
    <definedName name="IQ_OPEB_DECREASE_EFFECT_PBO_DOM" hidden="1">"c3456"</definedName>
    <definedName name="IQ_OPEB_DECREASE_EFFECT_PBO_FOREIGN" hidden="1">"c3457"</definedName>
    <definedName name="IQ_OPEB_DECREASE_EFFECT_SERVICE_INT_COST" hidden="1">"c3455"</definedName>
    <definedName name="IQ_OPEB_DECREASE_EFFECT_SERVICE_INT_COST_DOM" hidden="1">"c3453"</definedName>
    <definedName name="IQ_OPEB_DECREASE_EFFECT_SERVICE_INT_COST_FOREIGN" hidden="1">"c3454"</definedName>
    <definedName name="IQ_OPEB_DISC_RATE_MAX" hidden="1">"c3422"</definedName>
    <definedName name="IQ_OPEB_DISC_RATE_MAX_DOM" hidden="1">"c3420"</definedName>
    <definedName name="IQ_OPEB_DISC_RATE_MAX_FOREIGN" hidden="1">"c3421"</definedName>
    <definedName name="IQ_OPEB_DISC_RATE_MIN" hidden="1">"c3419"</definedName>
    <definedName name="IQ_OPEB_DISC_RATE_MIN_DOM" hidden="1">"c3417"</definedName>
    <definedName name="IQ_OPEB_DISC_RATE_MIN_FOREIGN" hidden="1">"c3418"</definedName>
    <definedName name="IQ_OPEB_EST_BENEFIT_1YR" hidden="1">"c3287"</definedName>
    <definedName name="IQ_OPEB_EST_BENEFIT_1YR_DOM" hidden="1">"c3285"</definedName>
    <definedName name="IQ_OPEB_EST_BENEFIT_1YR_FOREIGN" hidden="1">"c3286"</definedName>
    <definedName name="IQ_OPEB_EST_BENEFIT_2YR" hidden="1">"c3290"</definedName>
    <definedName name="IQ_OPEB_EST_BENEFIT_2YR_DOM" hidden="1">"c3288"</definedName>
    <definedName name="IQ_OPEB_EST_BENEFIT_2YR_FOREIGN" hidden="1">"c3289"</definedName>
    <definedName name="IQ_OPEB_EST_BENEFIT_3YR" hidden="1">"c3293"</definedName>
    <definedName name="IQ_OPEB_EST_BENEFIT_3YR_DOM" hidden="1">"c3291"</definedName>
    <definedName name="IQ_OPEB_EST_BENEFIT_3YR_FOREIGN" hidden="1">"c3292"</definedName>
    <definedName name="IQ_OPEB_EST_BENEFIT_4YR" hidden="1">"c3296"</definedName>
    <definedName name="IQ_OPEB_EST_BENEFIT_4YR_DOM" hidden="1">"c3294"</definedName>
    <definedName name="IQ_OPEB_EST_BENEFIT_4YR_FOREIGN" hidden="1">"c3295"</definedName>
    <definedName name="IQ_OPEB_EST_BENEFIT_5YR" hidden="1">"c3299"</definedName>
    <definedName name="IQ_OPEB_EST_BENEFIT_5YR_DOM" hidden="1">"c3297"</definedName>
    <definedName name="IQ_OPEB_EST_BENEFIT_5YR_FOREIGN" hidden="1">"c3298"</definedName>
    <definedName name="IQ_OPEB_EST_BENEFIT_AFTER5" hidden="1">"c3302"</definedName>
    <definedName name="IQ_OPEB_EST_BENEFIT_AFTER5_DOM" hidden="1">"c3300"</definedName>
    <definedName name="IQ_OPEB_EST_BENEFIT_AFTER5_FOREIGN" hidden="1">"c3301"</definedName>
    <definedName name="IQ_OPEB_EXP_RATE_RETURN_MAX" hidden="1">"c3434"</definedName>
    <definedName name="IQ_OPEB_EXP_RATE_RETURN_MAX_DOM" hidden="1">"c3432"</definedName>
    <definedName name="IQ_OPEB_EXP_RATE_RETURN_MAX_FOREIGN" hidden="1">"c3433"</definedName>
    <definedName name="IQ_OPEB_EXP_RATE_RETURN_MIN" hidden="1">"c3431"</definedName>
    <definedName name="IQ_OPEB_EXP_RATE_RETURN_MIN_DOM" hidden="1">"c3429"</definedName>
    <definedName name="IQ_OPEB_EXP_RATE_RETURN_MIN_FOREIGN" hidden="1">"c3430"</definedName>
    <definedName name="IQ_OPEB_EXP_RETURN" hidden="1">"c3398"</definedName>
    <definedName name="IQ_OPEB_EXP_RETURN_DOM" hidden="1">"c3396"</definedName>
    <definedName name="IQ_OPEB_EXP_RETURN_FOREIGN" hidden="1">"c3397"</definedName>
    <definedName name="IQ_OPEB_HEALTH_COST_TREND_INITIAL" hidden="1">"c3413"</definedName>
    <definedName name="IQ_OPEB_HEALTH_COST_TREND_INITIAL_DOM" hidden="1">"c3411"</definedName>
    <definedName name="IQ_OPEB_HEALTH_COST_TREND_INITIAL_FOREIGN" hidden="1">"c3412"</definedName>
    <definedName name="IQ_OPEB_HEALTH_COST_TREND_ULTIMATE" hidden="1">"c3416"</definedName>
    <definedName name="IQ_OPEB_HEALTH_COST_TREND_ULTIMATE_DOM" hidden="1">"c3414"</definedName>
    <definedName name="IQ_OPEB_HEALTH_COST_TREND_ULTIMATE_FOREIGN" hidden="1">"c3415"</definedName>
    <definedName name="IQ_OPEB_INCREASE_EFFECT_PBO" hidden="1">"c3452"</definedName>
    <definedName name="IQ_OPEB_INCREASE_EFFECT_PBO_DOM" hidden="1">"c3450"</definedName>
    <definedName name="IQ_OPEB_INCREASE_EFFECT_PBO_FOREIGN" hidden="1">"c3451"</definedName>
    <definedName name="IQ_OPEB_INCREASE_EFFECT_SERVICE_INT_COST" hidden="1">"c3449"</definedName>
    <definedName name="IQ_OPEB_INCREASE_EFFECT_SERVICE_INT_COST_DOM" hidden="1">"c3447"</definedName>
    <definedName name="IQ_OPEB_INCREASE_EFFECT_SERVICE_INT_COST_FOREIGN" hidden="1">"c3448"</definedName>
    <definedName name="IQ_OPEB_INTAN_ASSETS" hidden="1">"c3311"</definedName>
    <definedName name="IQ_OPEB_INTAN_ASSETS_DOM" hidden="1">"c3309"</definedName>
    <definedName name="IQ_OPEB_INTAN_ASSETS_FOREIGN" hidden="1">"c3310"</definedName>
    <definedName name="IQ_OPEB_INTEREST_COST" hidden="1">"c3395"</definedName>
    <definedName name="IQ_OPEB_INTEREST_COST_DOM" hidden="1">"c3393"</definedName>
    <definedName name="IQ_OPEB_INTEREST_COST_FOREIGN" hidden="1">"c3394"</definedName>
    <definedName name="IQ_OPEB_NET_ASSET_RECOG" hidden="1">"c3326"</definedName>
    <definedName name="IQ_OPEB_NET_ASSET_RECOG_DOM" hidden="1">"c3324"</definedName>
    <definedName name="IQ_OPEB_NET_ASSET_RECOG_FOREIGN" hidden="1">"c3325"</definedName>
    <definedName name="IQ_OPEB_OBLIGATION_ACCUMULATED" hidden="1">"c3407"</definedName>
    <definedName name="IQ_OPEB_OBLIGATION_ACCUMULATED_DOM" hidden="1">"c3405"</definedName>
    <definedName name="IQ_OPEB_OBLIGATION_ACCUMULATED_FOREIGN" hidden="1">"c3406"</definedName>
    <definedName name="IQ_OPEB_OBLIGATION_ACQ" hidden="1">"c3380"</definedName>
    <definedName name="IQ_OPEB_OBLIGATION_ACQ_DOM" hidden="1">"c3378"</definedName>
    <definedName name="IQ_OPEB_OBLIGATION_ACQ_FOREIGN" hidden="1">"c3379"</definedName>
    <definedName name="IQ_OPEB_OBLIGATION_ACTUARIAL_GAIN_LOSS" hidden="1">"c3371"</definedName>
    <definedName name="IQ_OPEB_OBLIGATION_ACTUARIAL_GAIN_LOSS_DOM" hidden="1">"c3369"</definedName>
    <definedName name="IQ_OPEB_OBLIGATION_ACTUARIAL_GAIN_LOSS_FOREIGN" hidden="1">"c3370"</definedName>
    <definedName name="IQ_OPEB_OBLIGATION_BEG" hidden="1">"c3359"</definedName>
    <definedName name="IQ_OPEB_OBLIGATION_BEG_DOM" hidden="1">"c3357"</definedName>
    <definedName name="IQ_OPEB_OBLIGATION_BEG_FOREIGN" hidden="1">"c3358"</definedName>
    <definedName name="IQ_OPEB_OBLIGATION_CURTAIL" hidden="1">"c3383"</definedName>
    <definedName name="IQ_OPEB_OBLIGATION_CURTAIL_DOM" hidden="1">"c3381"</definedName>
    <definedName name="IQ_OPEB_OBLIGATION_CURTAIL_FOREIGN" hidden="1">"c3382"</definedName>
    <definedName name="IQ_OPEB_OBLIGATION_EMPLOYEE_CONTRIBUTIONS" hidden="1">"c3368"</definedName>
    <definedName name="IQ_OPEB_OBLIGATION_EMPLOYEE_CONTRIBUTIONS_DOM" hidden="1">"c3366"</definedName>
    <definedName name="IQ_OPEB_OBLIGATION_EMPLOYEE_CONTRIBUTIONS_FOREIGN" hidden="1">"c3367"</definedName>
    <definedName name="IQ_OPEB_OBLIGATION_FX_ADJ" hidden="1">"c3377"</definedName>
    <definedName name="IQ_OPEB_OBLIGATION_FX_ADJ_DOM" hidden="1">"c3375"</definedName>
    <definedName name="IQ_OPEB_OBLIGATION_FX_ADJ_FOREIGN" hidden="1">"c3376"</definedName>
    <definedName name="IQ_OPEB_OBLIGATION_INTEREST_COST" hidden="1">"c3365"</definedName>
    <definedName name="IQ_OPEB_OBLIGATION_INTEREST_COST_DOM" hidden="1">"c3363"</definedName>
    <definedName name="IQ_OPEB_OBLIGATION_INTEREST_COST_FOREIGN" hidden="1">"c3364"</definedName>
    <definedName name="IQ_OPEB_OBLIGATION_OTHER_PLAN_ADJ" hidden="1">"c3386"</definedName>
    <definedName name="IQ_OPEB_OBLIGATION_OTHER_PLAN_ADJ_DOM" hidden="1">"c3384"</definedName>
    <definedName name="IQ_OPEB_OBLIGATION_OTHER_PLAN_ADJ_FOREIGN" hidden="1">"c3385"</definedName>
    <definedName name="IQ_OPEB_OBLIGATION_PAID" hidden="1">"c3374"</definedName>
    <definedName name="IQ_OPEB_OBLIGATION_PAID_DOM" hidden="1">"c3372"</definedName>
    <definedName name="IQ_OPEB_OBLIGATION_PAID_FOREIGN" hidden="1">"c3373"</definedName>
    <definedName name="IQ_OPEB_OBLIGATION_PROJECTED" hidden="1">"c3389"</definedName>
    <definedName name="IQ_OPEB_OBLIGATION_PROJECTED_DOM" hidden="1">"c3387"</definedName>
    <definedName name="IQ_OPEB_OBLIGATION_PROJECTED_FOREIGN" hidden="1">"c3388"</definedName>
    <definedName name="IQ_OPEB_OBLIGATION_SERVICE_COST" hidden="1">"c3362"</definedName>
    <definedName name="IQ_OPEB_OBLIGATION_SERVICE_COST_DOM" hidden="1">"c3360"</definedName>
    <definedName name="IQ_OPEB_OBLIGATION_SERVICE_COST_FOREIGN" hidden="1">"c3361"</definedName>
    <definedName name="IQ_OPEB_OTHER" hidden="1">"c3317"</definedName>
    <definedName name="IQ_OPEB_OTHER_ADJ" hidden="1">"c3323"</definedName>
    <definedName name="IQ_OPEB_OTHER_ADJ_DOM" hidden="1">"c3321"</definedName>
    <definedName name="IQ_OPEB_OTHER_ADJ_FOREIGN" hidden="1">"c3322"</definedName>
    <definedName name="IQ_OPEB_OTHER_COST" hidden="1">"c3401"</definedName>
    <definedName name="IQ_OPEB_OTHER_COST_DOM" hidden="1">"c3399"</definedName>
    <definedName name="IQ_OPEB_OTHER_COST_FOREIGN" hidden="1">"c3400"</definedName>
    <definedName name="IQ_OPEB_OTHER_DOM" hidden="1">"c3315"</definedName>
    <definedName name="IQ_OPEB_OTHER_FOREIGN" hidden="1">"c3316"</definedName>
    <definedName name="IQ_OPEB_PBO_ASSUMED_RATE_RET_MAX" hidden="1">"c3440"</definedName>
    <definedName name="IQ_OPEB_PBO_ASSUMED_RATE_RET_MAX_DOM" hidden="1">"c3438"</definedName>
    <definedName name="IQ_OPEB_PBO_ASSUMED_RATE_RET_MAX_FOREIGN" hidden="1">"c3439"</definedName>
    <definedName name="IQ_OPEB_PBO_ASSUMED_RATE_RET_MIN" hidden="1">"c3437"</definedName>
    <definedName name="IQ_OPEB_PBO_ASSUMED_RATE_RET_MIN_DOM" hidden="1">"c3435"</definedName>
    <definedName name="IQ_OPEB_PBO_ASSUMED_RATE_RET_MIN_FOREIGN" hidden="1">"c3436"</definedName>
    <definedName name="IQ_OPEB_PBO_RATE_COMP_INCREASE_MAX" hidden="1">"c3446"</definedName>
    <definedName name="IQ_OPEB_PBO_RATE_COMP_INCREASE_MAX_DOM" hidden="1">"c3444"</definedName>
    <definedName name="IQ_OPEB_PBO_RATE_COMP_INCREASE_MAX_FOREIGN" hidden="1">"c3445"</definedName>
    <definedName name="IQ_OPEB_PBO_RATE_COMP_INCREASE_MIN" hidden="1">"c3443"</definedName>
    <definedName name="IQ_OPEB_PBO_RATE_COMP_INCREASE_MIN_DOM" hidden="1">"c3441"</definedName>
    <definedName name="IQ_OPEB_PBO_RATE_COMP_INCREASE_MIN_FOREIGN" hidden="1">"c3442"</definedName>
    <definedName name="IQ_OPEB_PREPAID_COST" hidden="1">"c3305"</definedName>
    <definedName name="IQ_OPEB_PREPAID_COST_DOM" hidden="1">"c3303"</definedName>
    <definedName name="IQ_OPEB_PREPAID_COST_FOREIGN" hidden="1">"c3304"</definedName>
    <definedName name="IQ_OPEB_RATE_COMP_INCREASE_MAX" hidden="1">"c3428"</definedName>
    <definedName name="IQ_OPEB_RATE_COMP_INCREASE_MAX_DOM" hidden="1">"c3426"</definedName>
    <definedName name="IQ_OPEB_RATE_COMP_INCREASE_MAX_FOREIGN" hidden="1">"c3427"</definedName>
    <definedName name="IQ_OPEB_RATE_COMP_INCREASE_MIN" hidden="1">"c3425"</definedName>
    <definedName name="IQ_OPEB_RATE_COMP_INCREASE_MIN_DOM" hidden="1">"c3423"</definedName>
    <definedName name="IQ_OPEB_RATE_COMP_INCREASE_MIN_FOREIGN" hidden="1">"c3424"</definedName>
    <definedName name="IQ_OPEB_SERVICE_COST" hidden="1">"c3392"</definedName>
    <definedName name="IQ_OPEB_SERVICE_COST_DOM" hidden="1">"c3390"</definedName>
    <definedName name="IQ_OPEB_SERVICE_COST_FOREIGN" hidden="1">"c3391"</definedName>
    <definedName name="IQ_OPEB_TOTAL_COST" hidden="1">"c3404"</definedName>
    <definedName name="IQ_OPEB_TOTAL_COST_DOM" hidden="1">"c3402"</definedName>
    <definedName name="IQ_OPEB_TOTAL_COST_FOREIGN" hidden="1">"c3403"</definedName>
    <definedName name="IQ_OPEB_UNRECOG_PRIOR" hidden="1">"c3320"</definedName>
    <definedName name="IQ_OPEB_UNRECOG_PRIOR_DOM" hidden="1">"c3318"</definedName>
    <definedName name="IQ_OPEB_UNRECOG_PRIOR_FOREIGN" hidden="1">"c3319"</definedName>
    <definedName name="IQ_OPENPRICE" hidden="1">"c848"</definedName>
    <definedName name="IQ_OPER_INC" hidden="1">"c849"</definedName>
    <definedName name="IQ_OPER_INC_BR" hidden="1">"c850"</definedName>
    <definedName name="IQ_OPER_INC_FIN" hidden="1">"c851"</definedName>
    <definedName name="IQ_OPER_INC_INS" hidden="1">"c852"</definedName>
    <definedName name="IQ_OPER_INC_MARGIN" hidden="1">"c362"</definedName>
    <definedName name="IQ_OPER_INC_REIT" hidden="1">"c853"</definedName>
    <definedName name="IQ_OPER_INC_UTI" hidden="1">"c854"</definedName>
    <definedName name="IQ_OPERATIONS_EXP" hidden="1">"c855"</definedName>
    <definedName name="IQ_OPTIONS_BEG_OS" hidden="1">"c1572"</definedName>
    <definedName name="IQ_OPTIONS_CANCELLED" hidden="1">"c856"</definedName>
    <definedName name="IQ_OPTIONS_END_OS" hidden="1">"c1573"</definedName>
    <definedName name="IQ_OPTIONS_EXERCISED" hidden="1">"c2116"</definedName>
    <definedName name="IQ_OPTIONS_GRANTED" hidden="1">"c2673"</definedName>
    <definedName name="IQ_OPTIONS_ISSUED" hidden="1">"c857"</definedName>
    <definedName name="IQ_OPTIONS_STRIKE_PRICE_GRANTED" hidden="1">"c2678"</definedName>
    <definedName name="IQ_OPTIONS_STRIKE_PRICE_OS" hidden="1">"c2677"</definedName>
    <definedName name="IQ_ORDER_BACKLOG" hidden="1">"c2090"</definedName>
    <definedName name="IQ_OTHER_ADJUST_GROSS_LOANS" hidden="1">"c859"</definedName>
    <definedName name="IQ_OTHER_ASSETS" hidden="1">"c860"</definedName>
    <definedName name="IQ_OTHER_ASSETS_BNK" hidden="1">"c861"</definedName>
    <definedName name="IQ_OTHER_ASSETS_BR" hidden="1">"c862"</definedName>
    <definedName name="IQ_OTHER_ASSETS_FIN" hidden="1">"c863"</definedName>
    <definedName name="IQ_OTHER_ASSETS_INS" hidden="1">"c864"</definedName>
    <definedName name="IQ_OTHER_ASSETS_REIT" hidden="1">"c865"</definedName>
    <definedName name="IQ_OTHER_ASSETS_SERV_RIGHTS" hidden="1">"c2243"</definedName>
    <definedName name="IQ_OTHER_ASSETS_UTI" hidden="1">"c866"</definedName>
    <definedName name="IQ_OTHER_BEARING_LIAB" hidden="1">"c1608"</definedName>
    <definedName name="IQ_OTHER_BENEFITS_OBLIGATION" hidden="1">"c867"</definedName>
    <definedName name="IQ_OTHER_CA" hidden="1">"c868"</definedName>
    <definedName name="IQ_OTHER_CA_SUPPL" hidden="1">"c869"</definedName>
    <definedName name="IQ_OTHER_CA_SUPPL_BNK" hidden="1">"c870"</definedName>
    <definedName name="IQ_OTHER_CA_SUPPL_BR" hidden="1">"c871"</definedName>
    <definedName name="IQ_OTHER_CA_SUPPL_FIN" hidden="1">"c872"</definedName>
    <definedName name="IQ_OTHER_CA_SUPPL_INS" hidden="1">"c873"</definedName>
    <definedName name="IQ_OTHER_CA_SUPPL_REIT" hidden="1">"c874"</definedName>
    <definedName name="IQ_OTHER_CA_SUPPL_UTI" hidden="1">"c875"</definedName>
    <definedName name="IQ_OTHER_CA_UTI" hidden="1">"c876"</definedName>
    <definedName name="IQ_OTHER_CL" hidden="1">"c877"</definedName>
    <definedName name="IQ_OTHER_CL_SUPPL" hidden="1">"c878"</definedName>
    <definedName name="IQ_OTHER_CL_SUPPL_BNK" hidden="1">"c879"</definedName>
    <definedName name="IQ_OTHER_CL_SUPPL_BR" hidden="1">"c880"</definedName>
    <definedName name="IQ_OTHER_CL_SUPPL_FIN" hidden="1">"c881"</definedName>
    <definedName name="IQ_OTHER_CL_SUPPL_REIT" hidden="1">"c882"</definedName>
    <definedName name="IQ_OTHER_CL_SUPPL_UTI" hidden="1">"c883"</definedName>
    <definedName name="IQ_OTHER_CL_UTI" hidden="1">"c884"</definedName>
    <definedName name="IQ_OTHER_CURRENT_ASSETS" hidden="1">"c868"</definedName>
    <definedName name="IQ_OTHER_CURRENT_LIAB" hidden="1">"c877"</definedName>
    <definedName name="IQ_OTHER_DEBT" hidden="1">"c2507"</definedName>
    <definedName name="IQ_OTHER_DEBT_PCT" hidden="1">"c2508"</definedName>
    <definedName name="IQ_OTHER_DEP" hidden="1">"c885"</definedName>
    <definedName name="IQ_OTHER_EARNING" hidden="1">"c1609"</definedName>
    <definedName name="IQ_OTHER_EQUITY" hidden="1">"c886"</definedName>
    <definedName name="IQ_OTHER_EQUITY_BNK" hidden="1">"c887"</definedName>
    <definedName name="IQ_OTHER_EQUITY_BR" hidden="1">"c888"</definedName>
    <definedName name="IQ_OTHER_EQUITY_FIN" hidden="1">"c889"</definedName>
    <definedName name="IQ_OTHER_EQUITY_INS" hidden="1">"c890"</definedName>
    <definedName name="IQ_OTHER_EQUITY_REIT" hidden="1">"c891"</definedName>
    <definedName name="IQ_OTHER_EQUITY_UTI" hidden="1">"c892"</definedName>
    <definedName name="IQ_OTHER_FINANCE_ACT" hidden="1">"c893"</definedName>
    <definedName name="IQ_OTHER_FINANCE_ACT_BNK" hidden="1">"c894"</definedName>
    <definedName name="IQ_OTHER_FINANCE_ACT_BR" hidden="1">"c895"</definedName>
    <definedName name="IQ_OTHER_FINANCE_ACT_FIN" hidden="1">"c896"</definedName>
    <definedName name="IQ_OTHER_FINANCE_ACT_INS" hidden="1">"c897"</definedName>
    <definedName name="IQ_OTHER_FINANCE_ACT_REIT" hidden="1">"c898"</definedName>
    <definedName name="IQ_OTHER_FINANCE_ACT_SUPPL" hidden="1">"c899"</definedName>
    <definedName name="IQ_OTHER_FINANCE_ACT_SUPPL_BNK" hidden="1">"c900"</definedName>
    <definedName name="IQ_OTHER_FINANCE_ACT_SUPPL_BR" hidden="1">"c901"</definedName>
    <definedName name="IQ_OTHER_FINANCE_ACT_SUPPL_FIN" hidden="1">"c902"</definedName>
    <definedName name="IQ_OTHER_FINANCE_ACT_SUPPL_INS" hidden="1">"c903"</definedName>
    <definedName name="IQ_OTHER_FINANCE_ACT_SUPPL_REIT" hidden="1">"c904"</definedName>
    <definedName name="IQ_OTHER_FINANCE_ACT_SUPPL_UTI" hidden="1">"c905"</definedName>
    <definedName name="IQ_OTHER_FINANCE_ACT_UTI" hidden="1">"c906"</definedName>
    <definedName name="IQ_OTHER_INTAN" hidden="1">"c907"</definedName>
    <definedName name="IQ_OTHER_INTAN_BNK" hidden="1">"c908"</definedName>
    <definedName name="IQ_OTHER_INTAN_BR" hidden="1">"c909"</definedName>
    <definedName name="IQ_OTHER_INTAN_FIN" hidden="1">"c910"</definedName>
    <definedName name="IQ_OTHER_INTAN_INS" hidden="1">"c911"</definedName>
    <definedName name="IQ_OTHER_INTAN_REIT" hidden="1">"c912"</definedName>
    <definedName name="IQ_OTHER_INTAN_UTI" hidden="1">"c913"</definedName>
    <definedName name="IQ_OTHER_INV" hidden="1">"c914"</definedName>
    <definedName name="IQ_OTHER_INVEST" hidden="1">"c915"</definedName>
    <definedName name="IQ_OTHER_INVEST_ACT" hidden="1">"c916"</definedName>
    <definedName name="IQ_OTHER_INVEST_ACT_BNK" hidden="1">"c917"</definedName>
    <definedName name="IQ_OTHER_INVEST_ACT_BR" hidden="1">"c918"</definedName>
    <definedName name="IQ_OTHER_INVEST_ACT_FIN" hidden="1">"c919"</definedName>
    <definedName name="IQ_OTHER_INVEST_ACT_INS" hidden="1">"c920"</definedName>
    <definedName name="IQ_OTHER_INVEST_ACT_REIT" hidden="1">"c921"</definedName>
    <definedName name="IQ_OTHER_INVEST_ACT_SUPPL" hidden="1">"c922"</definedName>
    <definedName name="IQ_OTHER_INVEST_ACT_SUPPL_BNK" hidden="1">"c923"</definedName>
    <definedName name="IQ_OTHER_INVEST_ACT_SUPPL_BR" hidden="1">"c924"</definedName>
    <definedName name="IQ_OTHER_INVEST_ACT_SUPPL_FIN" hidden="1">"c925"</definedName>
    <definedName name="IQ_OTHER_INVEST_ACT_SUPPL_INS" hidden="1">"c926"</definedName>
    <definedName name="IQ_OTHER_INVEST_ACT_SUPPL_REIT" hidden="1">"c927"</definedName>
    <definedName name="IQ_OTHER_INVEST_ACT_SUPPL_UTI" hidden="1">"c928"</definedName>
    <definedName name="IQ_OTHER_INVEST_ACT_UTI" hidden="1">"c929"</definedName>
    <definedName name="IQ_OTHER_INVESTING" hidden="1">"c916"</definedName>
    <definedName name="IQ_OTHER_LIAB" hidden="1">"c930"</definedName>
    <definedName name="IQ_OTHER_LIAB_BNK" hidden="1">"c931"</definedName>
    <definedName name="IQ_OTHER_LIAB_BR" hidden="1">"c932"</definedName>
    <definedName name="IQ_OTHER_LIAB_FIN" hidden="1">"c933"</definedName>
    <definedName name="IQ_OTHER_LIAB_INS" hidden="1">"c934"</definedName>
    <definedName name="IQ_OTHER_LIAB_LT" hidden="1">"c935"</definedName>
    <definedName name="IQ_OTHER_LIAB_LT_BNK" hidden="1">"c936"</definedName>
    <definedName name="IQ_OTHER_LIAB_LT_BR" hidden="1">"c937"</definedName>
    <definedName name="IQ_OTHER_LIAB_LT_FIN" hidden="1">"c938"</definedName>
    <definedName name="IQ_OTHER_LIAB_LT_INS" hidden="1">"c939"</definedName>
    <definedName name="IQ_OTHER_LIAB_LT_REIT" hidden="1">"c940"</definedName>
    <definedName name="IQ_OTHER_LIAB_LT_UTI" hidden="1">"c941"</definedName>
    <definedName name="IQ_OTHER_LIAB_REIT" hidden="1">"c942"</definedName>
    <definedName name="IQ_OTHER_LIAB_UTI" hidden="1">"c943"</definedName>
    <definedName name="IQ_OTHER_LIAB_WRITTEN" hidden="1">"c944"</definedName>
    <definedName name="IQ_OTHER_LOANS" hidden="1">"c945"</definedName>
    <definedName name="IQ_OTHER_LONG_TERM" hidden="1">"c946"</definedName>
    <definedName name="IQ_OTHER_LT_ASSETS" hidden="1">"c946"</definedName>
    <definedName name="IQ_OTHER_LT_ASSETS_BNK" hidden="1">"c947"</definedName>
    <definedName name="IQ_OTHER_LT_ASSETS_BR" hidden="1">"c948"</definedName>
    <definedName name="IQ_OTHER_LT_ASSETS_FIN" hidden="1">"c949"</definedName>
    <definedName name="IQ_OTHER_LT_ASSETS_INS" hidden="1">"c950"</definedName>
    <definedName name="IQ_OTHER_LT_ASSETS_REIT" hidden="1">"c951"</definedName>
    <definedName name="IQ_OTHER_LT_ASSETS_UTI" hidden="1">"c952"</definedName>
    <definedName name="IQ_OTHER_NET" hidden="1">"c959"</definedName>
    <definedName name="IQ_OTHER_NON_INT_EXP" hidden="1">"c953"</definedName>
    <definedName name="IQ_OTHER_NON_INT_EXP_TOTAL" hidden="1">"c954"</definedName>
    <definedName name="IQ_OTHER_NON_INT_INC" hidden="1">"c955"</definedName>
    <definedName name="IQ_OTHER_NON_OPER_EXP" hidden="1">"c956"</definedName>
    <definedName name="IQ_OTHER_NON_OPER_EXP_BR" hidden="1">"c957"</definedName>
    <definedName name="IQ_OTHER_NON_OPER_EXP_FIN" hidden="1">"c958"</definedName>
    <definedName name="IQ_OTHER_NON_OPER_EXP_INS" hidden="1">"c959"</definedName>
    <definedName name="IQ_OTHER_NON_OPER_EXP_REIT" hidden="1">"c960"</definedName>
    <definedName name="IQ_OTHER_NON_OPER_EXP_SUPPL" hidden="1">"c961"</definedName>
    <definedName name="IQ_OTHER_NON_OPER_EXP_SUPPL_BR" hidden="1">"c962"</definedName>
    <definedName name="IQ_OTHER_NON_OPER_EXP_SUPPL_FIN" hidden="1">"c963"</definedName>
    <definedName name="IQ_OTHER_NON_OPER_EXP_SUPPL_INS" hidden="1">"c964"</definedName>
    <definedName name="IQ_OTHER_NON_OPER_EXP_SUPPL_REIT" hidden="1">"c965"</definedName>
    <definedName name="IQ_OTHER_NON_OPER_EXP_SUPPL_UTI" hidden="1">"c966"</definedName>
    <definedName name="IQ_OTHER_NON_OPER_EXP_UTI" hidden="1">"c967"</definedName>
    <definedName name="IQ_OTHER_OPER" hidden="1">"c982"</definedName>
    <definedName name="IQ_OTHER_OPER_ACT" hidden="1">"c983"</definedName>
    <definedName name="IQ_OTHER_OPER_ACT_BNK" hidden="1">"c984"</definedName>
    <definedName name="IQ_OTHER_OPER_ACT_BR" hidden="1">"c985"</definedName>
    <definedName name="IQ_OTHER_OPER_ACT_FIN" hidden="1">"c986"</definedName>
    <definedName name="IQ_OTHER_OPER_ACT_INS" hidden="1">"c987"</definedName>
    <definedName name="IQ_OTHER_OPER_ACT_REIT" hidden="1">"c988"</definedName>
    <definedName name="IQ_OTHER_OPER_ACT_UTI" hidden="1">"c989"</definedName>
    <definedName name="IQ_OTHER_OPER_BR" hidden="1">"c990"</definedName>
    <definedName name="IQ_OTHER_OPER_FIN" hidden="1">"c991"</definedName>
    <definedName name="IQ_OTHER_OPER_INS" hidden="1">"c992"</definedName>
    <definedName name="IQ_OTHER_OPER_REIT" hidden="1">"c993"</definedName>
    <definedName name="IQ_OTHER_OPER_SUPPL_BR" hidden="1">"c994"</definedName>
    <definedName name="IQ_OTHER_OPER_SUPPL_FIN" hidden="1">"c995"</definedName>
    <definedName name="IQ_OTHER_OPER_SUPPL_INS" hidden="1">"c996"</definedName>
    <definedName name="IQ_OTHER_OPER_SUPPL_REIT" hidden="1">"c997"</definedName>
    <definedName name="IQ_OTHER_OPER_SUPPL_UTI" hidden="1">"c998"</definedName>
    <definedName name="IQ_OTHER_OPER_TOT_BNK" hidden="1">"c999"</definedName>
    <definedName name="IQ_OTHER_OPER_TOT_BR" hidden="1">"c1000"</definedName>
    <definedName name="IQ_OTHER_OPER_TOT_FIN" hidden="1">"c1001"</definedName>
    <definedName name="IQ_OTHER_OPER_TOT_INS" hidden="1">"c1002"</definedName>
    <definedName name="IQ_OTHER_OPER_TOT_REIT" hidden="1">"c1003"</definedName>
    <definedName name="IQ_OTHER_OPER_TOT_UTI" hidden="1">"c1004"</definedName>
    <definedName name="IQ_OTHER_OPER_UTI" hidden="1">"c1005"</definedName>
    <definedName name="IQ_OTHER_OPTIONS_BEG_OS" hidden="1">"c2686"</definedName>
    <definedName name="IQ_OTHER_OPTIONS_CANCELLED" hidden="1">"c2689"</definedName>
    <definedName name="IQ_OTHER_OPTIONS_END_OS" hidden="1">"c2690"</definedName>
    <definedName name="IQ_OTHER_OPTIONS_EXERCISED" hidden="1">"c2688"</definedName>
    <definedName name="IQ_OTHER_OPTIONS_GRANTED" hidden="1">"c2687"</definedName>
    <definedName name="IQ_OTHER_OPTIONS_STRIKE_PRICE_OS" hidden="1">"c2691"</definedName>
    <definedName name="IQ_OTHER_OUTSTANDING_BS_DATE" hidden="1">"c1972"</definedName>
    <definedName name="IQ_OTHER_OUTSTANDING_FILING_DATE" hidden="1">"c1974"</definedName>
    <definedName name="IQ_OTHER_PC_WRITTEN" hidden="1">"c1006"</definedName>
    <definedName name="IQ_OTHER_REAL_ESTATE" hidden="1">"c1007"</definedName>
    <definedName name="IQ_OTHER_RECEIV" hidden="1">"c1008"</definedName>
    <definedName name="IQ_OTHER_RECEIV_INS" hidden="1">"c1009"</definedName>
    <definedName name="IQ_OTHER_REV" hidden="1">"c1010"</definedName>
    <definedName name="IQ_OTHER_REV_BR" hidden="1">"c1011"</definedName>
    <definedName name="IQ_OTHER_REV_FIN" hidden="1">"c1012"</definedName>
    <definedName name="IQ_OTHER_REV_INS" hidden="1">"c1013"</definedName>
    <definedName name="IQ_OTHER_REV_REIT" hidden="1">"c1014"</definedName>
    <definedName name="IQ_OTHER_REV_SUPPL" hidden="1">"c1015"</definedName>
    <definedName name="IQ_OTHER_REV_SUPPL_BR" hidden="1">"c1016"</definedName>
    <definedName name="IQ_OTHER_REV_SUPPL_FIN" hidden="1">"c1017"</definedName>
    <definedName name="IQ_OTHER_REV_SUPPL_INS" hidden="1">"c1018"</definedName>
    <definedName name="IQ_OTHER_REV_SUPPL_REIT" hidden="1">"c1019"</definedName>
    <definedName name="IQ_OTHER_REV_SUPPL_UTI" hidden="1">"c1020"</definedName>
    <definedName name="IQ_OTHER_REV_UTI" hidden="1">"c1021"</definedName>
    <definedName name="IQ_OTHER_REVENUE" hidden="1">"c1010"</definedName>
    <definedName name="IQ_OTHER_STRIKE_PRICE_GRANTED" hidden="1">"c2692"</definedName>
    <definedName name="IQ_OTHER_UNDRAWN" hidden="1">"c2522"</definedName>
    <definedName name="IQ_OTHER_UNUSUAL" hidden="1">"c1488"</definedName>
    <definedName name="IQ_OTHER_UNUSUAL_BNK" hidden="1">"c1560"</definedName>
    <definedName name="IQ_OTHER_UNUSUAL_BR" hidden="1">"c1561"</definedName>
    <definedName name="IQ_OTHER_UNUSUAL_FIN" hidden="1">"c1562"</definedName>
    <definedName name="IQ_OTHER_UNUSUAL_INS" hidden="1">"c1563"</definedName>
    <definedName name="IQ_OTHER_UNUSUAL_REIT" hidden="1">"c1564"</definedName>
    <definedName name="IQ_OTHER_UNUSUAL_SUPPL" hidden="1">"c1494"</definedName>
    <definedName name="IQ_OTHER_UNUSUAL_SUPPL_BNK" hidden="1">"c1495"</definedName>
    <definedName name="IQ_OTHER_UNUSUAL_SUPPL_BR" hidden="1">"c1496"</definedName>
    <definedName name="IQ_OTHER_UNUSUAL_SUPPL_FIN" hidden="1">"c1497"</definedName>
    <definedName name="IQ_OTHER_UNUSUAL_SUPPL_INS" hidden="1">"c1498"</definedName>
    <definedName name="IQ_OTHER_UNUSUAL_SUPPL_REIT" hidden="1">"c1499"</definedName>
    <definedName name="IQ_OTHER_UNUSUAL_SUPPL_UTI" hidden="1">"c1500"</definedName>
    <definedName name="IQ_OTHER_UNUSUAL_UTI" hidden="1">"c1565"</definedName>
    <definedName name="IQ_OTHER_WARRANTS_BEG_OS" hidden="1">"c2712"</definedName>
    <definedName name="IQ_OTHER_WARRANTS_CANCELLED" hidden="1">"c2715"</definedName>
    <definedName name="IQ_OTHER_WARRANTS_END_OS" hidden="1">"c2716"</definedName>
    <definedName name="IQ_OTHER_WARRANTS_EXERCISED" hidden="1">"c2714"</definedName>
    <definedName name="IQ_OTHER_WARRANTS_ISSUED" hidden="1">"c2713"</definedName>
    <definedName name="IQ_OTHER_WARRANTS_STRIKE_PRICE_ISSUED" hidden="1">"c2718"</definedName>
    <definedName name="IQ_OTHER_WARRANTS_STRIKE_PRICE_OS" hidden="1">"c2717"</definedName>
    <definedName name="IQ_OUTSTANDING_BS_DATE" hidden="1">"c1022"</definedName>
    <definedName name="IQ_OUTSTANDING_FILING_DATE" hidden="1">"c1023"</definedName>
    <definedName name="IQ_OWNERSHIP" hidden="1">"c2160"</definedName>
    <definedName name="IQ_PART_TIME" hidden="1">"c1024"</definedName>
    <definedName name="IQ_PAY_ACCRUED" hidden="1">"c8"</definedName>
    <definedName name="IQ_PAYOUT_RATIO" hidden="1">"c1900"</definedName>
    <definedName name="IQ_PBV" hidden="1">"c1025"</definedName>
    <definedName name="IQ_PBV_AVG" hidden="1">"c1026"</definedName>
    <definedName name="IQ_PC_EARNED" hidden="1">"c2749"</definedName>
    <definedName name="IQ_PC_GAAP_COMBINED_RATIO" hidden="1">"c2781"</definedName>
    <definedName name="IQ_PC_GAAP_COMBINED_RATIO_EXCL_CL" hidden="1">"c2782"</definedName>
    <definedName name="IQ_PC_GAAP_EXPENSE_RATIO" hidden="1">"c2780"</definedName>
    <definedName name="IQ_PC_GAAP_LOSS" hidden="1">"c2779"</definedName>
    <definedName name="IQ_PC_POLICY_BENEFITS_EXP" hidden="1">"c2790"</definedName>
    <definedName name="IQ_PC_STAT_COMBINED_RATIO" hidden="1">"c2778"</definedName>
    <definedName name="IQ_PC_STAT_COMBINED_RATIO_EXCL_DIV" hidden="1">"c2777"</definedName>
    <definedName name="IQ_PC_STAT_DIVIDEND_RATIO" hidden="1">"c2776"</definedName>
    <definedName name="IQ_PC_STAT_EXPENSE_RATIO" hidden="1">"c2775"</definedName>
    <definedName name="IQ_PC_STAT_LOSS_RATIO" hidden="1">"c2774"</definedName>
    <definedName name="IQ_PC_STATUTORY_SURPLUS" hidden="1">"c2770"</definedName>
    <definedName name="IQ_PC_WRITTEN" hidden="1">"c1027"</definedName>
    <definedName name="IQ_PE_EXCL" hidden="1">"c1028"</definedName>
    <definedName name="IQ_PE_EXCL_AVG" hidden="1">"c1029"</definedName>
    <definedName name="IQ_PE_EXCL_FWD" hidden="1">"c1030"</definedName>
    <definedName name="IQ_PE_NORMALIZED" hidden="1">"c2207"</definedName>
    <definedName name="IQ_PE_RATIO" hidden="1">"c1610"</definedName>
    <definedName name="IQ_PENSION" hidden="1">"c1031"</definedName>
    <definedName name="IQ_PENSION_ACCRUED_LIAB" hidden="1">"c3134"</definedName>
    <definedName name="IQ_PENSION_ACCRUED_LIAB_DOM" hidden="1">"c3132"</definedName>
    <definedName name="IQ_PENSION_ACCRUED_LIAB_FOREIGN" hidden="1">"c3133"</definedName>
    <definedName name="IQ_PENSION_ACCUM_OTHER_CI" hidden="1">"c3140"</definedName>
    <definedName name="IQ_PENSION_ACCUM_OTHER_CI_DOM" hidden="1">"c3138"</definedName>
    <definedName name="IQ_PENSION_ACCUM_OTHER_CI_FOREIGN" hidden="1">"c3139"</definedName>
    <definedName name="IQ_PENSION_ACCUMULATED_OBLIGATION" hidden="1">"c3570"</definedName>
    <definedName name="IQ_PENSION_ACCUMULATED_OBLIGATION_DOMESTIC" hidden="1">"c3568"</definedName>
    <definedName name="IQ_PENSION_ACCUMULATED_OBLIGATION_FOREIGN" hidden="1">"c3569"</definedName>
    <definedName name="IQ_PENSION_ASSETS" hidden="1">"c3182"</definedName>
    <definedName name="IQ_PENSION_ASSETS_ACQ" hidden="1">"c3173"</definedName>
    <definedName name="IQ_PENSION_ASSETS_ACQ_DOM" hidden="1">"c3171"</definedName>
    <definedName name="IQ_PENSION_ASSETS_ACQ_FOREIGN" hidden="1">"c3172"</definedName>
    <definedName name="IQ_PENSION_ASSETS_ACTUAL_RETURN" hidden="1">"c3158"</definedName>
    <definedName name="IQ_PENSION_ASSETS_ACTUAL_RETURN_DOM" hidden="1">"c3156"</definedName>
    <definedName name="IQ_PENSION_ASSETS_ACTUAL_RETURN_FOREIGN" hidden="1">"c3157"</definedName>
    <definedName name="IQ_PENSION_ASSETS_BEG" hidden="1">"c3155"</definedName>
    <definedName name="IQ_PENSION_ASSETS_BEG_DOM" hidden="1">"c3153"</definedName>
    <definedName name="IQ_PENSION_ASSETS_BEG_FOREIGN" hidden="1">"c3154"</definedName>
    <definedName name="IQ_PENSION_ASSETS_BENEFITS_PAID" hidden="1">"c3167"</definedName>
    <definedName name="IQ_PENSION_ASSETS_BENEFITS_PAID_DOM" hidden="1">"c3165"</definedName>
    <definedName name="IQ_PENSION_ASSETS_BENEFITS_PAID_FOREIGN" hidden="1">"c3166"</definedName>
    <definedName name="IQ_PENSION_ASSETS_CURTAIL" hidden="1">"c3176"</definedName>
    <definedName name="IQ_PENSION_ASSETS_CURTAIL_DOM" hidden="1">"c3174"</definedName>
    <definedName name="IQ_PENSION_ASSETS_CURTAIL_FOREIGN" hidden="1">"c3175"</definedName>
    <definedName name="IQ_PENSION_ASSETS_DOM" hidden="1">"c3180"</definedName>
    <definedName name="IQ_PENSION_ASSETS_EMPLOYER_CONTRIBUTIONS" hidden="1">"c3161"</definedName>
    <definedName name="IQ_PENSION_ASSETS_EMPLOYER_CONTRIBUTIONS_DOM" hidden="1">"c3159"</definedName>
    <definedName name="IQ_PENSION_ASSETS_EMPLOYER_CONTRIBUTIONS_FOREIGN" hidden="1">"c3160"</definedName>
    <definedName name="IQ_PENSION_ASSETS_FOREIGN" hidden="1">"c3181"</definedName>
    <definedName name="IQ_PENSION_ASSETS_FX_ADJ" hidden="1">"c3170"</definedName>
    <definedName name="IQ_PENSION_ASSETS_FX_ADJ_DOM" hidden="1">"c3168"</definedName>
    <definedName name="IQ_PENSION_ASSETS_FX_ADJ_FOREIGN" hidden="1">"c3169"</definedName>
    <definedName name="IQ_PENSION_ASSETS_OTHER_PLAN_ADJ" hidden="1">"c3179"</definedName>
    <definedName name="IQ_PENSION_ASSETS_OTHER_PLAN_ADJ_DOM" hidden="1">"c3177"</definedName>
    <definedName name="IQ_PENSION_ASSETS_OTHER_PLAN_ADJ_FOREIGN" hidden="1">"c3178"</definedName>
    <definedName name="IQ_PENSION_ASSETS_PARTICIP_CONTRIBUTIONS" hidden="1">"c3164"</definedName>
    <definedName name="IQ_PENSION_ASSETS_PARTICIP_CONTRIBUTIONS_DOM" hidden="1">"c3162"</definedName>
    <definedName name="IQ_PENSION_ASSETS_PARTICIP_CONTRIBUTIONS_FOREIGN" hidden="1">"c3163"</definedName>
    <definedName name="IQ_PENSION_BENEFIT_INFO_DATE" hidden="1">"c3230"</definedName>
    <definedName name="IQ_PENSION_BENEFIT_INFO_DATE_DOM" hidden="1">"c3228"</definedName>
    <definedName name="IQ_PENSION_BENEFIT_INFO_DATE_FOREIGN" hidden="1">"c3229"</definedName>
    <definedName name="IQ_PENSION_BREAKDOWN_EQ" hidden="1">"c3101"</definedName>
    <definedName name="IQ_PENSION_BREAKDOWN_EQ_DOM" hidden="1">"c3099"</definedName>
    <definedName name="IQ_PENSION_BREAKDOWN_EQ_FOREIGN" hidden="1">"c3100"</definedName>
    <definedName name="IQ_PENSION_BREAKDOWN_FI" hidden="1">"c3104"</definedName>
    <definedName name="IQ_PENSION_BREAKDOWN_FI_DOM" hidden="1">"c3102"</definedName>
    <definedName name="IQ_PENSION_BREAKDOWN_FI_FOREIGN" hidden="1">"c3103"</definedName>
    <definedName name="IQ_PENSION_BREAKDOWN_OTHER" hidden="1">"c3110"</definedName>
    <definedName name="IQ_PENSION_BREAKDOWN_OTHER_DOM" hidden="1">"c3108"</definedName>
    <definedName name="IQ_PENSION_BREAKDOWN_OTHER_FOREIGN" hidden="1">"c3109"</definedName>
    <definedName name="IQ_PENSION_BREAKDOWN_PCT_EQ" hidden="1">"c3089"</definedName>
    <definedName name="IQ_PENSION_BREAKDOWN_PCT_EQ_DOM" hidden="1">"c3087"</definedName>
    <definedName name="IQ_PENSION_BREAKDOWN_PCT_EQ_FOREIGN" hidden="1">"c3088"</definedName>
    <definedName name="IQ_PENSION_BREAKDOWN_PCT_FI" hidden="1">"c3092"</definedName>
    <definedName name="IQ_PENSION_BREAKDOWN_PCT_FI_DOM" hidden="1">"c3090"</definedName>
    <definedName name="IQ_PENSION_BREAKDOWN_PCT_FI_FOREIGN" hidden="1">"c3091"</definedName>
    <definedName name="IQ_PENSION_BREAKDOWN_PCT_OTHER" hidden="1">"c3098"</definedName>
    <definedName name="IQ_PENSION_BREAKDOWN_PCT_OTHER_DOM" hidden="1">"c3096"</definedName>
    <definedName name="IQ_PENSION_BREAKDOWN_PCT_OTHER_FOREIGN" hidden="1">"c3097"</definedName>
    <definedName name="IQ_PENSION_BREAKDOWN_PCT_RE" hidden="1">"c3095"</definedName>
    <definedName name="IQ_PENSION_BREAKDOWN_PCT_RE_DOM" hidden="1">"c3093"</definedName>
    <definedName name="IQ_PENSION_BREAKDOWN_PCT_RE_FOREIGN" hidden="1">"c3094"</definedName>
    <definedName name="IQ_PENSION_BREAKDOWN_RE" hidden="1">"c3107"</definedName>
    <definedName name="IQ_PENSION_BREAKDOWN_RE_DOM" hidden="1">"c3105"</definedName>
    <definedName name="IQ_PENSION_BREAKDOWN_RE_FOREIGN" hidden="1">"c3106"</definedName>
    <definedName name="IQ_PENSION_CONTRIBUTION_TOTAL_COST" hidden="1">"c3559"</definedName>
    <definedName name="IQ_PENSION_DISC_RATE_MAX" hidden="1">"c3236"</definedName>
    <definedName name="IQ_PENSION_DISC_RATE_MAX_DOM" hidden="1">"c3234"</definedName>
    <definedName name="IQ_PENSION_DISC_RATE_MAX_FOREIGN" hidden="1">"c3235"</definedName>
    <definedName name="IQ_PENSION_DISC_RATE_MIN" hidden="1">"c3233"</definedName>
    <definedName name="IQ_PENSION_DISC_RATE_MIN_DOM" hidden="1">"c3231"</definedName>
    <definedName name="IQ_PENSION_DISC_RATE_MIN_FOREIGN" hidden="1">"c3232"</definedName>
    <definedName name="IQ_PENSION_DISCOUNT_RATE_DOMESTIC" hidden="1">"c3573"</definedName>
    <definedName name="IQ_PENSION_DISCOUNT_RATE_FOREIGN" hidden="1">"c3574"</definedName>
    <definedName name="IQ_PENSION_EST_BENEFIT_1YR" hidden="1">"c3113"</definedName>
    <definedName name="IQ_PENSION_EST_BENEFIT_1YR_DOM" hidden="1">"c3111"</definedName>
    <definedName name="IQ_PENSION_EST_BENEFIT_1YR_FOREIGN" hidden="1">"c3112"</definedName>
    <definedName name="IQ_PENSION_EST_BENEFIT_2YR" hidden="1">"c3116"</definedName>
    <definedName name="IQ_PENSION_EST_BENEFIT_2YR_DOM" hidden="1">"c3114"</definedName>
    <definedName name="IQ_PENSION_EST_BENEFIT_2YR_FOREIGN" hidden="1">"c3115"</definedName>
    <definedName name="IQ_PENSION_EST_BENEFIT_3YR" hidden="1">"c3119"</definedName>
    <definedName name="IQ_PENSION_EST_BENEFIT_3YR_DOM" hidden="1">"c3117"</definedName>
    <definedName name="IQ_PENSION_EST_BENEFIT_3YR_FOREIGN" hidden="1">"c3118"</definedName>
    <definedName name="IQ_PENSION_EST_BENEFIT_4YR" hidden="1">"c3122"</definedName>
    <definedName name="IQ_PENSION_EST_BENEFIT_4YR_DOM" hidden="1">"c3120"</definedName>
    <definedName name="IQ_PENSION_EST_BENEFIT_4YR_FOREIGN" hidden="1">"c3121"</definedName>
    <definedName name="IQ_PENSION_EST_BENEFIT_5YR" hidden="1">"c3125"</definedName>
    <definedName name="IQ_PENSION_EST_BENEFIT_5YR_DOM" hidden="1">"c3123"</definedName>
    <definedName name="IQ_PENSION_EST_BENEFIT_5YR_FOREIGN" hidden="1">"c3124"</definedName>
    <definedName name="IQ_PENSION_EST_BENEFIT_AFTER5" hidden="1">"c3128"</definedName>
    <definedName name="IQ_PENSION_EST_BENEFIT_AFTER5_DOM" hidden="1">"c3126"</definedName>
    <definedName name="IQ_PENSION_EST_BENEFIT_AFTER5_FOREIGN" hidden="1">"c3127"</definedName>
    <definedName name="IQ_PENSION_EST_CONTRIBUTIONS_NEXTYR" hidden="1">"c3218"</definedName>
    <definedName name="IQ_PENSION_EST_CONTRIBUTIONS_NEXTYR_DOM" hidden="1">"c3216"</definedName>
    <definedName name="IQ_PENSION_EST_CONTRIBUTIONS_NEXTYR_FOREIGN" hidden="1">"c3217"</definedName>
    <definedName name="IQ_PENSION_EXP_RATE_RETURN_MAX" hidden="1">"c3248"</definedName>
    <definedName name="IQ_PENSION_EXP_RATE_RETURN_MAX_DOM" hidden="1">"c3246"</definedName>
    <definedName name="IQ_PENSION_EXP_RATE_RETURN_MAX_FOREIGN" hidden="1">"c3247"</definedName>
    <definedName name="IQ_PENSION_EXP_RATE_RETURN_MIN" hidden="1">"c3245"</definedName>
    <definedName name="IQ_PENSION_EXP_RATE_RETURN_MIN_DOM" hidden="1">"c3243"</definedName>
    <definedName name="IQ_PENSION_EXP_RATE_RETURN_MIN_FOREIGN" hidden="1">"c3244"</definedName>
    <definedName name="IQ_PENSION_EXP_RETURN_DOMESTIC" hidden="1">"c3571"</definedName>
    <definedName name="IQ_PENSION_EXP_RETURN_FOREIGN" hidden="1">"c3572"</definedName>
    <definedName name="IQ_PENSION_INTAN_ASSETS" hidden="1">"c3137"</definedName>
    <definedName name="IQ_PENSION_INTAN_ASSETS_DOM" hidden="1">"c3135"</definedName>
    <definedName name="IQ_PENSION_INTAN_ASSETS_FOREIGN" hidden="1">"c3136"</definedName>
    <definedName name="IQ_PENSION_INTEREST_COST" hidden="1">"c3582"</definedName>
    <definedName name="IQ_PENSION_INTEREST_COST_DOM" hidden="1">"c3580"</definedName>
    <definedName name="IQ_PENSION_INTEREST_COST_FOREIGN" hidden="1">"c3581"</definedName>
    <definedName name="IQ_PENSION_NET_ASSET_RECOG" hidden="1">"c3152"</definedName>
    <definedName name="IQ_PENSION_NET_ASSET_RECOG_DOM" hidden="1">"c3150"</definedName>
    <definedName name="IQ_PENSION_NET_ASSET_RECOG_FOREIGN" hidden="1">"c3151"</definedName>
    <definedName name="IQ_PENSION_OBLIGATION_ACQ" hidden="1">"c3206"</definedName>
    <definedName name="IQ_PENSION_OBLIGATION_ACQ_DOM" hidden="1">"c3204"</definedName>
    <definedName name="IQ_PENSION_OBLIGATION_ACQ_FOREIGN" hidden="1">"c3205"</definedName>
    <definedName name="IQ_PENSION_OBLIGATION_ACTUARIAL_GAIN_LOSS" hidden="1">"c3197"</definedName>
    <definedName name="IQ_PENSION_OBLIGATION_ACTUARIAL_GAIN_LOSS_DOM" hidden="1">"c3195"</definedName>
    <definedName name="IQ_PENSION_OBLIGATION_ACTUARIAL_GAIN_LOSS_FOREIGN" hidden="1">"c3196"</definedName>
    <definedName name="IQ_PENSION_OBLIGATION_BEG" hidden="1">"c3185"</definedName>
    <definedName name="IQ_PENSION_OBLIGATION_BEG_DOM" hidden="1">"c3183"</definedName>
    <definedName name="IQ_PENSION_OBLIGATION_BEG_FOREIGN" hidden="1">"c3184"</definedName>
    <definedName name="IQ_PENSION_OBLIGATION_CURTAIL" hidden="1">"c3209"</definedName>
    <definedName name="IQ_PENSION_OBLIGATION_CURTAIL_DOM" hidden="1">"c3207"</definedName>
    <definedName name="IQ_PENSION_OBLIGATION_CURTAIL_FOREIGN" hidden="1">"c3208"</definedName>
    <definedName name="IQ_PENSION_OBLIGATION_EMPLOYEE_CONTRIBUTIONS" hidden="1">"c3194"</definedName>
    <definedName name="IQ_PENSION_OBLIGATION_EMPLOYEE_CONTRIBUTIONS_DOM" hidden="1">"c3192"</definedName>
    <definedName name="IQ_PENSION_OBLIGATION_EMPLOYEE_CONTRIBUTIONS_FOREIGN" hidden="1">"c3193"</definedName>
    <definedName name="IQ_PENSION_OBLIGATION_FX_ADJ" hidden="1">"c3203"</definedName>
    <definedName name="IQ_PENSION_OBLIGATION_FX_ADJ_DOM" hidden="1">"c3201"</definedName>
    <definedName name="IQ_PENSION_OBLIGATION_FX_ADJ_FOREIGN" hidden="1">"c3202"</definedName>
    <definedName name="IQ_PENSION_OBLIGATION_INTEREST_COST" hidden="1">"c3191"</definedName>
    <definedName name="IQ_PENSION_OBLIGATION_INTEREST_COST_DOM" hidden="1">"c3189"</definedName>
    <definedName name="IQ_PENSION_OBLIGATION_INTEREST_COST_FOREIGN" hidden="1">"c3190"</definedName>
    <definedName name="IQ_PENSION_OBLIGATION_OTHER_COST" hidden="1">"c3555"</definedName>
    <definedName name="IQ_PENSION_OBLIGATION_OTHER_COST_DOM" hidden="1">"c3553"</definedName>
    <definedName name="IQ_PENSION_OBLIGATION_OTHER_COST_FOREIGN" hidden="1">"c3554"</definedName>
    <definedName name="IQ_PENSION_OBLIGATION_OTHER_PLAN_ADJ" hidden="1">"c3212"</definedName>
    <definedName name="IQ_PENSION_OBLIGATION_OTHER_PLAN_ADJ_DOM" hidden="1">"c3210"</definedName>
    <definedName name="IQ_PENSION_OBLIGATION_OTHER_PLAN_ADJ_FOREIGN" hidden="1">"c3211"</definedName>
    <definedName name="IQ_PENSION_OBLIGATION_PAID" hidden="1">"c3200"</definedName>
    <definedName name="IQ_PENSION_OBLIGATION_PAID_DOM" hidden="1">"c3198"</definedName>
    <definedName name="IQ_PENSION_OBLIGATION_PAID_FOREIGN" hidden="1">"c3199"</definedName>
    <definedName name="IQ_PENSION_OBLIGATION_PROJECTED" hidden="1">"c3215"</definedName>
    <definedName name="IQ_PENSION_OBLIGATION_PROJECTED_DOM" hidden="1">"c3213"</definedName>
    <definedName name="IQ_PENSION_OBLIGATION_PROJECTED_FOREIGN" hidden="1">"c3214"</definedName>
    <definedName name="IQ_PENSION_OBLIGATION_ROA" hidden="1">"c3552"</definedName>
    <definedName name="IQ_PENSION_OBLIGATION_ROA_DOM" hidden="1">"c3550"</definedName>
    <definedName name="IQ_PENSION_OBLIGATION_ROA_FOREIGN" hidden="1">"c3551"</definedName>
    <definedName name="IQ_PENSION_OBLIGATION_SERVICE_COST" hidden="1">"c3188"</definedName>
    <definedName name="IQ_PENSION_OBLIGATION_SERVICE_COST_DOM" hidden="1">"c3186"</definedName>
    <definedName name="IQ_PENSION_OBLIGATION_SERVICE_COST_FOREIGN" hidden="1">"c3187"</definedName>
    <definedName name="IQ_PENSION_OBLIGATION_TOTAL_COST" hidden="1">"c3558"</definedName>
    <definedName name="IQ_PENSION_OBLIGATION_TOTAL_COST_DOM" hidden="1">"c3556"</definedName>
    <definedName name="IQ_PENSION_OBLIGATION_TOTAL_COST_FOREIGN" hidden="1">"c3557"</definedName>
    <definedName name="IQ_PENSION_OTHER" hidden="1">"c3143"</definedName>
    <definedName name="IQ_PENSION_OTHER_ADJ" hidden="1">"c3149"</definedName>
    <definedName name="IQ_PENSION_OTHER_ADJ_DOM" hidden="1">"c3147"</definedName>
    <definedName name="IQ_PENSION_OTHER_ADJ_FOREIGN" hidden="1">"c3148"</definedName>
    <definedName name="IQ_PENSION_OTHER_DOM" hidden="1">"c3141"</definedName>
    <definedName name="IQ_PENSION_OTHER_FOREIGN" hidden="1">"c3142"</definedName>
    <definedName name="IQ_PENSION_PBO_ASSUMED_RATE_RET_MAX" hidden="1">"c3254"</definedName>
    <definedName name="IQ_PENSION_PBO_ASSUMED_RATE_RET_MAX_DOM" hidden="1">"c3252"</definedName>
    <definedName name="IQ_PENSION_PBO_ASSUMED_RATE_RET_MAX_FOREIGN" hidden="1">"c3253"</definedName>
    <definedName name="IQ_PENSION_PBO_ASSUMED_RATE_RET_MIN" hidden="1">"c3251"</definedName>
    <definedName name="IQ_PENSION_PBO_ASSUMED_RATE_RET_MIN_DOM" hidden="1">"c3249"</definedName>
    <definedName name="IQ_PENSION_PBO_ASSUMED_RATE_RET_MIN_FOREIGN" hidden="1">"c3250"</definedName>
    <definedName name="IQ_PENSION_PBO_RATE_COMP_INCREASE_MAX" hidden="1">"c3260"</definedName>
    <definedName name="IQ_PENSION_PBO_RATE_COMP_INCREASE_MAX_DOM" hidden="1">"c3258"</definedName>
    <definedName name="IQ_PENSION_PBO_RATE_COMP_INCREASE_MAX_FOREIGN" hidden="1">"c3259"</definedName>
    <definedName name="IQ_PENSION_PBO_RATE_COMP_INCREASE_MIN" hidden="1">"c3257"</definedName>
    <definedName name="IQ_PENSION_PBO_RATE_COMP_INCREASE_MIN_DOM" hidden="1">"c3255"</definedName>
    <definedName name="IQ_PENSION_PBO_RATE_COMP_INCREASE_MIN_FOREIGN" hidden="1">"c3256"</definedName>
    <definedName name="IQ_PENSION_PREPAID_COST" hidden="1">"c3131"</definedName>
    <definedName name="IQ_PENSION_PREPAID_COST_DOM" hidden="1">"c3129"</definedName>
    <definedName name="IQ_PENSION_PREPAID_COST_FOREIGN" hidden="1">"c3130"</definedName>
    <definedName name="IQ_PENSION_PROJECTED_OBLIGATION" hidden="1">"c3566"</definedName>
    <definedName name="IQ_PENSION_PROJECTED_OBLIGATION_DOMESTIC" hidden="1">"c3564"</definedName>
    <definedName name="IQ_PENSION_PROJECTED_OBLIGATION_FOREIGN" hidden="1">"c3565"</definedName>
    <definedName name="IQ_PENSION_QUART_ADDL_CONTRIBUTIONS_EXP" hidden="1">"c3224"</definedName>
    <definedName name="IQ_PENSION_QUART_ADDL_CONTRIBUTIONS_EXP_DOM" hidden="1">"c3222"</definedName>
    <definedName name="IQ_PENSION_QUART_ADDL_CONTRIBUTIONS_EXP_FOREIGN" hidden="1">"c3223"</definedName>
    <definedName name="IQ_PENSION_QUART_EMPLOYER_CONTRIBUTIONS" hidden="1">"c3221"</definedName>
    <definedName name="IQ_PENSION_QUART_EMPLOYER_CONTRIBUTIONS_DOM" hidden="1">"c3219"</definedName>
    <definedName name="IQ_PENSION_QUART_EMPLOYER_CONTRIBUTIONS_FOREIGN" hidden="1">"c3220"</definedName>
    <definedName name="IQ_PENSION_RATE_COMP_GROWTH_DOMESTIC" hidden="1">"c3575"</definedName>
    <definedName name="IQ_PENSION_RATE_COMP_GROWTH_FOREIGN" hidden="1">"c3576"</definedName>
    <definedName name="IQ_PENSION_RATE_COMP_INCREASE_MAX" hidden="1">"c3242"</definedName>
    <definedName name="IQ_PENSION_RATE_COMP_INCREASE_MAX_DOM" hidden="1">"c3240"</definedName>
    <definedName name="IQ_PENSION_RATE_COMP_INCREASE_MAX_FOREIGN" hidden="1">"c3241"</definedName>
    <definedName name="IQ_PENSION_RATE_COMP_INCREASE_MIN" hidden="1">"c3239"</definedName>
    <definedName name="IQ_PENSION_RATE_COMP_INCREASE_MIN_DOM" hidden="1">"c3237"</definedName>
    <definedName name="IQ_PENSION_RATE_COMP_INCREASE_MIN_FOREIGN" hidden="1">"c3238"</definedName>
    <definedName name="IQ_PENSION_SERVICE_COST" hidden="1">"c3579"</definedName>
    <definedName name="IQ_PENSION_SERVICE_COST_DOM" hidden="1">"c3577"</definedName>
    <definedName name="IQ_PENSION_SERVICE_COST_FOREIGN" hidden="1">"c3578"</definedName>
    <definedName name="IQ_PENSION_TOTAL_ASSETS" hidden="1">"c3563"</definedName>
    <definedName name="IQ_PENSION_TOTAL_ASSETS_DOMESTIC" hidden="1">"c3561"</definedName>
    <definedName name="IQ_PENSION_TOTAL_ASSETS_FOREIGN" hidden="1">"c3562"</definedName>
    <definedName name="IQ_PENSION_TOTAL_EXP" hidden="1">"c3560"</definedName>
    <definedName name="IQ_PENSION_UNFUNDED_ADDL_MIN_LIAB" hidden="1">"c3227"</definedName>
    <definedName name="IQ_PENSION_UNFUNDED_ADDL_MIN_LIAB_DOM" hidden="1">"c3225"</definedName>
    <definedName name="IQ_PENSION_UNFUNDED_ADDL_MIN_LIAB_FOREIGN" hidden="1">"c3226"</definedName>
    <definedName name="IQ_PENSION_UNRECOG_PRIOR" hidden="1">"c3146"</definedName>
    <definedName name="IQ_PENSION_UNRECOG_PRIOR_DOM" hidden="1">"c3144"</definedName>
    <definedName name="IQ_PENSION_UNRECOG_PRIOR_FOREIGN" hidden="1">"c3145"</definedName>
    <definedName name="IQ_PENSION_UV_LIAB" hidden="1">"c3567"</definedName>
    <definedName name="IQ_PERIODDATE" hidden="1">"c1034"</definedName>
    <definedName name="IQ_PERIODDATE_BS" hidden="1">"c1032"</definedName>
    <definedName name="IQ_PERIODDATE_CF" hidden="1">"c1033"</definedName>
    <definedName name="IQ_PERIODDATE_IS" hidden="1">"c1034"</definedName>
    <definedName name="IQ_PERIODLENGTH_CF" hidden="1">"c1502"</definedName>
    <definedName name="IQ_PERIODLENGTH_IS" hidden="1">"c1503"</definedName>
    <definedName name="IQ_PERTYPE" hidden="1">"c1611"</definedName>
    <definedName name="IQ_PLL" hidden="1">"c2114"</definedName>
    <definedName name="IQ_PMT_FREQ" hidden="1">"c2236"</definedName>
    <definedName name="IQ_POISON_PUT_EFFECT_DATE" hidden="1">"c2486"</definedName>
    <definedName name="IQ_POISON_PUT_EXPIRATION_DATE" hidden="1">"c2487"</definedName>
    <definedName name="IQ_POISON_PUT_PRICE" hidden="1">"c2488"</definedName>
    <definedName name="IQ_POLICY_BENEFITS" hidden="1">"c1036"</definedName>
    <definedName name="IQ_POLICY_COST" hidden="1">"c1037"</definedName>
    <definedName name="IQ_POLICY_LIAB" hidden="1">"c1612"</definedName>
    <definedName name="IQ_POLICY_LOANS" hidden="1">"c1038"</definedName>
    <definedName name="IQ_POST_RETIRE_EXP" hidden="1">"c1039"</definedName>
    <definedName name="IQ_POSTPAID_CHURN" hidden="1">"c2121"</definedName>
    <definedName name="IQ_POSTPAID_SUBS" hidden="1">"c2118"</definedName>
    <definedName name="IQ_PRE_OPEN_COST" hidden="1">"c1040"</definedName>
    <definedName name="IQ_PREF_CONVERT" hidden="1">"c1041"</definedName>
    <definedName name="IQ_PREF_DIV_CF" hidden="1">"c1042"</definedName>
    <definedName name="IQ_PREF_DIV_OTHER" hidden="1">"c1043"</definedName>
    <definedName name="IQ_PREF_DIVID" hidden="1">"c1461"</definedName>
    <definedName name="IQ_PREF_EQUITY" hidden="1">"c1044"</definedName>
    <definedName name="IQ_PREF_ISSUED" hidden="1">"c1045"</definedName>
    <definedName name="IQ_PREF_ISSUED_BNK" hidden="1">"c1046"</definedName>
    <definedName name="IQ_PREF_ISSUED_BR" hidden="1">"c1047"</definedName>
    <definedName name="IQ_PREF_ISSUED_FIN" hidden="1">"c1048"</definedName>
    <definedName name="IQ_PREF_ISSUED_INS" hidden="1">"c1049"</definedName>
    <definedName name="IQ_PREF_ISSUED_REIT" hidden="1">"c1050"</definedName>
    <definedName name="IQ_PREF_ISSUED_UTI" hidden="1">"c1051"</definedName>
    <definedName name="IQ_PREF_NON_REDEEM" hidden="1">"c1052"</definedName>
    <definedName name="IQ_PREF_OTHER" hidden="1">"c1053"</definedName>
    <definedName name="IQ_PREF_OTHER_BNK" hidden="1">"c1054"</definedName>
    <definedName name="IQ_PREF_OTHER_BR" hidden="1">"c1055"</definedName>
    <definedName name="IQ_PREF_OTHER_FIN" hidden="1">"c1056"</definedName>
    <definedName name="IQ_PREF_OTHER_INS" hidden="1">"c1057"</definedName>
    <definedName name="IQ_PREF_OTHER_REIT" hidden="1">"c1058"</definedName>
    <definedName name="IQ_PREF_REDEEM" hidden="1">"c1059"</definedName>
    <definedName name="IQ_PREF_REP" hidden="1">"c1060"</definedName>
    <definedName name="IQ_PREF_REP_BNK" hidden="1">"c1061"</definedName>
    <definedName name="IQ_PREF_REP_BR" hidden="1">"c1062"</definedName>
    <definedName name="IQ_PREF_REP_FIN" hidden="1">"c1063"</definedName>
    <definedName name="IQ_PREF_REP_INS" hidden="1">"c1064"</definedName>
    <definedName name="IQ_PREF_REP_REIT" hidden="1">"c1065"</definedName>
    <definedName name="IQ_PREF_REP_UTI" hidden="1">"c1066"</definedName>
    <definedName name="IQ_PREF_STOCK" hidden="1">"c1052"</definedName>
    <definedName name="IQ_PREF_TOT" hidden="1">"c1044"</definedName>
    <definedName name="IQ_PREMIUMS_ANNUITY_REV" hidden="1">"c1067"</definedName>
    <definedName name="IQ_PREPAID_CHURN" hidden="1">"c2120"</definedName>
    <definedName name="IQ_PREPAID_EXP" hidden="1">"c1068"</definedName>
    <definedName name="IQ_PREPAID_EXPEN" hidden="1">"c1068"</definedName>
    <definedName name="IQ_PREPAID_SUBS" hidden="1">"c2117"</definedName>
    <definedName name="IQ_PRICE_OVER_BVPS" hidden="1">"c1026"</definedName>
    <definedName name="IQ_PRICE_OVER_LTM_EPS" hidden="1">"c1029"</definedName>
    <definedName name="IQ_PRICEDATE" hidden="1">"c1069"</definedName>
    <definedName name="IQ_PRICING_DATE" hidden="1">"c1613"</definedName>
    <definedName name="IQ_PRIMARY_INDUSTRY" hidden="1">"c1070"</definedName>
    <definedName name="IQ_PRINCIPAL_AMT" hidden="1">"c2157"</definedName>
    <definedName name="IQ_PRO_FORMA_BASIC_EPS" hidden="1">"c1614"</definedName>
    <definedName name="IQ_PRO_FORMA_DILUT_EPS" hidden="1">"c1615"</definedName>
    <definedName name="IQ_PRO_FORMA_NET_INC" hidden="1">"c795"</definedName>
    <definedName name="IQ_PROFESSIONAL" hidden="1">"c1071"</definedName>
    <definedName name="IQ_PROFESSIONAL_TITLE" hidden="1">"c1072"</definedName>
    <definedName name="IQ_PROJECTED_PENSION_OBLIGATION" hidden="1">"c1292"</definedName>
    <definedName name="IQ_PROJECTED_PENSION_OBLIGATION_DOMESTIC" hidden="1">"c2656"</definedName>
    <definedName name="IQ_PROJECTED_PENSION_OBLIGATION_FOREIGN" hidden="1">"c2664"</definedName>
    <definedName name="IQ_PROPERTY_EXP" hidden="1">"c1073"</definedName>
    <definedName name="IQ_PROPERTY_GROSS" hidden="1">"c518"</definedName>
    <definedName name="IQ_PROPERTY_MGMT_FEE" hidden="1">"c1074"</definedName>
    <definedName name="IQ_PROPERTY_NET" hidden="1">"c829"</definedName>
    <definedName name="IQ_PROV_BAD_DEBTS" hidden="1">"c1075"</definedName>
    <definedName name="IQ_PROV_BAD_DEBTS_CF" hidden="1">"c1076"</definedName>
    <definedName name="IQ_PROVISION_10YR_ANN_GROWTH" hidden="1">"c1077"</definedName>
    <definedName name="IQ_PROVISION_1YR_ANN_GROWTH" hidden="1">"c1078"</definedName>
    <definedName name="IQ_PROVISION_2YR_ANN_GROWTH" hidden="1">"c1079"</definedName>
    <definedName name="IQ_PROVISION_3YR_ANN_GROWTH" hidden="1">"c1080"</definedName>
    <definedName name="IQ_PROVISION_5YR_ANN_GROWTH" hidden="1">"c1081"</definedName>
    <definedName name="IQ_PROVISION_7YR_ANN_GROWTH" hidden="1">"c1082"</definedName>
    <definedName name="IQ_PROVISION_CHARGE_OFFS" hidden="1">"c1083"</definedName>
    <definedName name="IQ_PTBV" hidden="1">"c1084"</definedName>
    <definedName name="IQ_PTBV_AVG" hidden="1">"c1085"</definedName>
    <definedName name="IQ_PUT_DATE_SCHEDULE" hidden="1">"c2483"</definedName>
    <definedName name="IQ_PUT_NOTIFICATION" hidden="1">"c2485"</definedName>
    <definedName name="IQ_PUT_PRICE_SCHEDULE" hidden="1">"c2484"</definedName>
    <definedName name="IQ_QTD" hidden="1">750000</definedName>
    <definedName name="IQ_QUICK_RATIO" hidden="1">"c1086"</definedName>
    <definedName name="IQ_RATE_COMP_GROWTH_DOMESTIC" hidden="1">"c1087"</definedName>
    <definedName name="IQ_RATE_COMP_GROWTH_FOREIGN" hidden="1">"c1088"</definedName>
    <definedName name="IQ_RAW_INV" hidden="1">"c1089"</definedName>
    <definedName name="IQ_RC" hidden="1">"c2497"</definedName>
    <definedName name="IQ_RC_PCT" hidden="1">"c2498"</definedName>
    <definedName name="IQ_RD_EXP" hidden="1">"c1090"</definedName>
    <definedName name="IQ_RD_EXP_FN" hidden="1">"c1091"</definedName>
    <definedName name="IQ_RE" hidden="1">"c1092"</definedName>
    <definedName name="IQ_REAL_ESTATE" hidden="1">"c1093"</definedName>
    <definedName name="IQ_REAL_ESTATE_ASSETS" hidden="1">"c1094"</definedName>
    <definedName name="IQ_REDEEM_PREF_STOCK" hidden="1">"c1059"</definedName>
    <definedName name="IQ_REG_ASSETS" hidden="1">"c1095"</definedName>
    <definedName name="IQ_REINSUR_PAY" hidden="1">"c1096"</definedName>
    <definedName name="IQ_REINSUR_PAY_CF" hidden="1">"c1097"</definedName>
    <definedName name="IQ_REINSUR_RECOVER" hidden="1">"c1098"</definedName>
    <definedName name="IQ_REINSUR_RECOVER_CF" hidden="1">"c1099"</definedName>
    <definedName name="IQ_REINSURANCE" hidden="1">"c1100"</definedName>
    <definedName name="IQ_RENTAL_REV" hidden="1">"c1101"</definedName>
    <definedName name="IQ_RESEARCH_DEV" hidden="1">"c1090"</definedName>
    <definedName name="IQ_RESIDENTIAL_LOANS" hidden="1">"c1102"</definedName>
    <definedName name="IQ_RESTATEMENT_BS" hidden="1">"c1643"</definedName>
    <definedName name="IQ_RESTATEMENT_CF" hidden="1">"c1644"</definedName>
    <definedName name="IQ_RESTATEMENT_IS" hidden="1">"c1642"</definedName>
    <definedName name="IQ_RESTR_STOCK_COMP" hidden="1">"c3506"</definedName>
    <definedName name="IQ_RESTR_STOCK_COMP_PRETAX" hidden="1">"c3504"</definedName>
    <definedName name="IQ_RESTR_STOCK_COMP_TAX" hidden="1">"c3505"</definedName>
    <definedName name="IQ_RESTRICTED_CASH" hidden="1">"c1103"</definedName>
    <definedName name="IQ_RESTRUCTURE" hidden="1">"c1104"</definedName>
    <definedName name="IQ_RESTRUCTURE_BNK" hidden="1">"c1105"</definedName>
    <definedName name="IQ_RESTRUCTURE_BR" hidden="1">"c1106"</definedName>
    <definedName name="IQ_RESTRUCTURE_CF" hidden="1">"c1107"</definedName>
    <definedName name="IQ_RESTRUCTURE_FIN" hidden="1">"c1108"</definedName>
    <definedName name="IQ_RESTRUCTURE_INS" hidden="1">"c1109"</definedName>
    <definedName name="IQ_RESTRUCTURE_REIT" hidden="1">"c1110"</definedName>
    <definedName name="IQ_RESTRUCTURE_UTI" hidden="1">"c1111"</definedName>
    <definedName name="IQ_RESTRUCTURED_LOANS" hidden="1">"c1112"</definedName>
    <definedName name="IQ_RETAIL_ACQUIRED_FRANCHISE_STORES" hidden="1">"c2895"</definedName>
    <definedName name="IQ_RETAIL_ACQUIRED_OWNED_STORES" hidden="1">"c2903"</definedName>
    <definedName name="IQ_RETAIL_ACQUIRED_STORES" hidden="1">"c2887"</definedName>
    <definedName name="IQ_RETAIL_AVG_STORE_SIZE_GROSS" hidden="1">"c2066"</definedName>
    <definedName name="IQ_RETAIL_AVG_STORE_SIZE_NET" hidden="1">"c2067"</definedName>
    <definedName name="IQ_RETAIL_AVG_WK_SALES" hidden="1">"c2891"</definedName>
    <definedName name="IQ_RETAIL_AVG_WK_SALES_FRANCHISE" hidden="1">"c2899"</definedName>
    <definedName name="IQ_RETAIL_AVG_WK_SALES_OWNED" hidden="1">"c2907"</definedName>
    <definedName name="IQ_RETAIL_CLOSED_FRANCHISE_STORES" hidden="1">"c2896"</definedName>
    <definedName name="IQ_RETAIL_CLOSED_OWNED_STORES" hidden="1">"c2904"</definedName>
    <definedName name="IQ_RETAIL_CLOSED_STORES" hidden="1">"c2063"</definedName>
    <definedName name="IQ_RETAIL_FRANCHISE_STORES_BEG" hidden="1">"c2893"</definedName>
    <definedName name="IQ_RETAIL_OPENED_FRANCHISE_STORES" hidden="1">"c2894"</definedName>
    <definedName name="IQ_RETAIL_OPENED_OWNED_STORES" hidden="1">"c2902"</definedName>
    <definedName name="IQ_RETAIL_OPENED_STORES" hidden="1">"c2062"</definedName>
    <definedName name="IQ_RETAIL_OWNED_STORES_BEG" hidden="1">"c2901"</definedName>
    <definedName name="IQ_RETAIL_SALES_SQFT_ALL_GROSS" hidden="1">"c2138"</definedName>
    <definedName name="IQ_RETAIL_SALES_SQFT_ALL_NET" hidden="1">"c2139"</definedName>
    <definedName name="IQ_RETAIL_SALES_SQFT_COMPARABLE_GROSS" hidden="1">"c2136"</definedName>
    <definedName name="IQ_RETAIL_SALES_SQFT_COMPARABLE_NET" hidden="1">"c2137"</definedName>
    <definedName name="IQ_RETAIL_SALES_SQFT_OWNED_GROSS" hidden="1">"c2134"</definedName>
    <definedName name="IQ_RETAIL_SALES_SQFT_OWNED_NET" hidden="1">"c2135"</definedName>
    <definedName name="IQ_RETAIL_SOLD_FRANCHISE_STORES" hidden="1">"c2897"</definedName>
    <definedName name="IQ_RETAIL_SOLD_OWNED_STORES" hidden="1">"c2905"</definedName>
    <definedName name="IQ_RETAIL_SOLD_STORES" hidden="1">"c2889"</definedName>
    <definedName name="IQ_RETAIL_SQ_FOOTAGE" hidden="1">"c2064"</definedName>
    <definedName name="IQ_RETAIL_STORE_SELLING_AREA" hidden="1">"c2065"</definedName>
    <definedName name="IQ_RETAIL_STORES_BEG" hidden="1">"c2885"</definedName>
    <definedName name="IQ_RETAIL_TOTAL_FRANCHISE_STORES" hidden="1">"c2898"</definedName>
    <definedName name="IQ_RETAIL_TOTAL_OWNED_STORES" hidden="1">"c2906"</definedName>
    <definedName name="IQ_RETAIL_TOTAL_STORES" hidden="1">"c2061"</definedName>
    <definedName name="IQ_RETAINED_EARN" hidden="1">"c1092"</definedName>
    <definedName name="IQ_RETURN_ASSETS" hidden="1">"c1113"</definedName>
    <definedName name="IQ_RETURN_ASSETS_BANK" hidden="1">"c1114"</definedName>
    <definedName name="IQ_RETURN_ASSETS_BROK" hidden="1">"c1115"</definedName>
    <definedName name="IQ_RETURN_ASSETS_FS" hidden="1">"c1116"</definedName>
    <definedName name="IQ_RETURN_CAPITAL" hidden="1">"c1117"</definedName>
    <definedName name="IQ_RETURN_EQUITY" hidden="1">"c1118"</definedName>
    <definedName name="IQ_RETURN_EQUITY_BANK" hidden="1">"c1119"</definedName>
    <definedName name="IQ_RETURN_EQUITY_BROK" hidden="1">"c1120"</definedName>
    <definedName name="IQ_RETURN_EQUITY_FS" hidden="1">"c1121"</definedName>
    <definedName name="IQ_RETURN_INVESTMENT" hidden="1">"c1117"</definedName>
    <definedName name="IQ_REV" hidden="1">"c1122"</definedName>
    <definedName name="IQ_REV_BEFORE_LL" hidden="1">"c1123"</definedName>
    <definedName name="IQ_REV_STDDEV_EST" hidden="1">"c1124"</definedName>
    <definedName name="IQ_REV_UTI" hidden="1">"c1125"</definedName>
    <definedName name="IQ_REVENUE" hidden="1">"c1122"</definedName>
    <definedName name="IQ_REVENUE_EST" hidden="1">"c1126"</definedName>
    <definedName name="IQ_REVENUE_HIGH_EST" hidden="1">"c1127"</definedName>
    <definedName name="IQ_REVENUE_LOW_EST" hidden="1">"c1128"</definedName>
    <definedName name="IQ_REVENUE_NUM_EST" hidden="1">"c1129"</definedName>
    <definedName name="IQ_REVISION_DATE_" hidden="1">39410.0738310185</definedName>
    <definedName name="IQ_RISK_ADJ_BANK_ASSETS" hidden="1">"c2670"</definedName>
    <definedName name="IQ_SALARY" hidden="1">"c1130"</definedName>
    <definedName name="IQ_SALE_INTAN_CF" hidden="1">"c1131"</definedName>
    <definedName name="IQ_SALE_INTAN_CF_BNK" hidden="1">"c1132"</definedName>
    <definedName name="IQ_SALE_INTAN_CF_BR" hidden="1">"c1133"</definedName>
    <definedName name="IQ_SALE_INTAN_CF_FIN" hidden="1">"c1134"</definedName>
    <definedName name="IQ_SALE_INTAN_CF_INS" hidden="1">"c1135"</definedName>
    <definedName name="IQ_SALE_INTAN_CF_REIT" hidden="1">"c1627"</definedName>
    <definedName name="IQ_SALE_INTAN_CF_UTI" hidden="1">"c1136"</definedName>
    <definedName name="IQ_SALE_PPE_CF" hidden="1">"c1137"</definedName>
    <definedName name="IQ_SALE_PPE_CF_BNK" hidden="1">"c1138"</definedName>
    <definedName name="IQ_SALE_PPE_CF_BR" hidden="1">"c1139"</definedName>
    <definedName name="IQ_SALE_PPE_CF_FIN" hidden="1">"c1140"</definedName>
    <definedName name="IQ_SALE_PPE_CF_INS" hidden="1">"c1141"</definedName>
    <definedName name="IQ_SALE_PPE_CF_UTI" hidden="1">"c1142"</definedName>
    <definedName name="IQ_SALE_RE_ASSETS" hidden="1">"c1629"</definedName>
    <definedName name="IQ_SALE_REAL_ESTATE_CF" hidden="1">"c1143"</definedName>
    <definedName name="IQ_SALE_REAL_ESTATE_CF_BNK" hidden="1">"c1144"</definedName>
    <definedName name="IQ_SALE_REAL_ESTATE_CF_BR" hidden="1">"c1145"</definedName>
    <definedName name="IQ_SALE_REAL_ESTATE_CF_FIN" hidden="1">"c1146"</definedName>
    <definedName name="IQ_SALE_REAL_ESTATE_CF_INS" hidden="1">"c1147"</definedName>
    <definedName name="IQ_SALE_REAL_ESTATE_CF_UTI" hidden="1">"c1148"</definedName>
    <definedName name="IQ_SALES_MARKETING" hidden="1">"c2240"</definedName>
    <definedName name="IQ_SAME_STORE" hidden="1">"c1149"</definedName>
    <definedName name="IQ_SAME_STORE_FRANCHISE" hidden="1">"c2900"</definedName>
    <definedName name="IQ_SAME_STORE_OWNED" hidden="1">"c2908"</definedName>
    <definedName name="IQ_SAME_STORE_TOTAL" hidden="1">"c2892"</definedName>
    <definedName name="IQ_SAVING_DEP" hidden="1">"c1150"</definedName>
    <definedName name="IQ_SECUR_RECEIV" hidden="1">"c1151"</definedName>
    <definedName name="IQ_SECURED_DEBT" hidden="1">"c2546"</definedName>
    <definedName name="IQ_SECURED_DEBT_PCT" hidden="1">"c2547"</definedName>
    <definedName name="IQ_SECURITY_BORROW" hidden="1">"c1152"</definedName>
    <definedName name="IQ_SECURITY_LEVEL" hidden="1">"c2159"</definedName>
    <definedName name="IQ_SECURITY_NOTES" hidden="1">"c2202"</definedName>
    <definedName name="IQ_SECURITY_OWN" hidden="1">"c1153"</definedName>
    <definedName name="IQ_SECURITY_RESELL" hidden="1">"c1154"</definedName>
    <definedName name="IQ_SECURITY_TYPE" hidden="1">"c2158"</definedName>
    <definedName name="IQ_SEPARATE_ACCT_ASSETS" hidden="1">"c1155"</definedName>
    <definedName name="IQ_SEPARATE_ACCT_LIAB" hidden="1">"c1156"</definedName>
    <definedName name="IQ_SERV_CHARGE_DEPOSITS" hidden="1">"c1157"</definedName>
    <definedName name="IQ_SGA" hidden="1">"c1158"</definedName>
    <definedName name="IQ_SGA_BNK" hidden="1">"c1159"</definedName>
    <definedName name="IQ_SGA_INS" hidden="1">"c1160"</definedName>
    <definedName name="IQ_SGA_MARGIN" hidden="1">"c1898"</definedName>
    <definedName name="IQ_SGA_REIT" hidden="1">"c1161"</definedName>
    <definedName name="IQ_SGA_SUPPL" hidden="1">"c1162"</definedName>
    <definedName name="IQ_SGA_UTI" hidden="1">"c1163"</definedName>
    <definedName name="IQ_SHAREOUTSTANDING" hidden="1">"c83"</definedName>
    <definedName name="IQ_SHARESOUTSTANDING" hidden="1">"c1164"</definedName>
    <definedName name="IQ_SHORT_INTEREST" hidden="1">"c1165"</definedName>
    <definedName name="IQ_SHORT_INTEREST_OVER_FLOAT" hidden="1">"c1577"</definedName>
    <definedName name="IQ_SHORT_INTEREST_PERCENT" hidden="1">"c1576"</definedName>
    <definedName name="IQ_SHORT_TERM_INVEST" hidden="1">"c1197"</definedName>
    <definedName name="IQ_SMALL_INT_BEAR_CD" hidden="1">"c1166"</definedName>
    <definedName name="IQ_SOFTWARE" hidden="1">"c1167"</definedName>
    <definedName name="IQ_SOURCE" hidden="1">"c1168"</definedName>
    <definedName name="IQ_SP" hidden="1">"c2171"</definedName>
    <definedName name="IQ_SP_DATE" hidden="1">"c2172"</definedName>
    <definedName name="IQ_SP_REASON" hidden="1">"c2174"</definedName>
    <definedName name="IQ_SP_STATUS" hidden="1">"c2173"</definedName>
    <definedName name="IQ_SPECIAL_DIV_CF" hidden="1">"c1169"</definedName>
    <definedName name="IQ_SPECIAL_DIV_CF_BNK" hidden="1">"c1170"</definedName>
    <definedName name="IQ_SPECIAL_DIV_CF_BR" hidden="1">"c1171"</definedName>
    <definedName name="IQ_SPECIAL_DIV_CF_FIN" hidden="1">"c1172"</definedName>
    <definedName name="IQ_SPECIAL_DIV_CF_INS" hidden="1">"c1173"</definedName>
    <definedName name="IQ_SPECIAL_DIV_CF_REIT" hidden="1">"c1174"</definedName>
    <definedName name="IQ_SPECIAL_DIV_CF_UTI" hidden="1">"c1175"</definedName>
    <definedName name="IQ_SPECIAL_DIV_SHARE" hidden="1">"c3007"</definedName>
    <definedName name="IQ_SR_BONDS_NOTES" hidden="1">"c2501"</definedName>
    <definedName name="IQ_SR_BONDS_NOTES_PCT" hidden="1">"c2502"</definedName>
    <definedName name="IQ_SR_DEBT" hidden="1">"c2526"</definedName>
    <definedName name="IQ_SR_DEBT_EBITDA" hidden="1">"c2552"</definedName>
    <definedName name="IQ_SR_DEBT_EBITDA_CAPEX" hidden="1">"c2553"</definedName>
    <definedName name="IQ_SR_DEBT_PCT" hidden="1">"c2527"</definedName>
    <definedName name="IQ_SR_SUB_DEBT" hidden="1">"c2530"</definedName>
    <definedName name="IQ_SR_SUB_DEBT_EBITDA" hidden="1">"c2556"</definedName>
    <definedName name="IQ_SR_SUB_DEBT_EBITDA_CAPEX" hidden="1">"c2557"</definedName>
    <definedName name="IQ_SR_SUB_DEBT_PCT" hidden="1">"c2531"</definedName>
    <definedName name="IQ_ST_DEBT" hidden="1">"c1176"</definedName>
    <definedName name="IQ_ST_DEBT_BNK" hidden="1">"c1177"</definedName>
    <definedName name="IQ_ST_DEBT_BR" hidden="1">"c1178"</definedName>
    <definedName name="IQ_ST_DEBT_FIN" hidden="1">"c1179"</definedName>
    <definedName name="IQ_ST_DEBT_INS" hidden="1">"c1180"</definedName>
    <definedName name="IQ_ST_DEBT_ISSUED" hidden="1">"c1181"</definedName>
    <definedName name="IQ_ST_DEBT_ISSUED_BNK" hidden="1">"c1182"</definedName>
    <definedName name="IQ_ST_DEBT_ISSUED_BR" hidden="1">"c1183"</definedName>
    <definedName name="IQ_ST_DEBT_ISSUED_FIN" hidden="1">"c1184"</definedName>
    <definedName name="IQ_ST_DEBT_ISSUED_INS" hidden="1">"c1185"</definedName>
    <definedName name="IQ_ST_DEBT_ISSUED_REIT" hidden="1">"c1186"</definedName>
    <definedName name="IQ_ST_DEBT_ISSUED_UTI" hidden="1">"c1187"</definedName>
    <definedName name="IQ_ST_DEBT_PCT" hidden="1">"c2539"</definedName>
    <definedName name="IQ_ST_DEBT_REIT" hidden="1">"c1188"</definedName>
    <definedName name="IQ_ST_DEBT_REPAID" hidden="1">"c1189"</definedName>
    <definedName name="IQ_ST_DEBT_REPAID_BNK" hidden="1">"c1190"</definedName>
    <definedName name="IQ_ST_DEBT_REPAID_BR" hidden="1">"c1191"</definedName>
    <definedName name="IQ_ST_DEBT_REPAID_FIN" hidden="1">"c1192"</definedName>
    <definedName name="IQ_ST_DEBT_REPAID_INS" hidden="1">"c1193"</definedName>
    <definedName name="IQ_ST_DEBT_REPAID_REIT" hidden="1">"c1194"</definedName>
    <definedName name="IQ_ST_DEBT_REPAID_UTI" hidden="1">"c1195"</definedName>
    <definedName name="IQ_ST_DEBT_UTI" hidden="1">"c1196"</definedName>
    <definedName name="IQ_ST_INVEST" hidden="1">"c1197"</definedName>
    <definedName name="IQ_ST_INVEST_UTI" hidden="1">"c1198"</definedName>
    <definedName name="IQ_ST_NOTE_RECEIV" hidden="1">"c1199"</definedName>
    <definedName name="IQ_STATE" hidden="1">"c1200"</definedName>
    <definedName name="IQ_STATUTORY_SURPLUS" hidden="1">"c1201"</definedName>
    <definedName name="IQ_STOCK_BASED" hidden="1">"c1202"</definedName>
    <definedName name="IQ_STOCK_BASED_AT" hidden="1">"c2999"</definedName>
    <definedName name="IQ_STOCK_BASED_CF" hidden="1">"c1203"</definedName>
    <definedName name="IQ_STOCK_BASED_COGS" hidden="1">"c2990"</definedName>
    <definedName name="IQ_STOCK_BASED_COMP" hidden="1">"c3512"</definedName>
    <definedName name="IQ_STOCK_BASED_COMP_PRETAX" hidden="1">"c3510"</definedName>
    <definedName name="IQ_STOCK_BASED_COMP_TAX" hidden="1">"c3511"</definedName>
    <definedName name="IQ_STOCK_BASED_GA" hidden="1">"c2993"</definedName>
    <definedName name="IQ_STOCK_BASED_OTHER" hidden="1">"c2995"</definedName>
    <definedName name="IQ_STOCK_BASED_RD" hidden="1">"c2991"</definedName>
    <definedName name="IQ_STOCK_BASED_SGA" hidden="1">"c2994"</definedName>
    <definedName name="IQ_STOCK_BASED_SM" hidden="1">"c2992"</definedName>
    <definedName name="IQ_STOCK_BASED_TOTAL" hidden="1">"c3040"</definedName>
    <definedName name="IQ_STOCK_OPTIONS_COMP" hidden="1">"c3509"</definedName>
    <definedName name="IQ_STOCK_OPTIONS_COMP_PRETAX" hidden="1">"c3507"</definedName>
    <definedName name="IQ_STOCK_OPTIONS_COMP_TAX" hidden="1">"c3508"</definedName>
    <definedName name="IQ_STRIKE_PRICE_ISSUED" hidden="1">"c1645"</definedName>
    <definedName name="IQ_STRIKE_PRICE_OS" hidden="1">"c1646"</definedName>
    <definedName name="IQ_STW" hidden="1">"c2166"</definedName>
    <definedName name="IQ_SUB_BONDS_NOTES" hidden="1">"c2503"</definedName>
    <definedName name="IQ_SUB_BONDS_NOTES_PCT" hidden="1">"c2504"</definedName>
    <definedName name="IQ_SUB_DEBT" hidden="1">"c2532"</definedName>
    <definedName name="IQ_SUB_DEBT_EBITDA" hidden="1">"c2558"</definedName>
    <definedName name="IQ_SUB_DEBT_EBITDA_CAPEX" hidden="1">"c2559"</definedName>
    <definedName name="IQ_SUB_DEBT_PCT" hidden="1">"c2533"</definedName>
    <definedName name="IQ_SUB_LEASE_AFTER_FIVE" hidden="1">"c1207"</definedName>
    <definedName name="IQ_SUB_LEASE_INC_CY" hidden="1">"c1208"</definedName>
    <definedName name="IQ_SUB_LEASE_INC_CY1" hidden="1">"c1209"</definedName>
    <definedName name="IQ_SUB_LEASE_INC_CY2" hidden="1">"c1210"</definedName>
    <definedName name="IQ_SUB_LEASE_INC_CY3" hidden="1">"c1211"</definedName>
    <definedName name="IQ_SUB_LEASE_INC_CY4" hidden="1">"c1212"</definedName>
    <definedName name="IQ_SUB_LEASE_NEXT_FIVE" hidden="1">"c1213"</definedName>
    <definedName name="IQ_SVA" hidden="1">"c1214"</definedName>
    <definedName name="IQ_TAX_BENEFIT_CF_1YR" hidden="1">"c3483"</definedName>
    <definedName name="IQ_TAX_BENEFIT_CF_2YR" hidden="1">"c3484"</definedName>
    <definedName name="IQ_TAX_BENEFIT_CF_3YR" hidden="1">"c3485"</definedName>
    <definedName name="IQ_TAX_BENEFIT_CF_4YR" hidden="1">"c3486"</definedName>
    <definedName name="IQ_TAX_BENEFIT_CF_5YR" hidden="1">"c3487"</definedName>
    <definedName name="IQ_TAX_BENEFIT_CF_AFTER_FIVE" hidden="1">"c3488"</definedName>
    <definedName name="IQ_TAX_BENEFIT_CF_MAX_YEAR" hidden="1">"c3491"</definedName>
    <definedName name="IQ_TAX_BENEFIT_CF_NO_EXP" hidden="1">"c3489"</definedName>
    <definedName name="IQ_TAX_BENEFIT_CF_TOTAL" hidden="1">"c3490"</definedName>
    <definedName name="IQ_TAX_BENEFIT_OPTIONS" hidden="1">"c1215"</definedName>
    <definedName name="IQ_TAX_EQUIV_NET_INT_INC" hidden="1">"c1216"</definedName>
    <definedName name="IQ_TBV" hidden="1">"c1906"</definedName>
    <definedName name="IQ_TBV_10YR_ANN_GROWTH" hidden="1">"c1936"</definedName>
    <definedName name="IQ_TBV_1YR_ANN_GROWTH" hidden="1">"c1931"</definedName>
    <definedName name="IQ_TBV_2YR_ANN_GROWTH" hidden="1">"c1932"</definedName>
    <definedName name="IQ_TBV_3YR_ANN_GROWTH" hidden="1">"c1933"</definedName>
    <definedName name="IQ_TBV_5YR_ANN_GROWTH" hidden="1">"c1934"</definedName>
    <definedName name="IQ_TBV_7YR_ANN_GROWTH" hidden="1">"c1935"</definedName>
    <definedName name="IQ_TBV_SHARE" hidden="1">"c1217"</definedName>
    <definedName name="IQ_TEMPLATE" hidden="1">"c1521"</definedName>
    <definedName name="IQ_TENANT" hidden="1">"c1218"</definedName>
    <definedName name="IQ_TERM_LOANS" hidden="1">"c2499"</definedName>
    <definedName name="IQ_TERM_LOANS_PCT" hidden="1">"c2500"</definedName>
    <definedName name="IQ_TEV" hidden="1">"c1219"</definedName>
    <definedName name="IQ_TEV_EBIT" hidden="1">"c1220"</definedName>
    <definedName name="IQ_TEV_EBIT_AVG" hidden="1">"c1221"</definedName>
    <definedName name="IQ_TEV_EBITDA" hidden="1">"c1222"</definedName>
    <definedName name="IQ_TEV_EBITDA_AVG" hidden="1">"c1223"</definedName>
    <definedName name="IQ_TEV_EBITDA_FWD" hidden="1">"c1224"</definedName>
    <definedName name="IQ_TEV_EMPLOYEE_AVG" hidden="1">"c1225"</definedName>
    <definedName name="IQ_TEV_TOTAL_REV" hidden="1">"c1226"</definedName>
    <definedName name="IQ_TEV_TOTAL_REV_AVG" hidden="1">"c1227"</definedName>
    <definedName name="IQ_TEV_TOTAL_REV_FWD" hidden="1">"c1228"</definedName>
    <definedName name="IQ_TEV_UFCF" hidden="1">"c2208"</definedName>
    <definedName name="IQ_TIER_ONE_CAPITAL" hidden="1">"c2667"</definedName>
    <definedName name="IQ_TIER_ONE_RATIO" hidden="1">"c1229"</definedName>
    <definedName name="IQ_TIER_TWO_CAPITAL" hidden="1">"c2669"</definedName>
    <definedName name="IQ_TIME_DEP" hidden="1">"c1230"</definedName>
    <definedName name="IQ_TODAY" hidden="1">0</definedName>
    <definedName name="IQ_TOT_ADJ_INC" hidden="1">"c1616"</definedName>
    <definedName name="IQ_TOTAL_AR_BR" hidden="1">"c1231"</definedName>
    <definedName name="IQ_TOTAL_AR_REIT" hidden="1">"c1232"</definedName>
    <definedName name="IQ_TOTAL_AR_UTI" hidden="1">"c1233"</definedName>
    <definedName name="IQ_TOTAL_ASSETS" hidden="1">"c1234"</definedName>
    <definedName name="IQ_TOTAL_ASSETS_10YR_ANN_GROWTH" hidden="1">"c1235"</definedName>
    <definedName name="IQ_TOTAL_ASSETS_1YR_ANN_GROWTH" hidden="1">"c1236"</definedName>
    <definedName name="IQ_TOTAL_ASSETS_2YR_ANN_GROWTH" hidden="1">"c1237"</definedName>
    <definedName name="IQ_TOTAL_ASSETS_3YR_ANN_GROWTH" hidden="1">"c1238"</definedName>
    <definedName name="IQ_TOTAL_ASSETS_5YR_ANN_GROWTH" hidden="1">"c1239"</definedName>
    <definedName name="IQ_TOTAL_ASSETS_7YR_ANN_GROWTH" hidden="1">"c1240"</definedName>
    <definedName name="IQ_TOTAL_AVG_CE_TOTAL_AVG_ASSETS" hidden="1">"c1241"</definedName>
    <definedName name="IQ_TOTAL_AVG_EQUITY_TOTAL_AVG_ASSETS" hidden="1">"c1242"</definedName>
    <definedName name="IQ_TOTAL_BANK_CAPITAL" hidden="1">"c2668"</definedName>
    <definedName name="IQ_TOTAL_CA" hidden="1">"c1243"</definedName>
    <definedName name="IQ_TOTAL_CAP" hidden="1">"c1507"</definedName>
    <definedName name="IQ_TOTAL_CAPITAL_RATIO" hidden="1">"c1244"</definedName>
    <definedName name="IQ_TOTAL_CASH_DIVID" hidden="1">"c1266"</definedName>
    <definedName name="IQ_TOTAL_CASH_FINAN" hidden="1">"c119"</definedName>
    <definedName name="IQ_TOTAL_CASH_INVEST" hidden="1">"c121"</definedName>
    <definedName name="IQ_TOTAL_CASH_OPER" hidden="1">"c122"</definedName>
    <definedName name="IQ_TOTAL_CHURN" hidden="1">"c2122"</definedName>
    <definedName name="IQ_TOTAL_CL" hidden="1">"c1245"</definedName>
    <definedName name="IQ_TOTAL_COMMON" hidden="1">"c1022"</definedName>
    <definedName name="IQ_TOTAL_COMMON_EQUITY" hidden="1">"c1246"</definedName>
    <definedName name="IQ_TOTAL_CURRENT_ASSETS" hidden="1">"c1243"</definedName>
    <definedName name="IQ_TOTAL_CURRENT_LIAB" hidden="1">"c1245"</definedName>
    <definedName name="IQ_TOTAL_DEBT" hidden="1">"c1247"</definedName>
    <definedName name="IQ_TOTAL_DEBT_CAPITAL" hidden="1">"c1248"</definedName>
    <definedName name="IQ_TOTAL_DEBT_EBITDA" hidden="1">"c1249"</definedName>
    <definedName name="IQ_TOTAL_DEBT_EBITDA_CAPEX" hidden="1">"c2948"</definedName>
    <definedName name="IQ_TOTAL_DEBT_EQUITY" hidden="1">"c1250"</definedName>
    <definedName name="IQ_TOTAL_DEBT_EXCL_FIN" hidden="1">"c2937"</definedName>
    <definedName name="IQ_TOTAL_DEBT_ISSUED" hidden="1">"c1251"</definedName>
    <definedName name="IQ_TOTAL_DEBT_ISSUED_BNK" hidden="1">"c1252"</definedName>
    <definedName name="IQ_TOTAL_DEBT_ISSUED_BR" hidden="1">"c1253"</definedName>
    <definedName name="IQ_TOTAL_DEBT_ISSUED_FIN" hidden="1">"c1254"</definedName>
    <definedName name="IQ_TOTAL_DEBT_ISSUED_REIT" hidden="1">"c1255"</definedName>
    <definedName name="IQ_TOTAL_DEBT_ISSUED_UTI" hidden="1">"c1256"</definedName>
    <definedName name="IQ_TOTAL_DEBT_ISSUES_INS" hidden="1">"c1257"</definedName>
    <definedName name="IQ_TOTAL_DEBT_OVER_EBITDA" hidden="1">"c1249"</definedName>
    <definedName name="IQ_TOTAL_DEBT_OVER_TOTAL_BV" hidden="1">"c1250"</definedName>
    <definedName name="IQ_TOTAL_DEBT_OVER_TOTAL_CAP" hidden="1">"c1248"</definedName>
    <definedName name="IQ_TOTAL_DEBT_REPAID" hidden="1">"c1258"</definedName>
    <definedName name="IQ_TOTAL_DEBT_REPAID_BNK" hidden="1">"c1259"</definedName>
    <definedName name="IQ_TOTAL_DEBT_REPAID_BR" hidden="1">"c1260"</definedName>
    <definedName name="IQ_TOTAL_DEBT_REPAID_FIN" hidden="1">"c1261"</definedName>
    <definedName name="IQ_TOTAL_DEBT_REPAID_INS" hidden="1">"c1262"</definedName>
    <definedName name="IQ_TOTAL_DEBT_REPAID_REIT" hidden="1">"c1263"</definedName>
    <definedName name="IQ_TOTAL_DEBT_REPAID_UTI" hidden="1">"c1264"</definedName>
    <definedName name="IQ_TOTAL_DEPOSITS" hidden="1">"c1265"</definedName>
    <definedName name="IQ_TOTAL_DIV_PAID_CF" hidden="1">"c1266"</definedName>
    <definedName name="IQ_TOTAL_EMPLOYEE" hidden="1">"c1522"</definedName>
    <definedName name="IQ_TOTAL_EMPLOYEES" hidden="1">"c1522"</definedName>
    <definedName name="IQ_TOTAL_EQUITY" hidden="1">"c1267"</definedName>
    <definedName name="IQ_TOTAL_EQUITY_10YR_ANN_GROWTH" hidden="1">"c1268"</definedName>
    <definedName name="IQ_TOTAL_EQUITY_1YR_ANN_GROWTH" hidden="1">"c1269"</definedName>
    <definedName name="IQ_TOTAL_EQUITY_2YR_ANN_GROWTH" hidden="1">"c1270"</definedName>
    <definedName name="IQ_TOTAL_EQUITY_3YR_ANN_GROWTH" hidden="1">"c1271"</definedName>
    <definedName name="IQ_TOTAL_EQUITY_5YR_ANN_GROWTH" hidden="1">"c1272"</definedName>
    <definedName name="IQ_TOTAL_EQUITY_7YR_ANN_GROWTH" hidden="1">"c1273"</definedName>
    <definedName name="IQ_TOTAL_EQUITY_ALLOWANCE_TOTAL_LOANS" hidden="1">"c1274"</definedName>
    <definedName name="IQ_TOTAL_INTEREST_EXP" hidden="1">"c591"</definedName>
    <definedName name="IQ_TOTAL_INVENTORY" hidden="1">"c622"</definedName>
    <definedName name="IQ_TOTAL_INVEST" hidden="1">"c1275"</definedName>
    <definedName name="IQ_TOTAL_LIAB" hidden="1">"c1276"</definedName>
    <definedName name="IQ_TOTAL_LIAB_BNK" hidden="1">"c1277"</definedName>
    <definedName name="IQ_TOTAL_LIAB_BR" hidden="1">"c1278"</definedName>
    <definedName name="IQ_TOTAL_LIAB_EQUITY" hidden="1">"c1279"</definedName>
    <definedName name="IQ_TOTAL_LIAB_FIN" hidden="1">"c1280"</definedName>
    <definedName name="IQ_TOTAL_LIAB_INS" hidden="1">"c1281"</definedName>
    <definedName name="IQ_TOTAL_LIAB_REIT" hidden="1">"c1282"</definedName>
    <definedName name="IQ_TOTAL_LIAB_SHAREHOLD" hidden="1">"c1279"</definedName>
    <definedName name="IQ_TOTAL_LIAB_TOTAL_ASSETS" hidden="1">"c1283"</definedName>
    <definedName name="IQ_TOTAL_LONG_DEBT" hidden="1">"c1617"</definedName>
    <definedName name="IQ_TOTAL_NON_REC" hidden="1">"c1444"</definedName>
    <definedName name="IQ_TOTAL_OPER_EXP_BR" hidden="1">"c1284"</definedName>
    <definedName name="IQ_TOTAL_OPER_EXP_FIN" hidden="1">"c1285"</definedName>
    <definedName name="IQ_TOTAL_OPER_EXP_INS" hidden="1">"c1286"</definedName>
    <definedName name="IQ_TOTAL_OPER_EXP_REIT" hidden="1">"c1287"</definedName>
    <definedName name="IQ_TOTAL_OPER_EXP_UTI" hidden="1">"c1288"</definedName>
    <definedName name="IQ_TOTAL_OPER_EXPEN" hidden="1">"c1445"</definedName>
    <definedName name="IQ_TOTAL_OPTIONS_BEG_OS" hidden="1">"c2693"</definedName>
    <definedName name="IQ_TOTAL_OPTIONS_CANCELLED" hidden="1">"c2696"</definedName>
    <definedName name="IQ_TOTAL_OPTIONS_END_OS" hidden="1">"c2697"</definedName>
    <definedName name="IQ_TOTAL_OPTIONS_EXERCISED" hidden="1">"c2695"</definedName>
    <definedName name="IQ_TOTAL_OPTIONS_GRANTED" hidden="1">"c2694"</definedName>
    <definedName name="IQ_TOTAL_OTHER_OPER" hidden="1">"c1289"</definedName>
    <definedName name="IQ_TOTAL_OUTSTANDING_BS_DATE" hidden="1">"c1022"</definedName>
    <definedName name="IQ_TOTAL_OUTSTANDING_FILING_DATE" hidden="1">"c2107"</definedName>
    <definedName name="IQ_TOTAL_PENSION_ASSETS" hidden="1">"c1290"</definedName>
    <definedName name="IQ_TOTAL_PENSION_ASSETS_DOMESTIC" hidden="1">"c2658"</definedName>
    <definedName name="IQ_TOTAL_PENSION_ASSETS_FOREIGN" hidden="1">"c2666"</definedName>
    <definedName name="IQ_TOTAL_PENSION_EXP" hidden="1">"c1291"</definedName>
    <definedName name="IQ_TOTAL_PENSION_OBLIGATION" hidden="1">"c1292"</definedName>
    <definedName name="IQ_TOTAL_PRINCIPAL" hidden="1">"c2509"</definedName>
    <definedName name="IQ_TOTAL_PRINCIPAL_PCT" hidden="1">"c2510"</definedName>
    <definedName name="IQ_TOTAL_PROVED_RESERVES_NGL" hidden="1">"c2924"</definedName>
    <definedName name="IQ_TOTAL_PROVED_RESERVES_OIL" hidden="1">"c2040"</definedName>
    <definedName name="IQ_TOTAL_RECEIV" hidden="1">"c1293"</definedName>
    <definedName name="IQ_TOTAL_REV" hidden="1">"c1294"</definedName>
    <definedName name="IQ_TOTAL_REV_10YR_ANN_GROWTH" hidden="1">"c1295"</definedName>
    <definedName name="IQ_TOTAL_REV_1YR_ANN_GROWTH" hidden="1">"c1296"</definedName>
    <definedName name="IQ_TOTAL_REV_2YR_ANN_GROWTH" hidden="1">"c1297"</definedName>
    <definedName name="IQ_TOTAL_REV_3YR_ANN_GROWTH" hidden="1">"c1298"</definedName>
    <definedName name="IQ_TOTAL_REV_5YR_ANN_GROWTH" hidden="1">"c1299"</definedName>
    <definedName name="IQ_TOTAL_REV_7YR_ANN_GROWTH" hidden="1">"c1300"</definedName>
    <definedName name="IQ_TOTAL_REV_AS_REPORTED" hidden="1">"c1301"</definedName>
    <definedName name="IQ_TOTAL_REV_BNK" hidden="1">"c1302"</definedName>
    <definedName name="IQ_TOTAL_REV_BR" hidden="1">"c1303"</definedName>
    <definedName name="IQ_TOTAL_REV_EMPLOYEE" hidden="1">"c1304"</definedName>
    <definedName name="IQ_TOTAL_REV_FIN" hidden="1">"c1305"</definedName>
    <definedName name="IQ_TOTAL_REV_INS" hidden="1">"c1306"</definedName>
    <definedName name="IQ_TOTAL_REV_REIT" hidden="1">"c1307"</definedName>
    <definedName name="IQ_TOTAL_REV_SHARE" hidden="1">"c1912"</definedName>
    <definedName name="IQ_TOTAL_REV_UTI" hidden="1">"c1308"</definedName>
    <definedName name="IQ_TOTAL_REVENUE" hidden="1">"c1294"</definedName>
    <definedName name="IQ_TOTAL_SPECIAL" hidden="1">"c1618"</definedName>
    <definedName name="IQ_TOTAL_ST_BORROW" hidden="1">"c1177"</definedName>
    <definedName name="IQ_TOTAL_SUB_DEBT" hidden="1">"c2528"</definedName>
    <definedName name="IQ_TOTAL_SUB_DEBT_EBITDA" hidden="1">"c2554"</definedName>
    <definedName name="IQ_TOTAL_SUB_DEBT_EBITDA_CAPEX" hidden="1">"c2555"</definedName>
    <definedName name="IQ_TOTAL_SUB_DEBT_PCT" hidden="1">"c2529"</definedName>
    <definedName name="IQ_TOTAL_SUBS" hidden="1">"c2119"</definedName>
    <definedName name="IQ_TOTAL_UNUSUAL" hidden="1">"c1508"</definedName>
    <definedName name="IQ_TOTAL_WARRANTS_BEG_OS" hidden="1">"c2719"</definedName>
    <definedName name="IQ_TOTAL_WARRANTS_CANCELLED" hidden="1">"c2722"</definedName>
    <definedName name="IQ_TOTAL_WARRANTS_END_OS" hidden="1">"c2723"</definedName>
    <definedName name="IQ_TOTAL_WARRANTS_EXERCISED" hidden="1">"c2721"</definedName>
    <definedName name="IQ_TOTAL_WARRANTS_ISSUED" hidden="1">"c2720"</definedName>
    <definedName name="IQ_TR_ACCT_METHOD" hidden="1">"c2363"</definedName>
    <definedName name="IQ_TR_ACQ_52_WK_HI_PCT" hidden="1">"c2348"</definedName>
    <definedName name="IQ_TR_ACQ_52_WK_LOW_PCT" hidden="1">"c2347"</definedName>
    <definedName name="IQ_TR_ACQ_CASH_ST_INVEST" hidden="1">"c2372"</definedName>
    <definedName name="IQ_TR_ACQ_CLOSEPRICE_1D" hidden="1">"c3027"</definedName>
    <definedName name="IQ_TR_ACQ_DILUT_EPS_EXCL" hidden="1">"c3028"</definedName>
    <definedName name="IQ_TR_ACQ_EARNING_CO" hidden="1">"c2379"</definedName>
    <definedName name="IQ_TR_ACQ_EBIT" hidden="1">"c2380"</definedName>
    <definedName name="IQ_TR_ACQ_EBIT_EQ_INC" hidden="1">"c3611"</definedName>
    <definedName name="IQ_TR_ACQ_EBITDA" hidden="1">"c2381"</definedName>
    <definedName name="IQ_TR_ACQ_EBITDA_EQ_INC" hidden="1">"c3610"</definedName>
    <definedName name="IQ_TR_ACQ_FILING_CURRENCY" hidden="1">"c3033"</definedName>
    <definedName name="IQ_TR_ACQ_FILINGDATE" hidden="1">"c3607"</definedName>
    <definedName name="IQ_TR_ACQ_MCAP_1DAY" hidden="1">"c2345"</definedName>
    <definedName name="IQ_TR_ACQ_MIN_INT" hidden="1">"c2374"</definedName>
    <definedName name="IQ_TR_ACQ_NET_DEBT" hidden="1">"c2373"</definedName>
    <definedName name="IQ_TR_ACQ_NI" hidden="1">"c2378"</definedName>
    <definedName name="IQ_TR_ACQ_PERIODDATE" hidden="1">"c3606"</definedName>
    <definedName name="IQ_TR_ACQ_PRICEDATE_1D" hidden="1">"c2346"</definedName>
    <definedName name="IQ_TR_ACQ_RETURN" hidden="1">"c2349"</definedName>
    <definedName name="IQ_TR_ACQ_STOCKYEARHIGH_1D" hidden="1">"c2343"</definedName>
    <definedName name="IQ_TR_ACQ_STOCKYEARLOW_1D" hidden="1">"c2344"</definedName>
    <definedName name="IQ_TR_ACQ_TOTAL_ASSETS" hidden="1">"c2371"</definedName>
    <definedName name="IQ_TR_ACQ_TOTAL_COMMON_EQ" hidden="1">"c2377"</definedName>
    <definedName name="IQ_TR_ACQ_TOTAL_DEBT" hidden="1">"c2376"</definedName>
    <definedName name="IQ_TR_ACQ_TOTAL_PREF" hidden="1">"c2375"</definedName>
    <definedName name="IQ_TR_ACQ_TOTAL_REV" hidden="1">"c2382"</definedName>
    <definedName name="IQ_TR_ADJ_SIZE" hidden="1">"c3024"</definedName>
    <definedName name="IQ_TR_ANN_DATE" hidden="1">"c2395"</definedName>
    <definedName name="IQ_TR_ANN_DATE_BL" hidden="1">"c2394"</definedName>
    <definedName name="IQ_TR_BID_DATE" hidden="1">"c2357"</definedName>
    <definedName name="IQ_TR_BLUESKY_FEES" hidden="1">"c2277"</definedName>
    <definedName name="IQ_TR_BUY_ACC_ADVISORS" hidden="1">"c3048"</definedName>
    <definedName name="IQ_TR_BUY_FIN_ADVISORS" hidden="1">"c3045"</definedName>
    <definedName name="IQ_TR_BUY_LEG_ADVISORS" hidden="1">"c2387"</definedName>
    <definedName name="IQ_TR_BUYER_ID" hidden="1">"c2404"</definedName>
    <definedName name="IQ_TR_BUYERNAME" hidden="1">"c2401"</definedName>
    <definedName name="IQ_TR_CANCELLED_DATE" hidden="1">"c2284"</definedName>
    <definedName name="IQ_TR_CASH_CONSID_PCT" hidden="1">"c2296"</definedName>
    <definedName name="IQ_TR_CASH_ST_INVEST" hidden="1">"c3025"</definedName>
    <definedName name="IQ_TR_CHANGE_CONTROL" hidden="1">"c2365"</definedName>
    <definedName name="IQ_TR_CLOSED_DATE" hidden="1">"c2283"</definedName>
    <definedName name="IQ_TR_CO_NET_PROCEEDS" hidden="1">"c2268"</definedName>
    <definedName name="IQ_TR_CO_NET_PROCEEDS_PCT" hidden="1">"c2270"</definedName>
    <definedName name="IQ_TR_COMMENTS" hidden="1">"c2383"</definedName>
    <definedName name="IQ_TR_CURRENCY" hidden="1">"c3016"</definedName>
    <definedName name="IQ_TR_DEAL_ATTITUDE" hidden="1">"c2364"</definedName>
    <definedName name="IQ_TR_DEAL_CONDITIONS" hidden="1">"c2367"</definedName>
    <definedName name="IQ_TR_DEAL_RESOLUTION" hidden="1">"c2391"</definedName>
    <definedName name="IQ_TR_DEAL_RESPONSES" hidden="1">"c2366"</definedName>
    <definedName name="IQ_TR_DEBT_CONSID_PCT" hidden="1">"c2299"</definedName>
    <definedName name="IQ_TR_DEF_AGRMT_DATE" hidden="1">"c2285"</definedName>
    <definedName name="IQ_TR_DISCLOSED_FEES_EXP" hidden="1">"c2288"</definedName>
    <definedName name="IQ_TR_EARNOUTS" hidden="1">"c3023"</definedName>
    <definedName name="IQ_TR_EXPIRED_DATE" hidden="1">"c2412"</definedName>
    <definedName name="IQ_TR_GROSS_OFFERING_AMT" hidden="1">"c2262"</definedName>
    <definedName name="IQ_TR_HYBRID_CONSID_PCT" hidden="1">"c2300"</definedName>
    <definedName name="IQ_TR_IMPLIED_EQ" hidden="1">"c3018"</definedName>
    <definedName name="IQ_TR_IMPLIED_EQ_BV" hidden="1">"c3019"</definedName>
    <definedName name="IQ_TR_IMPLIED_EQ_NI_LTM" hidden="1">"c3020"</definedName>
    <definedName name="IQ_TR_IMPLIED_EV" hidden="1">"c2301"</definedName>
    <definedName name="IQ_TR_IMPLIED_EV_BV" hidden="1">"c2306"</definedName>
    <definedName name="IQ_TR_IMPLIED_EV_EBIT" hidden="1">"c2302"</definedName>
    <definedName name="IQ_TR_IMPLIED_EV_EBITDA" hidden="1">"c2303"</definedName>
    <definedName name="IQ_TR_IMPLIED_EV_NI_LTM" hidden="1">"c2307"</definedName>
    <definedName name="IQ_TR_IMPLIED_EV_REV" hidden="1">"c2304"</definedName>
    <definedName name="IQ_TR_INIT_FILED_DATE" hidden="1">"c3495"</definedName>
    <definedName name="IQ_TR_LOI_DATE" hidden="1">"c2282"</definedName>
    <definedName name="IQ_TR_MAJ_MIN_STAKE" hidden="1">"c2389"</definedName>
    <definedName name="IQ_TR_NEGOTIATED_BUYBACK_PRICE" hidden="1">"c2414"</definedName>
    <definedName name="IQ_TR_NET_ASSUM_LIABILITIES" hidden="1">"c2308"</definedName>
    <definedName name="IQ_TR_NET_PROCEEDS" hidden="1">"c2267"</definedName>
    <definedName name="IQ_TR_OFFER_DATE" hidden="1">"c2265"</definedName>
    <definedName name="IQ_TR_OFFER_DATE_MA" hidden="1">"c3035"</definedName>
    <definedName name="IQ_TR_OFFER_PER_SHARE" hidden="1">"c3017"</definedName>
    <definedName name="IQ_TR_OPTIONS_CONSID_PCT" hidden="1">"c2311"</definedName>
    <definedName name="IQ_TR_OTHER_CONSID" hidden="1">"c3022"</definedName>
    <definedName name="IQ_TR_PCT_SOUGHT" hidden="1">"c2309"</definedName>
    <definedName name="IQ_TR_PFEATURES" hidden="1">"c2384"</definedName>
    <definedName name="IQ_TR_PIPE_CONV_PRICE_SHARE" hidden="1">"c2292"</definedName>
    <definedName name="IQ_TR_PIPE_CPN_PCT" hidden="1">"c2291"</definedName>
    <definedName name="IQ_TR_PIPE_NUMBER_SHARES" hidden="1">"c2293"</definedName>
    <definedName name="IQ_TR_PIPE_PPS" hidden="1">"c2290"</definedName>
    <definedName name="IQ_TR_POSTMONEY_VAL" hidden="1">"c2286"</definedName>
    <definedName name="IQ_TR_PREDEAL_SITUATION" hidden="1">"c2390"</definedName>
    <definedName name="IQ_TR_PREF_CONSID_PCT" hidden="1">"c2310"</definedName>
    <definedName name="IQ_TR_PREMONEY_VAL" hidden="1">"c2287"</definedName>
    <definedName name="IQ_TR_PRINTING_FEES" hidden="1">"c2276"</definedName>
    <definedName name="IQ_TR_PT_MONETARY_VALUES" hidden="1">"c2415"</definedName>
    <definedName name="IQ_TR_PT_NUMBER_SHARES" hidden="1">"c2417"</definedName>
    <definedName name="IQ_TR_PT_PCT_SHARES" hidden="1">"c2416"</definedName>
    <definedName name="IQ_TR_RATING_FEES" hidden="1">"c2275"</definedName>
    <definedName name="IQ_TR_REG_EFFECT_DATE" hidden="1">"c2264"</definedName>
    <definedName name="IQ_TR_REG_FILED_DATE" hidden="1">"c2263"</definedName>
    <definedName name="IQ_TR_RENEWAL_BUYBACK" hidden="1">"c2413"</definedName>
    <definedName name="IQ_TR_ROUND_NUMBER" hidden="1">"c2295"</definedName>
    <definedName name="IQ_TR_SEC_FEES" hidden="1">"c2274"</definedName>
    <definedName name="IQ_TR_SECURITY_TYPE_REG" hidden="1">"c2279"</definedName>
    <definedName name="IQ_TR_SELL_ACC_ADVISORS" hidden="1">"c3049"</definedName>
    <definedName name="IQ_TR_SELL_FIN_ADVISORS" hidden="1">"c3046"</definedName>
    <definedName name="IQ_TR_SELL_LEG_ADVISORS" hidden="1">"c2388"</definedName>
    <definedName name="IQ_TR_SELLER_ID" hidden="1">"c2406"</definedName>
    <definedName name="IQ_TR_SELLERNAME" hidden="1">"c2402"</definedName>
    <definedName name="IQ_TR_SFEATURES" hidden="1">"c2385"</definedName>
    <definedName name="IQ_TR_SH_NET_PROCEEDS" hidden="1">"c2269"</definedName>
    <definedName name="IQ_TR_SH_NET_PROCEEDS_PCT" hidden="1">"c2271"</definedName>
    <definedName name="IQ_TR_SPECIAL_COMMITTEE" hidden="1">"c2362"</definedName>
    <definedName name="IQ_TR_STATUS" hidden="1">"c2399"</definedName>
    <definedName name="IQ_TR_STOCK_CONSID_PCT" hidden="1">"c2312"</definedName>
    <definedName name="IQ_TR_SUSPENDED_DATE" hidden="1">"c2407"</definedName>
    <definedName name="IQ_TR_TARGET_52WKHI_PCT" hidden="1">"c2351"</definedName>
    <definedName name="IQ_TR_TARGET_52WKLOW_PCT" hidden="1">"c2350"</definedName>
    <definedName name="IQ_TR_TARGET_ACC_ADVISORS" hidden="1">"c3047"</definedName>
    <definedName name="IQ_TR_TARGET_CASH_ST_INVEST" hidden="1">"c2327"</definedName>
    <definedName name="IQ_TR_TARGET_CLOSEPRICE_1D" hidden="1">"c2352"</definedName>
    <definedName name="IQ_TR_TARGET_CLOSEPRICE_1M" hidden="1">"c2354"</definedName>
    <definedName name="IQ_TR_TARGET_CLOSEPRICE_1W" hidden="1">"c2353"</definedName>
    <definedName name="IQ_TR_TARGET_DILUT_EPS_EXCL" hidden="1">"c2324"</definedName>
    <definedName name="IQ_TR_TARGET_EARNING_CO" hidden="1">"c2332"</definedName>
    <definedName name="IQ_TR_TARGET_EBIT" hidden="1">"c2333"</definedName>
    <definedName name="IQ_TR_TARGET_EBIT_EQ_INC" hidden="1">"c3609"</definedName>
    <definedName name="IQ_TR_TARGET_EBITDA" hidden="1">"c2334"</definedName>
    <definedName name="IQ_TR_TARGET_EBITDA_EQ_INC" hidden="1">"c3608"</definedName>
    <definedName name="IQ_TR_TARGET_FILING_CURRENCY" hidden="1">"c3034"</definedName>
    <definedName name="IQ_TR_TARGET_FILINGDATE" hidden="1">"c3605"</definedName>
    <definedName name="IQ_TR_TARGET_FIN_ADVISORS" hidden="1">"c3044"</definedName>
    <definedName name="IQ_TR_TARGET_ID" hidden="1">"c2405"</definedName>
    <definedName name="IQ_TR_TARGET_LEG_ADVISORS" hidden="1">"c2386"</definedName>
    <definedName name="IQ_TR_TARGET_MARKETCAP" hidden="1">"c2342"</definedName>
    <definedName name="IQ_TR_TARGET_MIN_INT" hidden="1">"c2328"</definedName>
    <definedName name="IQ_TR_TARGET_NET_DEBT" hidden="1">"c2326"</definedName>
    <definedName name="IQ_TR_TARGET_NI" hidden="1">"c2331"</definedName>
    <definedName name="IQ_TR_TARGET_PERIODDATE" hidden="1">"c3604"</definedName>
    <definedName name="IQ_TR_TARGET_PRICEDATE_1D" hidden="1">"c2341"</definedName>
    <definedName name="IQ_TR_TARGET_RETURN" hidden="1">"c2355"</definedName>
    <definedName name="IQ_TR_TARGET_SEC_DETAIL" hidden="1">"c3021"</definedName>
    <definedName name="IQ_TR_TARGET_SEC_TI_ID" hidden="1">"c2368"</definedName>
    <definedName name="IQ_TR_TARGET_SEC_TYPE" hidden="1">"c2369"</definedName>
    <definedName name="IQ_TR_TARGET_SPD" hidden="1">"c2313"</definedName>
    <definedName name="IQ_TR_TARGET_SPD_PCT" hidden="1">"c2314"</definedName>
    <definedName name="IQ_TR_TARGET_STOCKPREMIUM_1D" hidden="1">"c2336"</definedName>
    <definedName name="IQ_TR_TARGET_STOCKPREMIUM_1M" hidden="1">"c2337"</definedName>
    <definedName name="IQ_TR_TARGET_STOCKPREMIUM_1W" hidden="1">"c2338"</definedName>
    <definedName name="IQ_TR_TARGET_STOCKYEARHIGH_1D" hidden="1">"c2339"</definedName>
    <definedName name="IQ_TR_TARGET_STOCKYEARLOW_1D" hidden="1">"c2340"</definedName>
    <definedName name="IQ_TR_TARGET_TOTAL_ASSETS" hidden="1">"c2325"</definedName>
    <definedName name="IQ_TR_TARGET_TOTAL_COMMON_EQ" hidden="1">"c2421"</definedName>
    <definedName name="IQ_TR_TARGET_TOTAL_DEBT" hidden="1">"c2330"</definedName>
    <definedName name="IQ_TR_TARGET_TOTAL_PREF" hidden="1">"c2329"</definedName>
    <definedName name="IQ_TR_TARGET_TOTAL_REV" hidden="1">"c2335"</definedName>
    <definedName name="IQ_TR_TARGETNAME" hidden="1">"c2403"</definedName>
    <definedName name="IQ_TR_TERM_FEE" hidden="1">"c2298"</definedName>
    <definedName name="IQ_TR_TERM_FEE_PCT" hidden="1">"c2297"</definedName>
    <definedName name="IQ_TR_TODATE" hidden="1">"c3036"</definedName>
    <definedName name="IQ_TR_TODATE_MONETARY_VALUE" hidden="1">"c2418"</definedName>
    <definedName name="IQ_TR_TODATE_NUMBER_SHARES" hidden="1">"c2420"</definedName>
    <definedName name="IQ_TR_TODATE_PCT_SHARES" hidden="1">"c2419"</definedName>
    <definedName name="IQ_TR_TOTAL_ACCT_FEES" hidden="1">"c2273"</definedName>
    <definedName name="IQ_TR_TOTAL_CASH" hidden="1">"c2315"</definedName>
    <definedName name="IQ_TR_TOTAL_CONSID_SH" hidden="1">"c2316"</definedName>
    <definedName name="IQ_TR_TOTAL_DEBT" hidden="1">"c2317"</definedName>
    <definedName name="IQ_TR_TOTAL_GROSS_TV" hidden="1">"c2318"</definedName>
    <definedName name="IQ_TR_TOTAL_HYBRID" hidden="1">"c2319"</definedName>
    <definedName name="IQ_TR_TOTAL_LEGAL_FEES" hidden="1">"c2272"</definedName>
    <definedName name="IQ_TR_TOTAL_NET_TV" hidden="1">"c2320"</definedName>
    <definedName name="IQ_TR_TOTAL_NEWMONEY" hidden="1">"c2289"</definedName>
    <definedName name="IQ_TR_TOTAL_OPTIONS" hidden="1">"c2322"</definedName>
    <definedName name="IQ_TR_TOTAL_OPTIONS_BUYER" hidden="1">"c3026"</definedName>
    <definedName name="IQ_TR_TOTAL_PREFERRED" hidden="1">"c2321"</definedName>
    <definedName name="IQ_TR_TOTAL_REG_AMT" hidden="1">"c2261"</definedName>
    <definedName name="IQ_TR_TOTAL_STOCK" hidden="1">"c2323"</definedName>
    <definedName name="IQ_TR_TOTAL_TAKEDOWNS" hidden="1">"c2278"</definedName>
    <definedName name="IQ_TR_TOTAL_UW_COMP" hidden="1">"c2280"</definedName>
    <definedName name="IQ_TR_TOTALVALUE" hidden="1">"c2400"</definedName>
    <definedName name="IQ_TR_TRANSACTION_TYPE" hidden="1">"c2398"</definedName>
    <definedName name="IQ_TR_WITHDRAWN_DTE" hidden="1">"c2266"</definedName>
    <definedName name="IQ_TRADE_AR" hidden="1">"c40"</definedName>
    <definedName name="IQ_TRADE_PRINCIPAL" hidden="1">"c1309"</definedName>
    <definedName name="IQ_TRADING_ASSETS" hidden="1">"c1310"</definedName>
    <definedName name="IQ_TRADING_CURRENCY" hidden="1">"c2212"</definedName>
    <definedName name="IQ_TREASURY" hidden="1">"c1311"</definedName>
    <definedName name="IQ_TREASURY_OTHER_EQUITY" hidden="1">"c1312"</definedName>
    <definedName name="IQ_TREASURY_OTHER_EQUITY_BNK" hidden="1">"c1313"</definedName>
    <definedName name="IQ_TREASURY_OTHER_EQUITY_BR" hidden="1">"c1314"</definedName>
    <definedName name="IQ_TREASURY_OTHER_EQUITY_FIN" hidden="1">"c1315"</definedName>
    <definedName name="IQ_TREASURY_OTHER_EQUITY_INS" hidden="1">"c1316"</definedName>
    <definedName name="IQ_TREASURY_OTHER_EQUITY_REIT" hidden="1">"c1317"</definedName>
    <definedName name="IQ_TREASURY_OTHER_EQUITY_UTI" hidden="1">"c1318"</definedName>
    <definedName name="IQ_TREASURY_STOCK" hidden="1">"c1311"</definedName>
    <definedName name="IQ_TRUST_INC" hidden="1">"c1319"</definedName>
    <definedName name="IQ_TRUST_PREF" hidden="1">"c1320"</definedName>
    <definedName name="IQ_TRUST_PREFERRED" hidden="1">"c3029"</definedName>
    <definedName name="IQ_TRUST_PREFERRED_PCT" hidden="1">"c3030"</definedName>
    <definedName name="IQ_UFCF_10YR_ANN_GROWTH" hidden="1">"c1948"</definedName>
    <definedName name="IQ_UFCF_1YR_ANN_GROWTH" hidden="1">"c1943"</definedName>
    <definedName name="IQ_UFCF_2YR_ANN_GROWTH" hidden="1">"c1944"</definedName>
    <definedName name="IQ_UFCF_3YR_ANN_GROWTH" hidden="1">"c1945"</definedName>
    <definedName name="IQ_UFCF_5YR_ANN_GROWTH" hidden="1">"c1946"</definedName>
    <definedName name="IQ_UFCF_7YR_ANN_GROWTH" hidden="1">"c1947"</definedName>
    <definedName name="IQ_UFCF_MARGIN" hidden="1">"c1962"</definedName>
    <definedName name="IQ_ULT_PARENT" hidden="1">"c3037"</definedName>
    <definedName name="IQ_ULT_PARENT_CIQID" hidden="1">"c3039"</definedName>
    <definedName name="IQ_ULT_PARENT_TICKER" hidden="1">"c3038"</definedName>
    <definedName name="IQ_UNAMORT_DISC" hidden="1">"c2513"</definedName>
    <definedName name="IQ_UNAMORT_DISC_PCT" hidden="1">"c2514"</definedName>
    <definedName name="IQ_UNAMORT_PREMIUM" hidden="1">"c2511"</definedName>
    <definedName name="IQ_UNAMORT_PREMIUM_PCT" hidden="1">"c2512"</definedName>
    <definedName name="IQ_UNDRAWN_CP" hidden="1">"c2518"</definedName>
    <definedName name="IQ_UNDRAWN_CREDIT" hidden="1">"c3032"</definedName>
    <definedName name="IQ_UNDRAWN_RC" hidden="1">"c2517"</definedName>
    <definedName name="IQ_UNDRAWN_TL" hidden="1">"c2519"</definedName>
    <definedName name="IQ_UNEARN_PREMIUM" hidden="1">"c1321"</definedName>
    <definedName name="IQ_UNEARN_REV_CURRENT" hidden="1">"c1322"</definedName>
    <definedName name="IQ_UNEARN_REV_CURRENT_BNK" hidden="1">"c1323"</definedName>
    <definedName name="IQ_UNEARN_REV_CURRENT_BR" hidden="1">"c1324"</definedName>
    <definedName name="IQ_UNEARN_REV_CURRENT_FIN" hidden="1">"c1325"</definedName>
    <definedName name="IQ_UNEARN_REV_CURRENT_INS" hidden="1">"c1326"</definedName>
    <definedName name="IQ_UNEARN_REV_CURRENT_REIT" hidden="1">"c1327"</definedName>
    <definedName name="IQ_UNEARN_REV_CURRENT_UTI" hidden="1">"c1328"</definedName>
    <definedName name="IQ_UNEARN_REV_LT" hidden="1">"c1329"</definedName>
    <definedName name="IQ_UNLEVERED_FCF" hidden="1">"c1908"</definedName>
    <definedName name="IQ_UNPAID_CLAIMS" hidden="1">"c1330"</definedName>
    <definedName name="IQ_UNREALIZED_GAIN" hidden="1">"c1619"</definedName>
    <definedName name="IQ_UNSECURED_DEBT" hidden="1">"c2548"</definedName>
    <definedName name="IQ_UNSECURED_DEBT_PCT" hidden="1">"c2549"</definedName>
    <definedName name="IQ_UNUSUAL_EXP" hidden="1">"c1456"</definedName>
    <definedName name="IQ_US_GAAP" hidden="1">"c1331"</definedName>
    <definedName name="IQ_US_GAAP_BASIC_EPS_EXCL" hidden="1">"c2984"</definedName>
    <definedName name="IQ_US_GAAP_BASIC_EPS_INCL" hidden="1">"c2982"</definedName>
    <definedName name="IQ_US_GAAP_BASIC_WEIGHT" hidden="1">"c2980"</definedName>
    <definedName name="IQ_US_GAAP_CA_ADJ" hidden="1">"c2925"</definedName>
    <definedName name="IQ_US_GAAP_CASH_FINAN" hidden="1">"c2945"</definedName>
    <definedName name="IQ_US_GAAP_CASH_FINAN_ADJ" hidden="1">"c2941"</definedName>
    <definedName name="IQ_US_GAAP_CASH_INVEST" hidden="1">"c2944"</definedName>
    <definedName name="IQ_US_GAAP_CASH_INVEST_ADJ" hidden="1">"c2940"</definedName>
    <definedName name="IQ_US_GAAP_CASH_OPER" hidden="1">"c2943"</definedName>
    <definedName name="IQ_US_GAAP_CASH_OPER_ADJ" hidden="1">"c2939"</definedName>
    <definedName name="IQ_US_GAAP_CL_ADJ" hidden="1">"c2927"</definedName>
    <definedName name="IQ_US_GAAP_COST_REV_ADJ" hidden="1">"c2951"</definedName>
    <definedName name="IQ_US_GAAP_DILUT_EPS_EXCL" hidden="1">"c2985"</definedName>
    <definedName name="IQ_US_GAAP_DILUT_EPS_INCL" hidden="1">"c2983"</definedName>
    <definedName name="IQ_US_GAAP_DILUT_NI" hidden="1">"c2979"</definedName>
    <definedName name="IQ_US_GAAP_DILUT_WEIGHT" hidden="1">"c2981"</definedName>
    <definedName name="IQ_US_GAAP_DO_ADJ" hidden="1">"c2959"</definedName>
    <definedName name="IQ_US_GAAP_EXTRA_ACC_ITEMS_ADJ" hidden="1">"c2958"</definedName>
    <definedName name="IQ_US_GAAP_INC_TAX_ADJ" hidden="1">"c2961"</definedName>
    <definedName name="IQ_US_GAAP_INTEREST_EXP_ADJ" hidden="1">"c2957"</definedName>
    <definedName name="IQ_US_GAAP_LIAB_LT_ADJ" hidden="1">"c2928"</definedName>
    <definedName name="IQ_US_GAAP_LIAB_TOTAL_LIAB" hidden="1">"c2933"</definedName>
    <definedName name="IQ_US_GAAP_MINORITY_INTEREST_IS_ADJ" hidden="1">"c2960"</definedName>
    <definedName name="IQ_US_GAAP_NCA_ADJ" hidden="1">"c2926"</definedName>
    <definedName name="IQ_US_GAAP_NET_CHANGE" hidden="1">"c2946"</definedName>
    <definedName name="IQ_US_GAAP_NET_CHANGE_ADJ" hidden="1">"c2942"</definedName>
    <definedName name="IQ_US_GAAP_NI" hidden="1">"c2976"</definedName>
    <definedName name="IQ_US_GAAP_NI_ADJ" hidden="1">"c2963"</definedName>
    <definedName name="IQ_US_GAAP_NI_AVAIL_INCL" hidden="1">"c2978"</definedName>
    <definedName name="IQ_US_GAAP_OTHER_ADJ_ADJ" hidden="1">"c2962"</definedName>
    <definedName name="IQ_US_GAAP_OTHER_NON_OPER_ADJ" hidden="1">"c2955"</definedName>
    <definedName name="IQ_US_GAAP_OTHER_OPER_ADJ" hidden="1">"c2954"</definedName>
    <definedName name="IQ_US_GAAP_RD_ADJ" hidden="1">"c2953"</definedName>
    <definedName name="IQ_US_GAAP_SGA_ADJ" hidden="1">"c2952"</definedName>
    <definedName name="IQ_US_GAAP_TOTAL_ASSETS" hidden="1">"c2931"</definedName>
    <definedName name="IQ_US_GAAP_TOTAL_EQUITY" hidden="1">"c2934"</definedName>
    <definedName name="IQ_US_GAAP_TOTAL_EQUITY_ADJ" hidden="1">"c2929"</definedName>
    <definedName name="IQ_US_GAAP_TOTAL_REV_ADJ" hidden="1">"c2950"</definedName>
    <definedName name="IQ_US_GAAP_TOTAL_UNUSUAL_ADJ" hidden="1">"c2956"</definedName>
    <definedName name="IQ_UTIL_PPE_NET" hidden="1">"c1620"</definedName>
    <definedName name="IQ_UTIL_REV" hidden="1">"c2091"</definedName>
    <definedName name="IQ_UV_PENSION_LIAB" hidden="1">"c1332"</definedName>
    <definedName name="IQ_VALUE_TRADED_LAST_3MTH" hidden="1">"c1530"</definedName>
    <definedName name="IQ_VALUE_TRADED_LAST_6MTH" hidden="1">"c1531"</definedName>
    <definedName name="IQ_VALUE_TRADED_LAST_MTH" hidden="1">"c1529"</definedName>
    <definedName name="IQ_VALUE_TRADED_LAST_WK" hidden="1">"c1528"</definedName>
    <definedName name="IQ_VALUE_TRADED_LAST_YR" hidden="1">"c1532"</definedName>
    <definedName name="IQ_VOL_LAST_3MTH" hidden="1">"c1525"</definedName>
    <definedName name="IQ_VOL_LAST_6MTH" hidden="1">"c1526"</definedName>
    <definedName name="IQ_VOL_LAST_MTH" hidden="1">"c1524"</definedName>
    <definedName name="IQ_VOL_LAST_WK" hidden="1">"c1523"</definedName>
    <definedName name="IQ_VOL_LAST_YR" hidden="1">"c1527"</definedName>
    <definedName name="IQ_VOLUME" hidden="1">"c1333"</definedName>
    <definedName name="IQ_WARRANTS_BEG_OS" hidden="1">"c2698"</definedName>
    <definedName name="IQ_WARRANTS_CANCELLED" hidden="1">"c2701"</definedName>
    <definedName name="IQ_WARRANTS_END_OS" hidden="1">"c2702"</definedName>
    <definedName name="IQ_WARRANTS_EXERCISED" hidden="1">"c2700"</definedName>
    <definedName name="IQ_WARRANTS_ISSUED" hidden="1">"c2699"</definedName>
    <definedName name="IQ_WARRANTS_STRIKE_PRICE_ISSUED" hidden="1">"c2704"</definedName>
    <definedName name="IQ_WARRANTS_STRIKE_PRICE_OS" hidden="1">"c2703"</definedName>
    <definedName name="IQ_WEEK" hidden="1">50000</definedName>
    <definedName name="IQ_WEIGHTED_AVG_PRICE" hidden="1">"c1334"</definedName>
    <definedName name="IQ_WIP_INV" hidden="1">"c1335"</definedName>
    <definedName name="IQ_WORKING_CAP" hidden="1">"c3494"</definedName>
    <definedName name="IQ_WORKMEN_WRITTEN" hidden="1">"c1336"</definedName>
    <definedName name="IQ_XDIV_DATE" hidden="1">"c2203"</definedName>
    <definedName name="IQ_YEARHIGH" hidden="1">"c1337"</definedName>
    <definedName name="IQ_YEARHIGH_DATE" hidden="1">"c2250"</definedName>
    <definedName name="IQ_YEARLOW" hidden="1">"c1338"</definedName>
    <definedName name="IQ_YEARLOW_DATE" hidden="1">"c2251"</definedName>
    <definedName name="IQ_YTD" hidden="1">3000</definedName>
    <definedName name="IQ_YTDMONTH" hidden="1">130000</definedName>
    <definedName name="IQ_YTW" hidden="1">"c2163"</definedName>
    <definedName name="IQ_YTW_DATE" hidden="1">"c2164"</definedName>
    <definedName name="IQ_YTW_DATE_TYPE" hidden="1">"c2165"</definedName>
    <definedName name="IQ_Z_SCORE" hidden="1">"c1339"</definedName>
    <definedName name="IsColHidden" hidden="1">FALSE</definedName>
    <definedName name="IsLTMColHidden" hidden="1">FALSE</definedName>
    <definedName name="KJKJ" hidden="1">#REF!</definedName>
    <definedName name="limcount" hidden="1">1</definedName>
    <definedName name="Lista_Contratos">[8]!Table7[[#All],[ ]]</definedName>
    <definedName name="Lista_Empresas">[8]!Table5[Empresas]</definedName>
    <definedName name="Lista_Fornecedores">[8]!Fornecedores[FORNECEDOR]</definedName>
    <definedName name="NEWWW" hidden="1">{"'PXR_6500'!$A$1:$I$124"}</definedName>
    <definedName name="OUTRO" hidden="1">{"'PXR_6500'!$A$1:$I$124"}</definedName>
    <definedName name="Período">OFFSET(#REF!,0,0,1,COUNT(#REF!))</definedName>
    <definedName name="Ratios_2" hidden="1">{"'TG'!$A$1:$L$37"}</definedName>
    <definedName name="Receita___Ano">OFFSET([7]Dash_Proj!$AQ$12,0,0,COUNTA([7]Dash_Proj!$AQ$12:$AQ$21)-COUNTBLANK([7]Dash_Proj!$AQ$12:$AQ$21))</definedName>
    <definedName name="res1_RSF">'[7]Assump Input'!$S$74</definedName>
    <definedName name="res2_RSF">'[7]Assump Input'!$S$75</definedName>
    <definedName name="res3_RSF">'[7]Assump Input'!$S$76</definedName>
    <definedName name="res4_RSF">'[7]Assump Input'!$S$77</definedName>
    <definedName name="ret_RSF">'[7]Assump Input'!$S$80</definedName>
    <definedName name="RSF_ph1">'[7]Assump Input'!$S$68</definedName>
    <definedName name="RSF_ph2">'[7]Assump Input'!$S$69</definedName>
    <definedName name="RSF_ph3">'[7]Assump Input'!$S$70</definedName>
    <definedName name="RSF_ph4">'[7]Assump Input'!$S$71</definedName>
    <definedName name="RTHDaily" hidden="1">2</definedName>
    <definedName name="RTHDefault" hidden="1">1</definedName>
    <definedName name="RTHIncludeActive" hidden="1">1</definedName>
    <definedName name="RTHIncludeActiveNonActive" hidden="1">2</definedName>
    <definedName name="RTHIncludeAll" hidden="1">3</definedName>
    <definedName name="RTHIncludeWeekdays" hidden="1">2</definedName>
    <definedName name="RTHMonthly" hidden="1">4</definedName>
    <definedName name="RTHOrientCol" hidden="1">2</definedName>
    <definedName name="RTHOrientRow" hidden="1">1</definedName>
    <definedName name="RTHQuarterly" hidden="1">5</definedName>
    <definedName name="RTHSortAscend" hidden="1">1</definedName>
    <definedName name="RTHSortDescend" hidden="1">2</definedName>
    <definedName name="RTHWeekly" hidden="1">3</definedName>
    <definedName name="RTHYearly" hidden="1">6</definedName>
    <definedName name="sdasd" hidden="1">'[2]CASH 2000'!#REF!</definedName>
    <definedName name="SecretArchiveNumber" hidden="1">1</definedName>
    <definedName name="sencount" hidden="1">1</definedName>
    <definedName name="solver_lin" hidden="1">0</definedName>
    <definedName name="solver_rel1" hidden="1">3</definedName>
    <definedName name="solver_rhs1" hidden="1">0</definedName>
    <definedName name="solver_tmp" hidden="1">0</definedName>
    <definedName name="solver_typ" hidden="1">1</definedName>
    <definedName name="solver_val" hidden="1">0</definedName>
    <definedName name="t" hidden="1">{"'TG'!$A$1:$L$37"}</definedName>
    <definedName name="Tabela_Pagamentos">[8]!Table_Financeiro13[#Data]</definedName>
    <definedName name="TECNOFIBRAS" hidden="1">{"'PXR_6500'!$A$1:$I$124"}</definedName>
    <definedName name="TECNOFIBRAS2" hidden="1">{"'PXR_6500'!$A$1:$I$124"}</definedName>
    <definedName name="test" hidden="1">{"'PXR_6500'!$A$1:$I$124"}</definedName>
    <definedName name="_xlnm.Print_Titles" localSheetId="8">'Cidade Jardim III'!$2:$22</definedName>
    <definedName name="_xlnm.Print_Titles" localSheetId="10">'Desembolso - LV'!$1:$4</definedName>
    <definedName name="Total">OFFSET(#REF!,0,0,1,COUNT(#REF!))</definedName>
    <definedName name="Valor___Ano">OFFSET([7]Dash_Proj!$AR$12,0,0,COUNTA([7]Dash_Proj!$AR$12:$AR$21)-COUNTBLANK([7]Dash_Proj!$AR$12:$AR$21))</definedName>
    <definedName name="wq" hidden="1">{"'PXR_6500'!$A$1:$I$124"}</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7" i="27" l="1"/>
  <c r="E38" i="27"/>
  <c r="E40" i="27"/>
  <c r="E41" i="27"/>
  <c r="E42" i="27"/>
  <c r="G4" i="28"/>
  <c r="H4" i="28"/>
  <c r="I4" i="28"/>
  <c r="J4" i="28"/>
  <c r="K4" i="28"/>
  <c r="L4" i="28"/>
  <c r="M4" i="28"/>
  <c r="N4" i="28"/>
  <c r="O4" i="28"/>
  <c r="D20" i="58"/>
  <c r="E20" i="58"/>
  <c r="F20" i="58"/>
  <c r="G20" i="58"/>
  <c r="D21" i="58"/>
  <c r="E21" i="58"/>
  <c r="F21" i="58"/>
  <c r="G21" i="58"/>
  <c r="D22" i="58"/>
  <c r="E22" i="58"/>
  <c r="F22" i="58"/>
  <c r="G22" i="58"/>
  <c r="D23" i="58"/>
  <c r="E23" i="58"/>
  <c r="F23" i="58"/>
  <c r="G23" i="58"/>
  <c r="D24" i="58"/>
  <c r="E24" i="58"/>
  <c r="F24" i="58"/>
  <c r="G24" i="58"/>
  <c r="D25" i="58"/>
  <c r="E25" i="58"/>
  <c r="F25" i="58"/>
  <c r="G25" i="58"/>
  <c r="D26" i="58"/>
  <c r="E26" i="58"/>
  <c r="F26" i="58"/>
  <c r="G26" i="58"/>
  <c r="D27" i="58"/>
  <c r="E27" i="58"/>
  <c r="F27" i="58"/>
  <c r="G27" i="58"/>
  <c r="D28" i="58"/>
  <c r="E28" i="58"/>
  <c r="F28" i="58"/>
  <c r="G28" i="58"/>
  <c r="D29" i="58"/>
  <c r="E29" i="58"/>
  <c r="F29" i="58"/>
  <c r="G29" i="58"/>
  <c r="D30" i="58"/>
  <c r="E30" i="58"/>
  <c r="F30" i="58"/>
  <c r="G30" i="58"/>
  <c r="D31" i="58"/>
  <c r="E31" i="58"/>
  <c r="F31" i="58"/>
  <c r="G31" i="58"/>
  <c r="D32" i="58"/>
  <c r="E32" i="58"/>
  <c r="F32" i="58"/>
  <c r="G32" i="58"/>
  <c r="D33" i="58"/>
  <c r="E33" i="58"/>
  <c r="F33" i="58"/>
  <c r="G33" i="58"/>
  <c r="D34" i="58"/>
  <c r="E34" i="58"/>
  <c r="F34" i="58"/>
  <c r="G34" i="58"/>
  <c r="D35" i="58"/>
  <c r="E35" i="58"/>
  <c r="F35" i="58"/>
  <c r="G35" i="58"/>
  <c r="D36" i="58"/>
  <c r="E36" i="58"/>
  <c r="F36" i="58"/>
  <c r="G36" i="58"/>
  <c r="D37" i="58"/>
  <c r="E37" i="58"/>
  <c r="F37" i="58"/>
  <c r="G37" i="58"/>
  <c r="D38" i="58"/>
  <c r="E38" i="58"/>
  <c r="F38" i="58"/>
  <c r="G38" i="58"/>
  <c r="D39" i="58"/>
  <c r="E39" i="58"/>
  <c r="F39" i="58"/>
  <c r="G39" i="58"/>
  <c r="E51" i="58"/>
  <c r="F44" i="58"/>
  <c r="E8" i="58"/>
  <c r="E9" i="58"/>
  <c r="E12" i="58"/>
  <c r="E14" i="58"/>
  <c r="E52" i="58"/>
  <c r="E53" i="58"/>
  <c r="O56" i="29"/>
  <c r="O55" i="29"/>
  <c r="O57" i="29"/>
  <c r="O62" i="29"/>
  <c r="O63" i="29"/>
  <c r="AB60" i="29"/>
  <c r="AD60" i="29"/>
  <c r="AH58" i="29"/>
  <c r="G5" i="28"/>
  <c r="C11" i="29"/>
  <c r="K11" i="29"/>
  <c r="O9" i="28"/>
  <c r="P9" i="28"/>
  <c r="Q9" i="28"/>
  <c r="B4" i="59"/>
  <c r="R9" i="28"/>
  <c r="B5" i="59"/>
  <c r="S9" i="28"/>
  <c r="B6" i="59"/>
  <c r="T9" i="28"/>
  <c r="B7" i="59"/>
  <c r="U9" i="28"/>
  <c r="B8" i="59"/>
  <c r="V9" i="28"/>
  <c r="B9" i="59"/>
  <c r="W9" i="28"/>
  <c r="B10" i="59"/>
  <c r="X8" i="28"/>
  <c r="X9" i="28"/>
  <c r="B11" i="59"/>
  <c r="Y9" i="28"/>
  <c r="B12" i="59"/>
  <c r="Z9" i="28"/>
  <c r="B13" i="59"/>
  <c r="AA9" i="28"/>
  <c r="B14" i="59"/>
  <c r="AB9" i="28"/>
  <c r="B15" i="59"/>
  <c r="AC9" i="28"/>
  <c r="B16" i="59"/>
  <c r="AD8" i="28"/>
  <c r="AD9" i="28"/>
  <c r="B17" i="59"/>
  <c r="AE9" i="28"/>
  <c r="B18" i="59"/>
  <c r="AF9" i="28"/>
  <c r="B19" i="59"/>
  <c r="AG9" i="28"/>
  <c r="B20" i="59"/>
  <c r="AH9" i="28"/>
  <c r="B21" i="59"/>
  <c r="AI9" i="28"/>
  <c r="B22" i="59"/>
  <c r="AJ9" i="28"/>
  <c r="B23" i="59"/>
  <c r="AK9" i="28"/>
  <c r="AL9" i="28"/>
  <c r="B26" i="59"/>
  <c r="D3" i="59"/>
  <c r="D4" i="59"/>
  <c r="D5" i="59"/>
  <c r="D6" i="59"/>
  <c r="D7" i="59"/>
  <c r="D8" i="59"/>
  <c r="D9" i="59"/>
  <c r="D10" i="59"/>
  <c r="D11" i="59"/>
  <c r="D12" i="59"/>
  <c r="D13" i="59"/>
  <c r="D14" i="59"/>
  <c r="D15" i="59"/>
  <c r="D16" i="59"/>
  <c r="D17" i="59"/>
  <c r="D18" i="59"/>
  <c r="D19" i="59"/>
  <c r="D20" i="59"/>
  <c r="D21" i="59"/>
  <c r="D22" i="59"/>
  <c r="D23" i="59"/>
  <c r="D24" i="59"/>
  <c r="D25" i="59"/>
  <c r="D2" i="59"/>
  <c r="A4" i="59"/>
  <c r="A5" i="59"/>
  <c r="A2" i="59"/>
  <c r="D6" i="25"/>
  <c r="E33" i="27"/>
  <c r="D52" i="24"/>
  <c r="P7" i="25"/>
  <c r="O9" i="25"/>
  <c r="P9" i="25"/>
  <c r="Q9" i="25"/>
  <c r="R9" i="25"/>
  <c r="S9" i="25"/>
  <c r="T9" i="25"/>
  <c r="U9" i="25"/>
  <c r="V9" i="25"/>
  <c r="W9" i="25"/>
  <c r="X9" i="25"/>
  <c r="Y9" i="25"/>
  <c r="Z9" i="25"/>
  <c r="AA9" i="25"/>
  <c r="AB9" i="25"/>
  <c r="AC9" i="25"/>
  <c r="AD9" i="25"/>
  <c r="AE9" i="25"/>
  <c r="AF9" i="25"/>
  <c r="AG9" i="25"/>
  <c r="AH9" i="25"/>
  <c r="AI9" i="25"/>
  <c r="AJ9" i="25"/>
  <c r="AK9" i="25"/>
  <c r="N9" i="25"/>
  <c r="D51" i="24"/>
  <c r="F37" i="24"/>
  <c r="H35" i="24"/>
  <c r="F25" i="24"/>
  <c r="F43" i="24"/>
  <c r="F16" i="27"/>
  <c r="E15" i="27"/>
  <c r="E14" i="27"/>
  <c r="F14" i="27"/>
  <c r="F15" i="27"/>
  <c r="D26" i="12"/>
  <c r="A7" i="55"/>
  <c r="A8" i="55"/>
  <c r="A9" i="55"/>
  <c r="A10" i="55"/>
  <c r="A11" i="55"/>
  <c r="A12" i="55"/>
  <c r="A13" i="55"/>
  <c r="A14" i="55"/>
  <c r="A15" i="55"/>
  <c r="A16" i="55"/>
  <c r="A17" i="55"/>
  <c r="A18" i="55"/>
  <c r="A19" i="55"/>
  <c r="A20" i="55"/>
  <c r="A21" i="55"/>
  <c r="A22" i="55"/>
  <c r="A23" i="55"/>
  <c r="A24" i="55"/>
  <c r="A25" i="55"/>
  <c r="A26" i="55"/>
  <c r="A27" i="55"/>
  <c r="A28" i="55"/>
  <c r="A6" i="55"/>
  <c r="AM12" i="25"/>
  <c r="M42" i="24"/>
  <c r="M41" i="24"/>
  <c r="M40" i="24"/>
  <c r="M39" i="24"/>
  <c r="M37" i="24"/>
  <c r="M36" i="24"/>
  <c r="I34" i="24"/>
  <c r="I33" i="24"/>
  <c r="E24" i="12"/>
  <c r="H23" i="12"/>
  <c r="H21" i="12"/>
  <c r="H20" i="12"/>
  <c r="E25" i="12"/>
  <c r="H24" i="12"/>
  <c r="AP42" i="29"/>
  <c r="AP41" i="29"/>
  <c r="A6" i="59"/>
  <c r="Q7" i="25"/>
  <c r="H36" i="24"/>
  <c r="I36" i="24"/>
  <c r="M38" i="24"/>
  <c r="M44" i="24"/>
  <c r="E16" i="24"/>
  <c r="D53" i="24"/>
  <c r="T18" i="24"/>
  <c r="Q18" i="24"/>
  <c r="Q19" i="24"/>
  <c r="F14" i="24"/>
  <c r="U17" i="24"/>
  <c r="V17" i="24"/>
  <c r="T17" i="24"/>
  <c r="F5" i="61"/>
  <c r="Q17" i="24"/>
  <c r="A7" i="59"/>
  <c r="O30" i="29"/>
  <c r="E14" i="24"/>
  <c r="F54" i="24"/>
  <c r="D54" i="24"/>
  <c r="F21" i="10"/>
  <c r="O65" i="30"/>
  <c r="O60" i="30"/>
  <c r="N60" i="30"/>
  <c r="N54" i="30"/>
  <c r="A8" i="59"/>
  <c r="F46" i="24"/>
  <c r="F45" i="24"/>
  <c r="F44" i="24"/>
  <c r="F29" i="24"/>
  <c r="A9" i="59"/>
  <c r="O7" i="25"/>
  <c r="N7" i="25"/>
  <c r="M7" i="25"/>
  <c r="J83" i="30"/>
  <c r="N74" i="30"/>
  <c r="O54" i="30"/>
  <c r="O48" i="30"/>
  <c r="O46" i="30"/>
  <c r="P61" i="30"/>
  <c r="P62" i="30"/>
  <c r="P63" i="30"/>
  <c r="P64" i="30"/>
  <c r="P65" i="30"/>
  <c r="P66" i="30"/>
  <c r="P67" i="30"/>
  <c r="P68" i="30"/>
  <c r="P69" i="30"/>
  <c r="P71" i="30"/>
  <c r="Q71" i="30"/>
  <c r="P72" i="30"/>
  <c r="Q72" i="30"/>
  <c r="N48" i="30"/>
  <c r="N42" i="30"/>
  <c r="F3" i="31"/>
  <c r="G3" i="31"/>
  <c r="H3" i="31"/>
  <c r="I3" i="31"/>
  <c r="J3" i="31"/>
  <c r="K3" i="31"/>
  <c r="L3" i="31"/>
  <c r="M3" i="31"/>
  <c r="N3" i="31"/>
  <c r="O3" i="31"/>
  <c r="P3" i="31"/>
  <c r="Q3" i="31"/>
  <c r="R3" i="31"/>
  <c r="S3" i="31"/>
  <c r="T3" i="31"/>
  <c r="U3" i="31"/>
  <c r="V3" i="31"/>
  <c r="W3" i="31"/>
  <c r="X3" i="31"/>
  <c r="Y3" i="31"/>
  <c r="Z3" i="31"/>
  <c r="AA3" i="31"/>
  <c r="AB3" i="31"/>
  <c r="AC3" i="31"/>
  <c r="AD3" i="31"/>
  <c r="AE3" i="31"/>
  <c r="AF3" i="31"/>
  <c r="AG3" i="31"/>
  <c r="AH3" i="31"/>
  <c r="AI3" i="31"/>
  <c r="AJ3" i="31"/>
  <c r="AK3" i="31"/>
  <c r="AL3" i="31"/>
  <c r="AM3" i="31"/>
  <c r="E3" i="31"/>
  <c r="S11" i="64"/>
  <c r="T10" i="64"/>
  <c r="T11" i="64"/>
  <c r="S10" i="64"/>
  <c r="R10" i="64"/>
  <c r="Q10" i="64"/>
  <c r="P10" i="64"/>
  <c r="T9" i="64"/>
  <c r="S9" i="64"/>
  <c r="R9" i="64"/>
  <c r="Q9" i="64"/>
  <c r="P9" i="64"/>
  <c r="L5" i="64"/>
  <c r="F5" i="64"/>
  <c r="C5" i="64"/>
  <c r="F14" i="63"/>
  <c r="E14" i="63"/>
  <c r="D14" i="63"/>
  <c r="F13" i="63"/>
  <c r="E13" i="63"/>
  <c r="D13" i="63"/>
  <c r="F12" i="63"/>
  <c r="E12" i="63"/>
  <c r="D12" i="63"/>
  <c r="F11" i="63"/>
  <c r="E11" i="63"/>
  <c r="D11" i="63"/>
  <c r="F10" i="63"/>
  <c r="E10" i="63"/>
  <c r="D10" i="63"/>
  <c r="Z7" i="63"/>
  <c r="Y7" i="63"/>
  <c r="X7" i="63"/>
  <c r="W7" i="63"/>
  <c r="V7" i="63"/>
  <c r="U7" i="63"/>
  <c r="F7" i="63"/>
  <c r="D7" i="63"/>
  <c r="Z6" i="63"/>
  <c r="Y6" i="63"/>
  <c r="X6" i="63"/>
  <c r="W6" i="63"/>
  <c r="V6" i="63"/>
  <c r="U6" i="63"/>
  <c r="F6" i="63"/>
  <c r="D6" i="63"/>
  <c r="Z5" i="63"/>
  <c r="Y5" i="63"/>
  <c r="X5" i="63"/>
  <c r="W5" i="63"/>
  <c r="V5" i="63"/>
  <c r="U5" i="63"/>
  <c r="F5" i="63"/>
  <c r="D5" i="63"/>
  <c r="AJ43" i="62"/>
  <c r="Q21" i="62"/>
  <c r="Q20" i="62"/>
  <c r="Q19" i="62"/>
  <c r="Q18" i="62"/>
  <c r="V4" i="62"/>
  <c r="R21" i="62"/>
  <c r="AX7" i="61"/>
  <c r="AW7" i="61"/>
  <c r="AV7" i="61"/>
  <c r="AU7" i="61"/>
  <c r="AT7" i="61"/>
  <c r="AS7" i="61"/>
  <c r="AR7" i="61"/>
  <c r="AQ7" i="61"/>
  <c r="AP7" i="61"/>
  <c r="AO7" i="61"/>
  <c r="AN7" i="61"/>
  <c r="AM7" i="61"/>
  <c r="AL7" i="61"/>
  <c r="AK7" i="61"/>
  <c r="AJ7" i="61"/>
  <c r="AI7" i="61"/>
  <c r="AH7" i="61"/>
  <c r="AG7" i="61"/>
  <c r="AF7" i="61"/>
  <c r="AE7" i="61"/>
  <c r="AD7" i="61"/>
  <c r="AC7" i="61"/>
  <c r="AB7" i="61"/>
  <c r="AA7" i="61"/>
  <c r="Z7" i="61"/>
  <c r="Y7" i="61"/>
  <c r="X7" i="61"/>
  <c r="W7" i="61"/>
  <c r="V7" i="61"/>
  <c r="U7" i="61"/>
  <c r="T7" i="61"/>
  <c r="S7" i="61"/>
  <c r="R7" i="61"/>
  <c r="Q7" i="61"/>
  <c r="P7" i="61"/>
  <c r="O7" i="61"/>
  <c r="L5" i="61"/>
  <c r="C5" i="61"/>
  <c r="AX4" i="61"/>
  <c r="AW4" i="61"/>
  <c r="AV4" i="61"/>
  <c r="AU4" i="61"/>
  <c r="AT4" i="61"/>
  <c r="AS4" i="61"/>
  <c r="AR4" i="61"/>
  <c r="AQ4" i="61"/>
  <c r="AP4" i="61"/>
  <c r="AO4" i="61"/>
  <c r="AN4" i="61"/>
  <c r="AM4" i="61"/>
  <c r="AL4" i="61"/>
  <c r="AK4" i="61"/>
  <c r="AJ4" i="61"/>
  <c r="AI4" i="61"/>
  <c r="AH4" i="61"/>
  <c r="AG4" i="61"/>
  <c r="AF4" i="61"/>
  <c r="AE4" i="61"/>
  <c r="AD4" i="61"/>
  <c r="AC4" i="61"/>
  <c r="AB4" i="61"/>
  <c r="AA4" i="61"/>
  <c r="Z4" i="61"/>
  <c r="Y4" i="61"/>
  <c r="X4" i="61"/>
  <c r="W4" i="61"/>
  <c r="V4" i="61"/>
  <c r="U4" i="61"/>
  <c r="T4" i="61"/>
  <c r="S4" i="61"/>
  <c r="R4" i="61"/>
  <c r="Q4" i="61"/>
  <c r="P4" i="61"/>
  <c r="O4" i="61"/>
  <c r="AX3" i="61"/>
  <c r="AW3" i="61"/>
  <c r="AV3" i="61"/>
  <c r="AU3" i="61"/>
  <c r="AT3" i="61"/>
  <c r="AS3" i="61"/>
  <c r="AR3" i="61"/>
  <c r="AQ3" i="61"/>
  <c r="AP3" i="61"/>
  <c r="AO3" i="61"/>
  <c r="AN3" i="61"/>
  <c r="AM3" i="61"/>
  <c r="AL3" i="61"/>
  <c r="AK3" i="61"/>
  <c r="AJ3" i="61"/>
  <c r="AI3" i="61"/>
  <c r="AH3" i="61"/>
  <c r="AG3" i="61"/>
  <c r="AF3" i="61"/>
  <c r="AE3" i="61"/>
  <c r="AD3" i="61"/>
  <c r="AC3" i="61"/>
  <c r="AB3" i="61"/>
  <c r="AA3" i="61"/>
  <c r="Z3" i="61"/>
  <c r="Y3" i="61"/>
  <c r="X3" i="61"/>
  <c r="W3" i="61"/>
  <c r="V3" i="61"/>
  <c r="U3" i="61"/>
  <c r="T3" i="61"/>
  <c r="S3" i="61"/>
  <c r="R3" i="61"/>
  <c r="Q3" i="61"/>
  <c r="P3" i="61"/>
  <c r="O3" i="61"/>
  <c r="AK31" i="60"/>
  <c r="AH31" i="60"/>
  <c r="AJ31" i="60"/>
  <c r="AC31" i="60"/>
  <c r="Z31" i="60"/>
  <c r="AB31" i="60"/>
  <c r="U31" i="60"/>
  <c r="R31" i="60"/>
  <c r="T31" i="60"/>
  <c r="AK30" i="60"/>
  <c r="AH30" i="60"/>
  <c r="AJ30" i="60"/>
  <c r="AC30" i="60"/>
  <c r="Z30" i="60"/>
  <c r="AB30" i="60"/>
  <c r="U30" i="60"/>
  <c r="R30" i="60"/>
  <c r="T30" i="60"/>
  <c r="AK29" i="60"/>
  <c r="AH29" i="60"/>
  <c r="AC29" i="60"/>
  <c r="AA29" i="60"/>
  <c r="AA30" i="60"/>
  <c r="AA31" i="60"/>
  <c r="Z29" i="60"/>
  <c r="AB29" i="60"/>
  <c r="U29" i="60"/>
  <c r="R29" i="60"/>
  <c r="AK28" i="60"/>
  <c r="AI28" i="60"/>
  <c r="AI29" i="60"/>
  <c r="AI30" i="60"/>
  <c r="AI31" i="60"/>
  <c r="AH28" i="60"/>
  <c r="AJ28" i="60"/>
  <c r="AC28" i="60"/>
  <c r="AA28" i="60"/>
  <c r="Z28" i="60"/>
  <c r="AB28" i="60"/>
  <c r="U28" i="60"/>
  <c r="S28" i="60"/>
  <c r="S29" i="60"/>
  <c r="S30" i="60"/>
  <c r="S31" i="60"/>
  <c r="R28" i="60"/>
  <c r="T28" i="60"/>
  <c r="AK27" i="60"/>
  <c r="AH27" i="60"/>
  <c r="AJ27" i="60"/>
  <c r="AC27" i="60"/>
  <c r="Z27" i="60"/>
  <c r="AB27" i="60"/>
  <c r="U27" i="60"/>
  <c r="R27" i="60"/>
  <c r="T27" i="60"/>
  <c r="U23" i="60"/>
  <c r="T23" i="60"/>
  <c r="S23" i="60"/>
  <c r="R22" i="60"/>
  <c r="S22" i="60"/>
  <c r="T22" i="60"/>
  <c r="U22" i="60"/>
  <c r="C11" i="60"/>
  <c r="P5" i="61"/>
  <c r="X5" i="61"/>
  <c r="AF5" i="61"/>
  <c r="AN5" i="61"/>
  <c r="AV5" i="61"/>
  <c r="P11" i="64"/>
  <c r="V5" i="61"/>
  <c r="AD5" i="61"/>
  <c r="AL5" i="61"/>
  <c r="AT5" i="61"/>
  <c r="A10" i="59"/>
  <c r="Q11" i="64"/>
  <c r="O5" i="61"/>
  <c r="W5" i="61"/>
  <c r="AE5" i="61"/>
  <c r="AM5" i="61"/>
  <c r="AU5" i="61"/>
  <c r="Q5" i="61"/>
  <c r="Y5" i="61"/>
  <c r="AG5" i="61"/>
  <c r="AO5" i="61"/>
  <c r="AW5" i="61"/>
  <c r="S5" i="61"/>
  <c r="AA5" i="61"/>
  <c r="AI5" i="61"/>
  <c r="AQ5" i="61"/>
  <c r="R5" i="61"/>
  <c r="Z5" i="61"/>
  <c r="AH5" i="61"/>
  <c r="AP5" i="61"/>
  <c r="AX5" i="61"/>
  <c r="I5" i="61"/>
  <c r="I5" i="64"/>
  <c r="U5" i="61"/>
  <c r="AC5" i="61"/>
  <c r="AK5" i="61"/>
  <c r="AS5" i="61"/>
  <c r="R23" i="60"/>
  <c r="T5" i="61"/>
  <c r="AB5" i="61"/>
  <c r="AJ5" i="61"/>
  <c r="AR5" i="61"/>
  <c r="R11" i="64"/>
  <c r="R18" i="62"/>
  <c r="R19" i="62"/>
  <c r="R11" i="62"/>
  <c r="C7" i="62"/>
  <c r="T29" i="60"/>
  <c r="AE27" i="60"/>
  <c r="AJ29" i="60"/>
  <c r="AM27" i="60"/>
  <c r="W27" i="60"/>
  <c r="R12" i="62"/>
  <c r="F7" i="62"/>
  <c r="R13" i="62"/>
  <c r="I7" i="62"/>
  <c r="R20" i="62"/>
  <c r="R14" i="62"/>
  <c r="L7" i="62"/>
  <c r="R16" i="62"/>
  <c r="A11" i="59"/>
  <c r="L28" i="10"/>
  <c r="L29" i="10"/>
  <c r="A12" i="59"/>
  <c r="AF16" i="31"/>
  <c r="AE16" i="31"/>
  <c r="AD16" i="31"/>
  <c r="AC16" i="31"/>
  <c r="AB16" i="31"/>
  <c r="AA16" i="31"/>
  <c r="Z16" i="31"/>
  <c r="Y16" i="31"/>
  <c r="X16" i="31"/>
  <c r="W16" i="31"/>
  <c r="V16" i="31"/>
  <c r="U16" i="31"/>
  <c r="T16" i="31"/>
  <c r="S16" i="31"/>
  <c r="R16" i="31"/>
  <c r="Q16" i="31"/>
  <c r="P16" i="31"/>
  <c r="O16" i="31"/>
  <c r="G44" i="58"/>
  <c r="I44" i="58"/>
  <c r="G43" i="58"/>
  <c r="G42" i="58"/>
  <c r="H42" i="58"/>
  <c r="G41" i="58"/>
  <c r="G40" i="58"/>
  <c r="H40" i="58"/>
  <c r="AA55" i="57"/>
  <c r="Z55" i="57"/>
  <c r="Y55" i="57"/>
  <c r="X55" i="57"/>
  <c r="W55" i="57"/>
  <c r="V55" i="57"/>
  <c r="U55" i="57"/>
  <c r="T55" i="57"/>
  <c r="S55" i="57"/>
  <c r="R55" i="57"/>
  <c r="Q55" i="57"/>
  <c r="P55" i="57"/>
  <c r="O55" i="57"/>
  <c r="N55" i="57"/>
  <c r="M55" i="57"/>
  <c r="L55" i="57"/>
  <c r="K55" i="57"/>
  <c r="J55" i="57"/>
  <c r="I55" i="57"/>
  <c r="H55" i="57"/>
  <c r="G55" i="57"/>
  <c r="F55" i="57"/>
  <c r="E55" i="57"/>
  <c r="D55" i="57"/>
  <c r="C55" i="57"/>
  <c r="D52" i="57"/>
  <c r="AN39" i="57"/>
  <c r="C36" i="57"/>
  <c r="AN35" i="57"/>
  <c r="C34" i="57"/>
  <c r="AN33" i="57"/>
  <c r="AN32" i="57"/>
  <c r="AN31" i="57"/>
  <c r="AU29" i="57"/>
  <c r="AM25" i="57"/>
  <c r="AM29" i="57"/>
  <c r="AM40" i="57"/>
  <c r="AL25" i="57"/>
  <c r="AL29" i="57"/>
  <c r="AK25" i="57"/>
  <c r="AK29" i="57"/>
  <c r="AK40" i="57"/>
  <c r="AJ25" i="57"/>
  <c r="AJ29" i="57"/>
  <c r="AI25" i="57"/>
  <c r="AI29" i="57"/>
  <c r="AN24" i="57"/>
  <c r="AN23" i="57"/>
  <c r="AN22" i="57"/>
  <c r="Q21" i="57"/>
  <c r="P21" i="57"/>
  <c r="O21" i="57"/>
  <c r="N21" i="57"/>
  <c r="M21" i="57"/>
  <c r="L21" i="57"/>
  <c r="K21" i="57"/>
  <c r="J21" i="57"/>
  <c r="I21" i="57"/>
  <c r="H21" i="57"/>
  <c r="G21" i="57"/>
  <c r="F21" i="57"/>
  <c r="AN21" i="57"/>
  <c r="AO21" i="57"/>
  <c r="AO18" i="57"/>
  <c r="AN18" i="57"/>
  <c r="AN17" i="57"/>
  <c r="J17" i="57"/>
  <c r="AH16" i="57"/>
  <c r="AH25" i="57"/>
  <c r="AH29" i="57"/>
  <c r="AG16" i="57"/>
  <c r="AG25" i="57"/>
  <c r="AG29" i="57"/>
  <c r="AF16" i="57"/>
  <c r="AF25" i="57"/>
  <c r="AF29" i="57"/>
  <c r="AE16" i="57"/>
  <c r="AE25" i="57"/>
  <c r="AE29" i="57"/>
  <c r="AE40" i="57"/>
  <c r="AD16" i="57"/>
  <c r="AD25" i="57"/>
  <c r="AD29" i="57"/>
  <c r="AC16" i="57"/>
  <c r="AC25" i="57"/>
  <c r="AB16" i="57"/>
  <c r="AB25" i="57"/>
  <c r="AA16" i="57"/>
  <c r="Z16" i="57"/>
  <c r="Y16" i="57"/>
  <c r="X16" i="57"/>
  <c r="W16" i="57"/>
  <c r="V16" i="57"/>
  <c r="U16" i="57"/>
  <c r="T16" i="57"/>
  <c r="S16" i="57"/>
  <c r="R16" i="57"/>
  <c r="Q16" i="57"/>
  <c r="P16" i="57"/>
  <c r="O16" i="57"/>
  <c r="N16" i="57"/>
  <c r="M16" i="57"/>
  <c r="L16" i="57"/>
  <c r="K16" i="57"/>
  <c r="AN15" i="57"/>
  <c r="AO15" i="57"/>
  <c r="O14" i="57"/>
  <c r="AN14" i="57"/>
  <c r="AO14" i="57"/>
  <c r="C14" i="57"/>
  <c r="AN13" i="57"/>
  <c r="AO13" i="57"/>
  <c r="C13" i="57"/>
  <c r="AN12" i="57"/>
  <c r="AO12" i="57"/>
  <c r="C12" i="57"/>
  <c r="C11" i="57"/>
  <c r="AN10" i="57"/>
  <c r="AN9" i="57"/>
  <c r="AN8" i="57"/>
  <c r="AO7" i="57"/>
  <c r="AN7" i="57"/>
  <c r="AN5" i="57"/>
  <c r="AB4" i="57"/>
  <c r="AB6" i="57"/>
  <c r="C4" i="57"/>
  <c r="E1" i="57"/>
  <c r="F1" i="57"/>
  <c r="G1" i="57"/>
  <c r="H1" i="57"/>
  <c r="I1" i="57"/>
  <c r="J1" i="57"/>
  <c r="K1" i="57"/>
  <c r="L1" i="57"/>
  <c r="M1" i="57"/>
  <c r="N1" i="57"/>
  <c r="O1" i="57"/>
  <c r="P1" i="57"/>
  <c r="Q1" i="57"/>
  <c r="R1" i="57"/>
  <c r="S1" i="57"/>
  <c r="T1" i="57"/>
  <c r="U1" i="57"/>
  <c r="V1" i="57"/>
  <c r="W1" i="57"/>
  <c r="X1" i="57"/>
  <c r="Y1" i="57"/>
  <c r="Z1" i="57"/>
  <c r="AA1" i="57"/>
  <c r="AB1" i="57"/>
  <c r="AC1" i="57"/>
  <c r="AD1" i="57"/>
  <c r="AE1" i="57"/>
  <c r="AF1" i="57"/>
  <c r="AG1" i="57"/>
  <c r="AH1" i="57"/>
  <c r="AI1" i="57"/>
  <c r="AJ1" i="57"/>
  <c r="AK1" i="57"/>
  <c r="AL1" i="57"/>
  <c r="AM1" i="57"/>
  <c r="K110" i="56"/>
  <c r="N91" i="56"/>
  <c r="K86" i="56"/>
  <c r="Q60" i="56"/>
  <c r="Q59" i="56"/>
  <c r="AU27" i="57"/>
  <c r="Q58" i="56"/>
  <c r="Q45" i="56"/>
  <c r="Q44" i="56"/>
  <c r="Q43" i="56"/>
  <c r="Q41" i="56"/>
  <c r="J41" i="56"/>
  <c r="I41" i="56"/>
  <c r="Q40" i="56"/>
  <c r="J40" i="56" a="1"/>
  <c r="Q39" i="56"/>
  <c r="N39" i="56"/>
  <c r="N42" i="56"/>
  <c r="Q42" i="56"/>
  <c r="Q38" i="56"/>
  <c r="Q37" i="56"/>
  <c r="Q36" i="56"/>
  <c r="J36" i="56"/>
  <c r="K63" i="56"/>
  <c r="J35" i="56"/>
  <c r="I35" i="56"/>
  <c r="P26" i="56"/>
  <c r="N26" i="56"/>
  <c r="K23" i="56"/>
  <c r="F11" i="57"/>
  <c r="O22" i="56"/>
  <c r="O24" i="56"/>
  <c r="Q24" i="56"/>
  <c r="J22" i="56"/>
  <c r="K29" i="56"/>
  <c r="L17" i="56"/>
  <c r="M16" i="56"/>
  <c r="M15" i="56"/>
  <c r="M14" i="56"/>
  <c r="M13" i="56"/>
  <c r="J12" i="56"/>
  <c r="M12" i="56"/>
  <c r="J11" i="56"/>
  <c r="M10" i="56"/>
  <c r="M11" i="56"/>
  <c r="J10" i="56"/>
  <c r="J9" i="56"/>
  <c r="M9" i="56"/>
  <c r="AA8" i="56"/>
  <c r="AA9" i="56"/>
  <c r="AA10" i="56"/>
  <c r="AA11" i="56"/>
  <c r="AA12" i="56"/>
  <c r="AA13" i="56"/>
  <c r="AA14" i="56"/>
  <c r="AA15" i="56"/>
  <c r="AA16" i="56"/>
  <c r="AA17" i="56"/>
  <c r="AA18" i="56"/>
  <c r="AA19" i="56"/>
  <c r="AA20" i="56"/>
  <c r="AA21" i="56"/>
  <c r="AA22" i="56"/>
  <c r="AA23" i="56"/>
  <c r="AA24" i="56"/>
  <c r="AA25" i="56"/>
  <c r="AA26" i="56"/>
  <c r="AA27" i="56"/>
  <c r="AA28" i="56"/>
  <c r="AA29" i="56"/>
  <c r="AA30" i="56"/>
  <c r="AA31" i="56"/>
  <c r="AA32" i="56"/>
  <c r="AA33" i="56"/>
  <c r="AA34" i="56"/>
  <c r="AA35" i="56"/>
  <c r="AA36" i="56"/>
  <c r="AA37" i="56"/>
  <c r="AA38" i="56"/>
  <c r="AA39" i="56"/>
  <c r="AA40" i="56"/>
  <c r="AA41" i="56"/>
  <c r="AA42" i="56"/>
  <c r="AA43" i="56"/>
  <c r="AA44" i="56"/>
  <c r="AA45" i="56"/>
  <c r="AA46" i="56"/>
  <c r="AA47" i="56"/>
  <c r="AA48" i="56"/>
  <c r="AA49" i="56"/>
  <c r="AA50" i="56"/>
  <c r="AA51" i="56"/>
  <c r="AA52" i="56"/>
  <c r="AA53" i="56"/>
  <c r="AA54" i="56"/>
  <c r="AA55" i="56"/>
  <c r="AA56" i="56"/>
  <c r="AA57" i="56"/>
  <c r="AA58" i="56"/>
  <c r="AA59" i="56"/>
  <c r="AA60" i="56"/>
  <c r="AA61" i="56"/>
  <c r="AA62" i="56"/>
  <c r="AA63" i="56"/>
  <c r="AA64" i="56"/>
  <c r="AA65" i="56"/>
  <c r="AA66" i="56"/>
  <c r="AA67" i="56"/>
  <c r="AA68" i="56"/>
  <c r="AA69" i="56"/>
  <c r="AA70" i="56"/>
  <c r="AA71" i="56"/>
  <c r="AA72" i="56"/>
  <c r="AA73" i="56"/>
  <c r="AA74" i="56"/>
  <c r="AA75" i="56"/>
  <c r="AA76" i="56"/>
  <c r="AA77" i="56"/>
  <c r="AA78" i="56"/>
  <c r="AA79" i="56"/>
  <c r="AA80" i="56"/>
  <c r="AA81" i="56"/>
  <c r="AA82" i="56"/>
  <c r="AA83" i="56"/>
  <c r="AA84" i="56"/>
  <c r="AA85" i="56"/>
  <c r="AA86" i="56"/>
  <c r="AA87" i="56"/>
  <c r="AA88" i="56"/>
  <c r="AA89" i="56"/>
  <c r="AA90" i="56"/>
  <c r="AA91" i="56"/>
  <c r="AA92" i="56"/>
  <c r="AA93" i="56"/>
  <c r="AA94" i="56"/>
  <c r="AA95" i="56"/>
  <c r="AA96" i="56"/>
  <c r="AA97" i="56"/>
  <c r="AA98" i="56"/>
  <c r="AA99" i="56"/>
  <c r="AA100" i="56"/>
  <c r="AA101" i="56"/>
  <c r="AA102" i="56"/>
  <c r="AA103" i="56"/>
  <c r="AA104" i="56"/>
  <c r="AA105" i="56"/>
  <c r="AA106" i="56"/>
  <c r="AA107" i="56"/>
  <c r="AA108" i="56"/>
  <c r="AA109" i="56"/>
  <c r="AA110" i="56"/>
  <c r="AA111" i="56"/>
  <c r="AA112" i="56"/>
  <c r="AA113" i="56"/>
  <c r="AA114" i="56"/>
  <c r="AA115" i="56"/>
  <c r="AA116" i="56"/>
  <c r="AA117" i="56"/>
  <c r="AA118" i="56"/>
  <c r="AA119" i="56"/>
  <c r="AA120" i="56"/>
  <c r="AA121" i="56"/>
  <c r="AA122" i="56"/>
  <c r="AA123" i="56"/>
  <c r="AA124" i="56"/>
  <c r="AA125" i="56"/>
  <c r="AA126" i="56"/>
  <c r="AA127" i="56"/>
  <c r="AA128" i="56"/>
  <c r="AA129" i="56"/>
  <c r="AA130" i="56"/>
  <c r="AA131" i="56"/>
  <c r="AA132" i="56"/>
  <c r="AA133" i="56"/>
  <c r="AA134" i="56"/>
  <c r="AA135" i="56"/>
  <c r="AA136" i="56"/>
  <c r="AA137" i="56"/>
  <c r="AA138" i="56"/>
  <c r="AA139" i="56"/>
  <c r="AA140" i="56"/>
  <c r="AA141" i="56"/>
  <c r="AA142" i="56"/>
  <c r="AA143" i="56"/>
  <c r="AA144" i="56"/>
  <c r="AA145" i="56"/>
  <c r="AA146" i="56"/>
  <c r="AA147" i="56"/>
  <c r="AA148" i="56"/>
  <c r="AA149" i="56"/>
  <c r="AA150" i="56"/>
  <c r="AA151" i="56"/>
  <c r="AA152" i="56"/>
  <c r="AA153" i="56"/>
  <c r="AA154" i="56"/>
  <c r="AA155" i="56"/>
  <c r="AA156" i="56"/>
  <c r="AA157" i="56"/>
  <c r="AA158" i="56"/>
  <c r="AA159" i="56"/>
  <c r="AA160" i="56"/>
  <c r="AA161" i="56"/>
  <c r="AA162" i="56"/>
  <c r="AA163" i="56"/>
  <c r="AA164" i="56"/>
  <c r="AA165" i="56"/>
  <c r="AA166" i="56"/>
  <c r="AA167" i="56"/>
  <c r="AA168" i="56"/>
  <c r="AA169" i="56"/>
  <c r="AA170" i="56"/>
  <c r="AA171" i="56"/>
  <c r="AA172" i="56"/>
  <c r="AA173" i="56"/>
  <c r="AA174" i="56"/>
  <c r="AA175" i="56"/>
  <c r="AA176" i="56"/>
  <c r="AA177" i="56"/>
  <c r="AA178" i="56"/>
  <c r="AA179" i="56"/>
  <c r="AA180" i="56"/>
  <c r="AA181" i="56"/>
  <c r="AA182" i="56"/>
  <c r="AA183" i="56"/>
  <c r="AA184" i="56"/>
  <c r="AA185" i="56"/>
  <c r="AA186" i="56"/>
  <c r="AA187" i="56"/>
  <c r="AA188" i="56"/>
  <c r="AA189" i="56"/>
  <c r="AA190" i="56"/>
  <c r="AA191" i="56"/>
  <c r="AA192" i="56"/>
  <c r="AA193" i="56"/>
  <c r="AA194" i="56"/>
  <c r="AA195" i="56"/>
  <c r="AA196" i="56"/>
  <c r="AA197" i="56"/>
  <c r="AA198" i="56"/>
  <c r="AA199" i="56"/>
  <c r="AA200" i="56"/>
  <c r="AA201" i="56"/>
  <c r="AA202" i="56"/>
  <c r="AA203" i="56"/>
  <c r="AA204" i="56"/>
  <c r="AA205" i="56"/>
  <c r="AA206" i="56"/>
  <c r="AA207" i="56"/>
  <c r="AA208" i="56"/>
  <c r="AA209" i="56"/>
  <c r="AA210" i="56"/>
  <c r="AA211" i="56"/>
  <c r="AA212" i="56"/>
  <c r="AA213" i="56"/>
  <c r="AA214" i="56"/>
  <c r="AA215" i="56"/>
  <c r="AA216" i="56"/>
  <c r="AA217" i="56"/>
  <c r="AA218" i="56"/>
  <c r="AA219" i="56"/>
  <c r="AA220" i="56"/>
  <c r="AA221" i="56"/>
  <c r="AA222" i="56"/>
  <c r="AA223" i="56"/>
  <c r="AA224" i="56"/>
  <c r="AA225" i="56"/>
  <c r="AA226" i="56"/>
  <c r="AA227" i="56"/>
  <c r="AA228" i="56"/>
  <c r="AA229" i="56"/>
  <c r="AA230" i="56"/>
  <c r="AA231" i="56"/>
  <c r="AA232" i="56"/>
  <c r="AA233" i="56"/>
  <c r="AA234" i="56"/>
  <c r="AA235" i="56"/>
  <c r="AA236" i="56"/>
  <c r="AA237" i="56"/>
  <c r="AA238" i="56"/>
  <c r="AA239" i="56"/>
  <c r="AA240" i="56"/>
  <c r="AA241" i="56"/>
  <c r="AA242" i="56"/>
  <c r="AA243" i="56"/>
  <c r="AA244" i="56"/>
  <c r="AA245" i="56"/>
  <c r="AA246" i="56"/>
  <c r="AA247" i="56"/>
  <c r="AA248" i="56"/>
  <c r="AA249" i="56"/>
  <c r="AA250" i="56"/>
  <c r="AA251" i="56"/>
  <c r="AA252" i="56"/>
  <c r="AA253" i="56"/>
  <c r="AA254" i="56"/>
  <c r="AA255" i="56"/>
  <c r="AA256" i="56"/>
  <c r="AA257" i="56"/>
  <c r="AA258" i="56"/>
  <c r="AA259" i="56"/>
  <c r="AA260" i="56"/>
  <c r="AA261" i="56"/>
  <c r="AA262" i="56"/>
  <c r="AA263" i="56"/>
  <c r="AA264" i="56"/>
  <c r="AA265" i="56"/>
  <c r="AA266" i="56"/>
  <c r="AA267" i="56"/>
  <c r="AA268" i="56"/>
  <c r="AA269" i="56"/>
  <c r="AA270" i="56"/>
  <c r="AA271" i="56"/>
  <c r="AA272" i="56"/>
  <c r="AA273" i="56"/>
  <c r="AA274" i="56"/>
  <c r="AA275" i="56"/>
  <c r="AA276" i="56"/>
  <c r="AA277" i="56"/>
  <c r="AA278" i="56"/>
  <c r="AA279" i="56"/>
  <c r="AA280" i="56"/>
  <c r="AA281" i="56"/>
  <c r="AA282" i="56"/>
  <c r="AA283" i="56"/>
  <c r="AA284" i="56"/>
  <c r="AA285" i="56"/>
  <c r="AA286" i="56"/>
  <c r="AA287" i="56"/>
  <c r="AA288" i="56"/>
  <c r="AA289" i="56"/>
  <c r="AA290" i="56"/>
  <c r="AA291" i="56"/>
  <c r="AA292" i="56"/>
  <c r="AA293" i="56"/>
  <c r="AA294" i="56"/>
  <c r="AA295" i="56"/>
  <c r="AA296" i="56"/>
  <c r="AA297" i="56"/>
  <c r="AA298" i="56"/>
  <c r="AA299" i="56"/>
  <c r="AA300" i="56"/>
  <c r="AA301" i="56"/>
  <c r="AA302" i="56"/>
  <c r="AA303" i="56"/>
  <c r="AA304" i="56"/>
  <c r="AA305" i="56"/>
  <c r="AA306" i="56"/>
  <c r="AA307" i="56"/>
  <c r="AA308" i="56"/>
  <c r="AA309" i="56"/>
  <c r="AA310" i="56"/>
  <c r="AA311" i="56"/>
  <c r="AA312" i="56"/>
  <c r="AA313" i="56"/>
  <c r="AA314" i="56"/>
  <c r="AA315" i="56"/>
  <c r="AA316" i="56"/>
  <c r="AA317" i="56"/>
  <c r="AA318" i="56"/>
  <c r="AA319" i="56"/>
  <c r="AA320" i="56"/>
  <c r="AA321" i="56"/>
  <c r="AA322" i="56"/>
  <c r="AA323" i="56"/>
  <c r="AA324" i="56"/>
  <c r="AA325" i="56"/>
  <c r="AA326" i="56"/>
  <c r="AA327" i="56"/>
  <c r="AA328" i="56"/>
  <c r="AA329" i="56"/>
  <c r="AA330" i="56"/>
  <c r="AA331" i="56"/>
  <c r="AA332" i="56"/>
  <c r="AA333" i="56"/>
  <c r="AA334" i="56"/>
  <c r="AA335" i="56"/>
  <c r="AA336" i="56"/>
  <c r="AA337" i="56"/>
  <c r="AA338" i="56"/>
  <c r="AA339" i="56"/>
  <c r="AA340" i="56"/>
  <c r="AA341" i="56"/>
  <c r="AA342" i="56"/>
  <c r="AA343" i="56"/>
  <c r="AA344" i="56"/>
  <c r="AA345" i="56"/>
  <c r="AA346" i="56"/>
  <c r="AA347" i="56"/>
  <c r="AA348" i="56"/>
  <c r="AA349" i="56"/>
  <c r="AA350" i="56"/>
  <c r="AA351" i="56"/>
  <c r="AA352" i="56"/>
  <c r="AA353" i="56"/>
  <c r="AA354" i="56"/>
  <c r="AA355" i="56"/>
  <c r="AA356" i="56"/>
  <c r="AA357" i="56"/>
  <c r="AA358" i="56"/>
  <c r="AA359" i="56"/>
  <c r="AA360" i="56"/>
  <c r="AA361" i="56"/>
  <c r="AA362" i="56"/>
  <c r="AA363" i="56"/>
  <c r="AA364" i="56"/>
  <c r="AA365" i="56"/>
  <c r="AA366" i="56"/>
  <c r="AA367" i="56"/>
  <c r="AA368" i="56"/>
  <c r="AA369" i="56"/>
  <c r="AA370" i="56"/>
  <c r="AA371" i="56"/>
  <c r="AA372" i="56"/>
  <c r="AA373" i="56"/>
  <c r="AA374" i="56"/>
  <c r="AA375" i="56"/>
  <c r="AA376" i="56"/>
  <c r="AA377" i="56"/>
  <c r="AA378" i="56"/>
  <c r="AA379" i="56"/>
  <c r="AA380" i="56"/>
  <c r="AA381" i="56"/>
  <c r="AA382" i="56"/>
  <c r="AA383" i="56"/>
  <c r="AA384" i="56"/>
  <c r="AA385" i="56"/>
  <c r="AA386" i="56"/>
  <c r="AA387" i="56"/>
  <c r="AA388" i="56"/>
  <c r="AA389" i="56"/>
  <c r="AA390" i="56"/>
  <c r="AA391" i="56"/>
  <c r="AA392" i="56"/>
  <c r="AA393" i="56"/>
  <c r="AA394" i="56"/>
  <c r="AA395" i="56"/>
  <c r="AA396" i="56"/>
  <c r="AA397" i="56"/>
  <c r="AA398" i="56"/>
  <c r="AA399" i="56"/>
  <c r="AA400" i="56"/>
  <c r="AA401" i="56"/>
  <c r="AA402" i="56"/>
  <c r="AA403" i="56"/>
  <c r="AA404" i="56"/>
  <c r="J8" i="56"/>
  <c r="AA7" i="56"/>
  <c r="AA6" i="56"/>
  <c r="AA5" i="56"/>
  <c r="AA4" i="56"/>
  <c r="C5" i="55"/>
  <c r="C6" i="55"/>
  <c r="C7" i="55"/>
  <c r="C8" i="55"/>
  <c r="C9" i="55"/>
  <c r="C10" i="55"/>
  <c r="C11" i="55"/>
  <c r="C12" i="55"/>
  <c r="C13" i="55"/>
  <c r="C14" i="55"/>
  <c r="C15" i="55"/>
  <c r="C16" i="55"/>
  <c r="C17" i="55"/>
  <c r="C18" i="55"/>
  <c r="C19" i="55"/>
  <c r="C20" i="55"/>
  <c r="C21" i="55"/>
  <c r="C22" i="55"/>
  <c r="C23" i="55"/>
  <c r="C24" i="55"/>
  <c r="C25" i="55"/>
  <c r="C26" i="55"/>
  <c r="C27" i="55"/>
  <c r="C28" i="55"/>
  <c r="B2" i="55"/>
  <c r="C11" i="54"/>
  <c r="C10" i="54"/>
  <c r="K7" i="54"/>
  <c r="H7" i="54"/>
  <c r="D7" i="54"/>
  <c r="K6" i="54"/>
  <c r="J6" i="54"/>
  <c r="J7" i="54"/>
  <c r="H6" i="54"/>
  <c r="G8" i="54"/>
  <c r="D6" i="54"/>
  <c r="K5" i="54"/>
  <c r="H5" i="54"/>
  <c r="D5" i="54"/>
  <c r="K4" i="54"/>
  <c r="J4" i="54"/>
  <c r="H4" i="54"/>
  <c r="D4" i="54"/>
  <c r="B8" i="54"/>
  <c r="N94" i="30"/>
  <c r="N96" i="30"/>
  <c r="S17" i="29"/>
  <c r="O31" i="29"/>
  <c r="N31" i="29"/>
  <c r="C31" i="29"/>
  <c r="C30" i="29"/>
  <c r="B15" i="29"/>
  <c r="F12" i="27"/>
  <c r="F28" i="27"/>
  <c r="F27" i="10"/>
  <c r="F23" i="10"/>
  <c r="N80" i="56"/>
  <c r="N86" i="56"/>
  <c r="K27" i="56"/>
  <c r="K35" i="56"/>
  <c r="K50" i="56"/>
  <c r="C22" i="57"/>
  <c r="AO22" i="57"/>
  <c r="A13" i="59"/>
  <c r="D10" i="55"/>
  <c r="D18" i="55"/>
  <c r="D26" i="55"/>
  <c r="D11" i="55"/>
  <c r="D19" i="55"/>
  <c r="D27" i="55"/>
  <c r="D12" i="55"/>
  <c r="D20" i="55"/>
  <c r="D28" i="55"/>
  <c r="D13" i="55"/>
  <c r="D21" i="55"/>
  <c r="D6" i="55"/>
  <c r="D14" i="55"/>
  <c r="D22" i="55"/>
  <c r="D7" i="55"/>
  <c r="D15" i="55"/>
  <c r="D23" i="55"/>
  <c r="D8" i="55"/>
  <c r="D16" i="55"/>
  <c r="D24" i="55"/>
  <c r="D9" i="55"/>
  <c r="D17" i="55"/>
  <c r="D25" i="55"/>
  <c r="D5" i="55"/>
  <c r="AN16" i="57"/>
  <c r="AO16" i="57"/>
  <c r="AH37" i="29"/>
  <c r="AN55" i="57"/>
  <c r="K22" i="56"/>
  <c r="K24" i="56"/>
  <c r="N84" i="56"/>
  <c r="I42" i="58"/>
  <c r="J42" i="58"/>
  <c r="O14" i="29"/>
  <c r="K13" i="29"/>
  <c r="J40" i="30"/>
  <c r="K28" i="56"/>
  <c r="O23" i="56"/>
  <c r="Q23" i="56"/>
  <c r="R23" i="56"/>
  <c r="O25" i="56"/>
  <c r="Q25" i="56"/>
  <c r="R25" i="56"/>
  <c r="M17" i="56"/>
  <c r="C12" i="54"/>
  <c r="K26" i="56"/>
  <c r="E52" i="57"/>
  <c r="J17" i="56"/>
  <c r="J18" i="56"/>
  <c r="AB29" i="57"/>
  <c r="H9" i="54"/>
  <c r="H11" i="54"/>
  <c r="H10" i="54"/>
  <c r="K8" i="54"/>
  <c r="O46" i="56"/>
  <c r="R24" i="56"/>
  <c r="AD40" i="57"/>
  <c r="AU10" i="57"/>
  <c r="I4" i="57"/>
  <c r="AN11" i="57"/>
  <c r="AO11" i="57"/>
  <c r="G11" i="57"/>
  <c r="H11" i="57"/>
  <c r="I11" i="57"/>
  <c r="J11" i="57"/>
  <c r="K11" i="57"/>
  <c r="L11" i="57"/>
  <c r="M11" i="57"/>
  <c r="N11" i="57"/>
  <c r="O11" i="57"/>
  <c r="P11" i="57"/>
  <c r="Q11" i="57"/>
  <c r="R11" i="57"/>
  <c r="S11" i="57"/>
  <c r="T11" i="57"/>
  <c r="U11" i="57"/>
  <c r="V11" i="57"/>
  <c r="W11" i="57"/>
  <c r="X11" i="57"/>
  <c r="AU6" i="57"/>
  <c r="E4" i="57"/>
  <c r="Y4" i="57"/>
  <c r="Y25" i="57"/>
  <c r="AU26" i="57"/>
  <c r="AG40" i="57"/>
  <c r="AL40" i="57"/>
  <c r="K25" i="56"/>
  <c r="AU11" i="57"/>
  <c r="J4" i="57"/>
  <c r="AU7" i="57"/>
  <c r="F4" i="57"/>
  <c r="H4" i="57"/>
  <c r="AU9" i="57"/>
  <c r="K51" i="56"/>
  <c r="Z4" i="57"/>
  <c r="Z25" i="57"/>
  <c r="AC29" i="57"/>
  <c r="AH40" i="57"/>
  <c r="AU12" i="57"/>
  <c r="K4" i="57"/>
  <c r="AI40" i="57"/>
  <c r="AU5" i="57"/>
  <c r="D6" i="57"/>
  <c r="D4" i="57"/>
  <c r="J40" i="56"/>
  <c r="K58" i="56"/>
  <c r="AU28" i="57"/>
  <c r="AA4" i="57"/>
  <c r="AA25" i="57"/>
  <c r="AJ40" i="57"/>
  <c r="Q42" i="58"/>
  <c r="G4" i="57"/>
  <c r="AU8" i="57"/>
  <c r="AU13" i="57"/>
  <c r="L4" i="57"/>
  <c r="AF40" i="57"/>
  <c r="Q40" i="58"/>
  <c r="I40" i="58"/>
  <c r="J40" i="58"/>
  <c r="C52" i="57"/>
  <c r="N77" i="56"/>
  <c r="I43" i="58"/>
  <c r="H43" i="58"/>
  <c r="H41" i="58"/>
  <c r="Q41" i="58"/>
  <c r="I41" i="58"/>
  <c r="H44" i="58"/>
  <c r="J44" i="58"/>
  <c r="S31" i="29"/>
  <c r="T31" i="29"/>
  <c r="V31" i="29"/>
  <c r="X31" i="29"/>
  <c r="F29" i="27"/>
  <c r="D13" i="12"/>
  <c r="D19" i="12"/>
  <c r="F24" i="10"/>
  <c r="L17" i="10"/>
  <c r="B17" i="29"/>
  <c r="D17" i="29"/>
  <c r="B19" i="29"/>
  <c r="D19" i="29"/>
  <c r="I12" i="24"/>
  <c r="K47" i="56"/>
  <c r="K48" i="56"/>
  <c r="C20" i="57"/>
  <c r="J20" i="57"/>
  <c r="J25" i="57"/>
  <c r="K52" i="56"/>
  <c r="K49" i="56"/>
  <c r="A14" i="59"/>
  <c r="E5" i="55"/>
  <c r="E6" i="55"/>
  <c r="P47" i="56"/>
  <c r="P48" i="56"/>
  <c r="E7" i="55"/>
  <c r="E8" i="55"/>
  <c r="E9" i="55"/>
  <c r="E10" i="55"/>
  <c r="E11" i="55"/>
  <c r="E12" i="55"/>
  <c r="E13" i="55"/>
  <c r="E14" i="55"/>
  <c r="E15" i="55"/>
  <c r="E16" i="55"/>
  <c r="E17" i="55"/>
  <c r="E18" i="55"/>
  <c r="E19" i="55"/>
  <c r="E20" i="55"/>
  <c r="E21" i="55"/>
  <c r="E22" i="55"/>
  <c r="E23" i="55"/>
  <c r="E24" i="55"/>
  <c r="E25" i="55"/>
  <c r="E26" i="55"/>
  <c r="E27" i="55"/>
  <c r="E28" i="55"/>
  <c r="N46" i="56"/>
  <c r="N47" i="56"/>
  <c r="N48" i="56"/>
  <c r="N49" i="56"/>
  <c r="K31" i="56"/>
  <c r="K46" i="56"/>
  <c r="F29" i="10"/>
  <c r="N10" i="56"/>
  <c r="N17" i="56"/>
  <c r="N11" i="56"/>
  <c r="M12" i="30"/>
  <c r="N19" i="57"/>
  <c r="K19" i="57"/>
  <c r="I19" i="57"/>
  <c r="G19" i="57"/>
  <c r="G25" i="57"/>
  <c r="K6" i="57"/>
  <c r="AC40" i="57"/>
  <c r="AA29" i="57"/>
  <c r="J6" i="57"/>
  <c r="D25" i="57"/>
  <c r="N63" i="56"/>
  <c r="H25" i="57"/>
  <c r="H6" i="57"/>
  <c r="Y29" i="57"/>
  <c r="O48" i="56"/>
  <c r="O50" i="56"/>
  <c r="O51" i="56"/>
  <c r="O52" i="56"/>
  <c r="O49" i="56"/>
  <c r="L6" i="57"/>
  <c r="J43" i="58"/>
  <c r="Q43" i="58"/>
  <c r="J41" i="58"/>
  <c r="G6" i="57"/>
  <c r="L10" i="54"/>
  <c r="L9" i="54"/>
  <c r="K42" i="56"/>
  <c r="Z29" i="57"/>
  <c r="K57" i="56"/>
  <c r="F25" i="57"/>
  <c r="F6" i="57"/>
  <c r="E6" i="57"/>
  <c r="E25" i="57"/>
  <c r="I6" i="57"/>
  <c r="K20" i="57"/>
  <c r="L20" i="57"/>
  <c r="L25" i="57"/>
  <c r="O20" i="57"/>
  <c r="M20" i="57"/>
  <c r="N20" i="57"/>
  <c r="I20" i="57"/>
  <c r="I25" i="57"/>
  <c r="I27" i="57"/>
  <c r="I29" i="57"/>
  <c r="Q47" i="56"/>
  <c r="A15" i="59"/>
  <c r="J72" i="56"/>
  <c r="Q46" i="56"/>
  <c r="AU14" i="57"/>
  <c r="K25" i="57"/>
  <c r="K27" i="57"/>
  <c r="K29" i="57"/>
  <c r="E29" i="57"/>
  <c r="E26" i="57"/>
  <c r="F26" i="57"/>
  <c r="G26" i="57"/>
  <c r="H26" i="57"/>
  <c r="E27" i="57"/>
  <c r="J27" i="57"/>
  <c r="J29" i="57"/>
  <c r="H29" i="57"/>
  <c r="H27" i="57"/>
  <c r="AN19" i="57"/>
  <c r="N93" i="56"/>
  <c r="F27" i="57"/>
  <c r="F29" i="57"/>
  <c r="K43" i="56"/>
  <c r="K44" i="56"/>
  <c r="K59" i="56"/>
  <c r="G27" i="57"/>
  <c r="G29" i="57"/>
  <c r="D27" i="57"/>
  <c r="D29" i="57"/>
  <c r="L29" i="57"/>
  <c r="AU15" i="57"/>
  <c r="N4" i="57"/>
  <c r="Q48" i="56"/>
  <c r="P49" i="56"/>
  <c r="O63" i="56"/>
  <c r="P20" i="57"/>
  <c r="AN20" i="57"/>
  <c r="AO20" i="57"/>
  <c r="I26" i="57"/>
  <c r="J26" i="57"/>
  <c r="K26" i="57"/>
  <c r="L26" i="57"/>
  <c r="A16" i="59"/>
  <c r="M4" i="57"/>
  <c r="M6" i="57"/>
  <c r="C17" i="57"/>
  <c r="AO17" i="57"/>
  <c r="E30" i="57"/>
  <c r="O4" i="57"/>
  <c r="AU16" i="57"/>
  <c r="AN27" i="57"/>
  <c r="C27" i="57"/>
  <c r="F30" i="57"/>
  <c r="G30" i="57"/>
  <c r="H30" i="57"/>
  <c r="I30" i="57"/>
  <c r="J30" i="57"/>
  <c r="K30" i="57"/>
  <c r="L30" i="57"/>
  <c r="P50" i="56"/>
  <c r="Q49" i="56"/>
  <c r="N25" i="57"/>
  <c r="N6" i="57"/>
  <c r="M25" i="57"/>
  <c r="AO19" i="57"/>
  <c r="AO24" i="57"/>
  <c r="K53" i="56"/>
  <c r="E28" i="57"/>
  <c r="F28" i="57"/>
  <c r="G28" i="57"/>
  <c r="H28" i="57"/>
  <c r="I28" i="57"/>
  <c r="J28" i="57"/>
  <c r="K28" i="57"/>
  <c r="L28" i="57"/>
  <c r="M28" i="57"/>
  <c r="N28" i="57"/>
  <c r="O28" i="57"/>
  <c r="P28" i="57"/>
  <c r="Q28" i="57"/>
  <c r="R28" i="57"/>
  <c r="S28" i="57"/>
  <c r="T28" i="57"/>
  <c r="U28" i="57"/>
  <c r="V28" i="57"/>
  <c r="W28" i="57"/>
  <c r="X28" i="57"/>
  <c r="Y28" i="57"/>
  <c r="Z28" i="57"/>
  <c r="AA28" i="57"/>
  <c r="AB28" i="57"/>
  <c r="AC28" i="57"/>
  <c r="AD28" i="57"/>
  <c r="AE28" i="57"/>
  <c r="AF28" i="57"/>
  <c r="AG28" i="57"/>
  <c r="AH28" i="57"/>
  <c r="AI28" i="57"/>
  <c r="AJ28" i="57"/>
  <c r="AK28" i="57"/>
  <c r="AL28" i="57"/>
  <c r="AM28" i="57"/>
  <c r="AA55" i="31"/>
  <c r="Z55" i="31"/>
  <c r="Y55" i="31"/>
  <c r="X55" i="31"/>
  <c r="W55" i="31"/>
  <c r="V55" i="31"/>
  <c r="U55" i="31"/>
  <c r="T55" i="31"/>
  <c r="S55" i="31"/>
  <c r="R55" i="31"/>
  <c r="Q55" i="31"/>
  <c r="P55" i="31"/>
  <c r="O55" i="31"/>
  <c r="N55" i="31"/>
  <c r="M55" i="31"/>
  <c r="L55" i="31"/>
  <c r="K55" i="31"/>
  <c r="J55" i="31"/>
  <c r="I55" i="31"/>
  <c r="H55" i="31"/>
  <c r="G55" i="31"/>
  <c r="F55" i="31"/>
  <c r="E55" i="31"/>
  <c r="D55" i="31"/>
  <c r="AN39" i="31"/>
  <c r="C36" i="31"/>
  <c r="AN35" i="31"/>
  <c r="C34" i="31"/>
  <c r="AN33" i="31"/>
  <c r="AN32" i="31"/>
  <c r="AN31" i="31"/>
  <c r="AM29" i="31"/>
  <c r="AM40" i="31"/>
  <c r="AM25" i="31"/>
  <c r="AL25" i="31"/>
  <c r="AL29" i="31"/>
  <c r="AL40" i="31"/>
  <c r="AN24" i="31"/>
  <c r="AO15" i="31"/>
  <c r="AN15" i="31"/>
  <c r="AN14" i="31"/>
  <c r="O14" i="31"/>
  <c r="AN13" i="31"/>
  <c r="AO13" i="31"/>
  <c r="AO12" i="31"/>
  <c r="AN12" i="31"/>
  <c r="AN10" i="31"/>
  <c r="AN9" i="31"/>
  <c r="AN8" i="31"/>
  <c r="AN7" i="31"/>
  <c r="AO7" i="31"/>
  <c r="AN5" i="31"/>
  <c r="AF1" i="31"/>
  <c r="AG1" i="31"/>
  <c r="AH1" i="31"/>
  <c r="AI1" i="31"/>
  <c r="AJ1" i="31"/>
  <c r="AK1" i="31"/>
  <c r="AL1" i="31"/>
  <c r="AM1" i="31"/>
  <c r="E1" i="31"/>
  <c r="F1" i="31"/>
  <c r="G1" i="31"/>
  <c r="H1" i="31"/>
  <c r="I1" i="31"/>
  <c r="J1" i="31"/>
  <c r="K1" i="31"/>
  <c r="L1" i="31"/>
  <c r="M1" i="31"/>
  <c r="N1" i="31"/>
  <c r="O1" i="31"/>
  <c r="P1" i="31"/>
  <c r="Q1" i="31"/>
  <c r="R1" i="31"/>
  <c r="S1" i="31"/>
  <c r="T1" i="31"/>
  <c r="U1" i="31"/>
  <c r="V1" i="31"/>
  <c r="W1" i="31"/>
  <c r="X1" i="31"/>
  <c r="Y1" i="31"/>
  <c r="Z1" i="31"/>
  <c r="AA1" i="31"/>
  <c r="AB1" i="31"/>
  <c r="AC1" i="31"/>
  <c r="AD1" i="31"/>
  <c r="AE1" i="31"/>
  <c r="I41" i="30"/>
  <c r="K58" i="30"/>
  <c r="Q38" i="30"/>
  <c r="Q37" i="30"/>
  <c r="D4" i="31"/>
  <c r="Q36" i="30"/>
  <c r="I35" i="30"/>
  <c r="P26" i="30"/>
  <c r="N26" i="30"/>
  <c r="K23" i="30"/>
  <c r="F11" i="31"/>
  <c r="M16" i="30"/>
  <c r="M15" i="30"/>
  <c r="M14" i="30"/>
  <c r="M13" i="30"/>
  <c r="AA8" i="30"/>
  <c r="J8" i="30"/>
  <c r="J9" i="30"/>
  <c r="J10" i="30"/>
  <c r="Z32" i="29"/>
  <c r="O19" i="29"/>
  <c r="L17" i="29"/>
  <c r="F17" i="29"/>
  <c r="E10" i="28"/>
  <c r="E8" i="28"/>
  <c r="E6" i="28"/>
  <c r="E5" i="28"/>
  <c r="F46" i="27"/>
  <c r="C42" i="27"/>
  <c r="F41" i="27"/>
  <c r="E9" i="28"/>
  <c r="D5" i="28"/>
  <c r="F33" i="27"/>
  <c r="F30" i="27"/>
  <c r="F13" i="27"/>
  <c r="F17" i="27"/>
  <c r="C5" i="28"/>
  <c r="D5" i="25"/>
  <c r="I31" i="24"/>
  <c r="F15" i="24"/>
  <c r="C23" i="11"/>
  <c r="D22" i="11"/>
  <c r="C22" i="11"/>
  <c r="D20" i="11"/>
  <c r="D17" i="11"/>
  <c r="C17" i="11"/>
  <c r="C16" i="11"/>
  <c r="D15" i="11"/>
  <c r="C15" i="11"/>
  <c r="D14" i="11"/>
  <c r="C14" i="11"/>
  <c r="D13" i="11"/>
  <c r="C13" i="11"/>
  <c r="C10" i="11"/>
  <c r="C9" i="11"/>
  <c r="H9" i="11"/>
  <c r="I9" i="11"/>
  <c r="J9" i="11"/>
  <c r="K9" i="11"/>
  <c r="L9" i="11"/>
  <c r="M9" i="11"/>
  <c r="N9" i="11"/>
  <c r="O9" i="11"/>
  <c r="P9" i="11"/>
  <c r="Q9" i="11"/>
  <c r="R9" i="11"/>
  <c r="S9" i="11"/>
  <c r="T9" i="11"/>
  <c r="U9" i="11"/>
  <c r="V9" i="11"/>
  <c r="W9" i="11"/>
  <c r="X9" i="11"/>
  <c r="Y9" i="11"/>
  <c r="Z9" i="11"/>
  <c r="AA9" i="11"/>
  <c r="AB9" i="11"/>
  <c r="AC9" i="11"/>
  <c r="AD9" i="11"/>
  <c r="AE9" i="11"/>
  <c r="AF9" i="11"/>
  <c r="AG9" i="11"/>
  <c r="AH9" i="11"/>
  <c r="AI9" i="11"/>
  <c r="AJ9" i="11"/>
  <c r="AK9" i="11"/>
  <c r="AL9" i="11"/>
  <c r="AM9" i="11"/>
  <c r="AN9" i="11"/>
  <c r="AO9" i="11"/>
  <c r="AP9" i="11"/>
  <c r="AQ9" i="11"/>
  <c r="AR9" i="11"/>
  <c r="AS9" i="11"/>
  <c r="AT9" i="11"/>
  <c r="AU9" i="11"/>
  <c r="AV9" i="11"/>
  <c r="AW9" i="11"/>
  <c r="AX9" i="11"/>
  <c r="AY9" i="11"/>
  <c r="AZ9" i="11"/>
  <c r="BA9" i="11"/>
  <c r="BB9" i="11"/>
  <c r="BC9" i="11"/>
  <c r="BD9" i="11"/>
  <c r="BE9" i="11"/>
  <c r="BF9" i="11"/>
  <c r="BG9" i="11"/>
  <c r="BH9" i="11"/>
  <c r="BI9" i="11"/>
  <c r="BJ9" i="11"/>
  <c r="BK9" i="11"/>
  <c r="BL9" i="11"/>
  <c r="BM9" i="11"/>
  <c r="BN9" i="11"/>
  <c r="BO9" i="11"/>
  <c r="BP9" i="11"/>
  <c r="BQ9" i="11"/>
  <c r="BR9" i="11"/>
  <c r="BS9" i="11"/>
  <c r="BT9" i="11"/>
  <c r="BU9" i="11"/>
  <c r="BV9" i="11"/>
  <c r="BW9" i="11"/>
  <c r="BX9" i="11"/>
  <c r="BY9" i="11"/>
  <c r="BZ9" i="11"/>
  <c r="CA9" i="11"/>
  <c r="CB9" i="11"/>
  <c r="CC9" i="11"/>
  <c r="CD9" i="11"/>
  <c r="CE9" i="11"/>
  <c r="CF9" i="11"/>
  <c r="CG9" i="11"/>
  <c r="CH9" i="11"/>
  <c r="CI9" i="11"/>
  <c r="CJ9" i="11"/>
  <c r="CK9" i="11"/>
  <c r="CL9" i="11"/>
  <c r="CM9" i="11"/>
  <c r="CN9" i="11"/>
  <c r="CO9" i="11"/>
  <c r="CP9" i="11"/>
  <c r="CQ9" i="11"/>
  <c r="CR9" i="11"/>
  <c r="CS9" i="11"/>
  <c r="CT9" i="11"/>
  <c r="CU9" i="11"/>
  <c r="CV9" i="11"/>
  <c r="CW9" i="11"/>
  <c r="CX9" i="11"/>
  <c r="CY9" i="11"/>
  <c r="CZ9" i="11"/>
  <c r="DA9" i="11"/>
  <c r="DB9" i="11"/>
  <c r="DC9" i="11"/>
  <c r="DD9" i="11"/>
  <c r="DE9" i="11"/>
  <c r="DF9" i="11"/>
  <c r="DG9" i="11"/>
  <c r="DH9" i="11"/>
  <c r="DI9" i="11"/>
  <c r="DJ9" i="11"/>
  <c r="C7" i="11"/>
  <c r="H7" i="11"/>
  <c r="I7" i="11"/>
  <c r="J7" i="11"/>
  <c r="K7" i="11"/>
  <c r="L7" i="11"/>
  <c r="M7" i="11"/>
  <c r="N7" i="11"/>
  <c r="O7" i="11"/>
  <c r="P7" i="11"/>
  <c r="Q7" i="11"/>
  <c r="R7" i="11"/>
  <c r="S7" i="11"/>
  <c r="T7" i="11"/>
  <c r="U7" i="11"/>
  <c r="V7" i="11"/>
  <c r="W7" i="11"/>
  <c r="X7" i="11"/>
  <c r="Y7" i="11"/>
  <c r="Z7" i="11"/>
  <c r="AA7" i="11"/>
  <c r="AB7" i="11"/>
  <c r="AC7" i="11"/>
  <c r="AD7" i="11"/>
  <c r="AE7" i="11"/>
  <c r="AF7" i="11"/>
  <c r="AG7" i="11"/>
  <c r="AH7" i="11"/>
  <c r="AI7" i="11"/>
  <c r="AJ7" i="11"/>
  <c r="AK7" i="11"/>
  <c r="AL7" i="11"/>
  <c r="AM7" i="11"/>
  <c r="AN7" i="11"/>
  <c r="AO7" i="11"/>
  <c r="AP7" i="11"/>
  <c r="AQ7" i="11"/>
  <c r="AR7" i="11"/>
  <c r="AS7" i="11"/>
  <c r="AT7" i="11"/>
  <c r="AU7" i="11"/>
  <c r="AV7" i="11"/>
  <c r="AW7" i="11"/>
  <c r="AX7" i="11"/>
  <c r="AY7" i="11"/>
  <c r="AZ7" i="11"/>
  <c r="BA7" i="11"/>
  <c r="BB7" i="11"/>
  <c r="BC7" i="11"/>
  <c r="BD7" i="11"/>
  <c r="BE7" i="11"/>
  <c r="BF7" i="11"/>
  <c r="BG7" i="11"/>
  <c r="BH7" i="11"/>
  <c r="BI7" i="11"/>
  <c r="BJ7" i="11"/>
  <c r="BK7" i="11"/>
  <c r="BL7" i="11"/>
  <c r="BM7" i="11"/>
  <c r="BN7" i="11"/>
  <c r="BO7" i="11"/>
  <c r="BP7" i="11"/>
  <c r="BQ7" i="11"/>
  <c r="BR7" i="11"/>
  <c r="BS7" i="11"/>
  <c r="BT7" i="11"/>
  <c r="BU7" i="11"/>
  <c r="BV7" i="11"/>
  <c r="BW7" i="11"/>
  <c r="BX7" i="11"/>
  <c r="BY7" i="11"/>
  <c r="BZ7" i="11"/>
  <c r="CA7" i="11"/>
  <c r="CB7" i="11"/>
  <c r="CC7" i="11"/>
  <c r="CD7" i="11"/>
  <c r="CE7" i="11"/>
  <c r="CF7" i="11"/>
  <c r="CG7" i="11"/>
  <c r="CH7" i="11"/>
  <c r="CI7" i="11"/>
  <c r="CJ7" i="11"/>
  <c r="CK7" i="11"/>
  <c r="CL7" i="11"/>
  <c r="CM7" i="11"/>
  <c r="CN7" i="11"/>
  <c r="CO7" i="11"/>
  <c r="CP7" i="11"/>
  <c r="CQ7" i="11"/>
  <c r="CR7" i="11"/>
  <c r="CS7" i="11"/>
  <c r="CT7" i="11"/>
  <c r="CU7" i="11"/>
  <c r="CV7" i="11"/>
  <c r="CW7" i="11"/>
  <c r="CX7" i="11"/>
  <c r="CY7" i="11"/>
  <c r="CZ7" i="11"/>
  <c r="DA7" i="11"/>
  <c r="DB7" i="11"/>
  <c r="DC7" i="11"/>
  <c r="DD7" i="11"/>
  <c r="DE7" i="11"/>
  <c r="DF7" i="11"/>
  <c r="DG7" i="11"/>
  <c r="DH7" i="11"/>
  <c r="DI7" i="11"/>
  <c r="DJ7" i="11"/>
  <c r="D73" i="10"/>
  <c r="D69" i="10"/>
  <c r="G29" i="10"/>
  <c r="E14" i="11"/>
  <c r="E15" i="11"/>
  <c r="F25" i="10"/>
  <c r="J24" i="10"/>
  <c r="G24" i="10"/>
  <c r="L21" i="10"/>
  <c r="F18" i="10"/>
  <c r="D71" i="10"/>
  <c r="A17" i="59"/>
  <c r="D4" i="25"/>
  <c r="D13" i="25"/>
  <c r="G25" i="10"/>
  <c r="M26" i="57"/>
  <c r="N26" i="57"/>
  <c r="M10" i="30"/>
  <c r="J11" i="30"/>
  <c r="AU17" i="57"/>
  <c r="P4" i="57"/>
  <c r="C53" i="57"/>
  <c r="N78" i="56"/>
  <c r="N92" i="56"/>
  <c r="AB37" i="57"/>
  <c r="R36" i="57"/>
  <c r="D34" i="57"/>
  <c r="P51" i="56"/>
  <c r="Q50" i="56"/>
  <c r="N29" i="57"/>
  <c r="K60" i="56"/>
  <c r="C8" i="57"/>
  <c r="K61" i="56"/>
  <c r="O25" i="57"/>
  <c r="O6" i="57"/>
  <c r="M29" i="57"/>
  <c r="O37" i="29"/>
  <c r="S37" i="29"/>
  <c r="G6" i="11"/>
  <c r="G15" i="11"/>
  <c r="D34" i="12"/>
  <c r="J22" i="30"/>
  <c r="K28" i="30"/>
  <c r="S19" i="29"/>
  <c r="N37" i="29"/>
  <c r="E5" i="25"/>
  <c r="F16" i="24"/>
  <c r="C6" i="25"/>
  <c r="F30" i="10"/>
  <c r="D10" i="28"/>
  <c r="E70" i="10"/>
  <c r="D70" i="10"/>
  <c r="O37" i="10"/>
  <c r="E13" i="11"/>
  <c r="D7" i="25"/>
  <c r="J12" i="24"/>
  <c r="G11" i="31"/>
  <c r="H11" i="31"/>
  <c r="I11" i="31"/>
  <c r="J11" i="31"/>
  <c r="K11" i="31"/>
  <c r="L11" i="31"/>
  <c r="M11" i="31"/>
  <c r="N11" i="31"/>
  <c r="O11" i="31"/>
  <c r="P11" i="31"/>
  <c r="Q11" i="31"/>
  <c r="R11" i="31"/>
  <c r="S11" i="31"/>
  <c r="T11" i="31"/>
  <c r="U11" i="31"/>
  <c r="V11" i="31"/>
  <c r="W11" i="31"/>
  <c r="X11" i="31"/>
  <c r="G37" i="27"/>
  <c r="AH49" i="29"/>
  <c r="M9" i="30"/>
  <c r="AA7" i="30"/>
  <c r="AA6" i="30"/>
  <c r="AA5" i="30"/>
  <c r="AA4" i="30"/>
  <c r="AA9" i="30"/>
  <c r="AA10" i="30"/>
  <c r="AA11" i="30"/>
  <c r="AA12" i="30"/>
  <c r="AA13" i="30"/>
  <c r="AA14" i="30"/>
  <c r="AA15" i="30"/>
  <c r="AA16" i="30"/>
  <c r="AA17" i="30"/>
  <c r="AA18" i="30"/>
  <c r="AA19" i="30"/>
  <c r="AA20" i="30"/>
  <c r="AA21" i="30"/>
  <c r="AA22" i="30"/>
  <c r="AA23" i="30"/>
  <c r="AA24" i="30"/>
  <c r="AA25" i="30"/>
  <c r="AA26" i="30"/>
  <c r="AA27" i="30"/>
  <c r="AA28" i="30"/>
  <c r="AA29" i="30"/>
  <c r="AA30" i="30"/>
  <c r="AA31" i="30"/>
  <c r="AA32" i="30"/>
  <c r="AA33" i="30"/>
  <c r="AA34" i="30"/>
  <c r="AA35" i="30"/>
  <c r="AA36" i="30"/>
  <c r="AA37" i="30"/>
  <c r="AA38" i="30"/>
  <c r="AA39" i="30"/>
  <c r="AA40" i="30"/>
  <c r="AA41" i="30"/>
  <c r="AA42" i="30"/>
  <c r="AA43" i="30"/>
  <c r="AA44" i="30"/>
  <c r="AA45" i="30"/>
  <c r="AA46" i="30"/>
  <c r="AA47" i="30"/>
  <c r="AA48" i="30"/>
  <c r="AA49" i="30"/>
  <c r="AA50" i="30"/>
  <c r="AA51" i="30"/>
  <c r="AA52" i="30"/>
  <c r="AA53" i="30"/>
  <c r="AA54" i="30"/>
  <c r="AA55" i="30"/>
  <c r="AA56" i="30"/>
  <c r="AA57" i="30"/>
  <c r="AA58" i="30"/>
  <c r="AA59" i="30"/>
  <c r="AA60" i="30"/>
  <c r="AA61" i="30"/>
  <c r="AA62" i="30"/>
  <c r="AA63" i="30"/>
  <c r="AA64" i="30"/>
  <c r="AA76" i="30"/>
  <c r="AA77" i="30"/>
  <c r="AA78" i="30"/>
  <c r="AA79" i="30"/>
  <c r="AA80" i="30"/>
  <c r="AA81" i="30"/>
  <c r="AA82" i="30"/>
  <c r="AA83" i="30"/>
  <c r="AA84" i="30"/>
  <c r="AA85" i="30"/>
  <c r="AA86" i="30"/>
  <c r="AA87" i="30"/>
  <c r="AA88" i="30"/>
  <c r="AA89" i="30"/>
  <c r="AA90" i="30"/>
  <c r="AA91" i="30"/>
  <c r="AA92" i="30"/>
  <c r="AA93" i="30"/>
  <c r="AA94" i="30"/>
  <c r="AA95" i="30"/>
  <c r="AA96" i="30"/>
  <c r="AA97" i="30"/>
  <c r="AA98" i="30"/>
  <c r="AA99" i="30"/>
  <c r="AA100" i="30"/>
  <c r="AA101" i="30"/>
  <c r="AA102" i="30"/>
  <c r="AA103" i="30"/>
  <c r="AA104" i="30"/>
  <c r="AA105" i="30"/>
  <c r="AA106" i="30"/>
  <c r="AA107" i="30"/>
  <c r="AA108" i="30"/>
  <c r="AA109" i="30"/>
  <c r="AA110" i="30"/>
  <c r="AA111" i="30"/>
  <c r="AA112" i="30"/>
  <c r="AA113" i="30"/>
  <c r="AA114" i="30"/>
  <c r="AA115" i="30"/>
  <c r="AA116" i="30"/>
  <c r="AA117" i="30"/>
  <c r="AA118" i="30"/>
  <c r="AA119" i="30"/>
  <c r="AA120" i="30"/>
  <c r="AA121" i="30"/>
  <c r="AA122" i="30"/>
  <c r="AA123" i="30"/>
  <c r="AA124" i="30"/>
  <c r="AA125" i="30"/>
  <c r="AA126" i="30"/>
  <c r="AA127" i="30"/>
  <c r="AA128" i="30"/>
  <c r="AA129" i="30"/>
  <c r="AA130" i="30"/>
  <c r="AA131" i="30"/>
  <c r="AA132" i="30"/>
  <c r="AA133" i="30"/>
  <c r="AA134" i="30"/>
  <c r="AA135" i="30"/>
  <c r="AA136" i="30"/>
  <c r="AA137" i="30"/>
  <c r="AA138" i="30"/>
  <c r="AA139" i="30"/>
  <c r="AA140" i="30"/>
  <c r="AA141" i="30"/>
  <c r="AA142" i="30"/>
  <c r="AA143" i="30"/>
  <c r="AA144" i="30"/>
  <c r="AA145" i="30"/>
  <c r="AA146" i="30"/>
  <c r="AA147" i="30"/>
  <c r="AA148" i="30"/>
  <c r="AA149" i="30"/>
  <c r="AA150" i="30"/>
  <c r="AA151" i="30"/>
  <c r="AA152" i="30"/>
  <c r="AA153" i="30"/>
  <c r="AA154" i="30"/>
  <c r="AA155" i="30"/>
  <c r="AA156" i="30"/>
  <c r="AA157" i="30"/>
  <c r="AA158" i="30"/>
  <c r="AA159" i="30"/>
  <c r="AA160" i="30"/>
  <c r="AA161" i="30"/>
  <c r="AA162" i="30"/>
  <c r="AA163" i="30"/>
  <c r="AA164" i="30"/>
  <c r="AA165" i="30"/>
  <c r="AA166" i="30"/>
  <c r="AA167" i="30"/>
  <c r="AA168" i="30"/>
  <c r="AA169" i="30"/>
  <c r="AA170" i="30"/>
  <c r="AA171" i="30"/>
  <c r="AA172" i="30"/>
  <c r="AA173" i="30"/>
  <c r="AA174" i="30"/>
  <c r="AA175" i="30"/>
  <c r="AA176" i="30"/>
  <c r="AA177" i="30"/>
  <c r="AA178" i="30"/>
  <c r="AA179" i="30"/>
  <c r="AA180" i="30"/>
  <c r="AA181" i="30"/>
  <c r="AA182" i="30"/>
  <c r="AA183" i="30"/>
  <c r="AA184" i="30"/>
  <c r="AA185" i="30"/>
  <c r="AA186" i="30"/>
  <c r="AA187" i="30"/>
  <c r="AA188" i="30"/>
  <c r="AA189" i="30"/>
  <c r="AA190" i="30"/>
  <c r="AA191" i="30"/>
  <c r="AA192" i="30"/>
  <c r="AA193" i="30"/>
  <c r="AA194" i="30"/>
  <c r="AA195" i="30"/>
  <c r="AA196" i="30"/>
  <c r="AA197" i="30"/>
  <c r="AA198" i="30"/>
  <c r="AA199" i="30"/>
  <c r="AA200" i="30"/>
  <c r="AA201" i="30"/>
  <c r="AA202" i="30"/>
  <c r="AA203" i="30"/>
  <c r="AA204" i="30"/>
  <c r="AA205" i="30"/>
  <c r="AA206" i="30"/>
  <c r="AA207" i="30"/>
  <c r="AA208" i="30"/>
  <c r="AA209" i="30"/>
  <c r="AA210" i="30"/>
  <c r="AA211" i="30"/>
  <c r="AA212" i="30"/>
  <c r="AA213" i="30"/>
  <c r="AA214" i="30"/>
  <c r="AA215" i="30"/>
  <c r="AA216" i="30"/>
  <c r="AA217" i="30"/>
  <c r="AA218" i="30"/>
  <c r="AA219" i="30"/>
  <c r="AA220" i="30"/>
  <c r="AA221" i="30"/>
  <c r="AA222" i="30"/>
  <c r="AA223" i="30"/>
  <c r="AA224" i="30"/>
  <c r="AA225" i="30"/>
  <c r="AA226" i="30"/>
  <c r="AA227" i="30"/>
  <c r="AA228" i="30"/>
  <c r="AA229" i="30"/>
  <c r="AA230" i="30"/>
  <c r="AA231" i="30"/>
  <c r="AA232" i="30"/>
  <c r="AA233" i="30"/>
  <c r="AA234" i="30"/>
  <c r="AA235" i="30"/>
  <c r="AA236" i="30"/>
  <c r="AA237" i="30"/>
  <c r="AA238" i="30"/>
  <c r="AA239" i="30"/>
  <c r="AA240" i="30"/>
  <c r="AA241" i="30"/>
  <c r="AA242" i="30"/>
  <c r="AA243" i="30"/>
  <c r="AA244" i="30"/>
  <c r="AA245" i="30"/>
  <c r="AA246" i="30"/>
  <c r="AA247" i="30"/>
  <c r="AA248" i="30"/>
  <c r="AA249" i="30"/>
  <c r="AA250" i="30"/>
  <c r="AA251" i="30"/>
  <c r="AA252" i="30"/>
  <c r="AA253" i="30"/>
  <c r="AA254" i="30"/>
  <c r="AA255" i="30"/>
  <c r="AA256" i="30"/>
  <c r="AA257" i="30"/>
  <c r="AA258" i="30"/>
  <c r="AA259" i="30"/>
  <c r="AA260" i="30"/>
  <c r="AA261" i="30"/>
  <c r="AA262" i="30"/>
  <c r="AA263" i="30"/>
  <c r="AA264" i="30"/>
  <c r="AA265" i="30"/>
  <c r="AA266" i="30"/>
  <c r="AA267" i="30"/>
  <c r="AA268" i="30"/>
  <c r="AA269" i="30"/>
  <c r="AA270" i="30"/>
  <c r="AA271" i="30"/>
  <c r="AA272" i="30"/>
  <c r="AA273" i="30"/>
  <c r="AA274" i="30"/>
  <c r="AA275" i="30"/>
  <c r="AA276" i="30"/>
  <c r="AA277" i="30"/>
  <c r="AA278" i="30"/>
  <c r="AA279" i="30"/>
  <c r="AA280" i="30"/>
  <c r="AA281" i="30"/>
  <c r="AA282" i="30"/>
  <c r="AA283" i="30"/>
  <c r="AA284" i="30"/>
  <c r="AA285" i="30"/>
  <c r="AA286" i="30"/>
  <c r="AA287" i="30"/>
  <c r="AA288" i="30"/>
  <c r="AA289" i="30"/>
  <c r="AA290" i="30"/>
  <c r="AA291" i="30"/>
  <c r="AA292" i="30"/>
  <c r="AA293" i="30"/>
  <c r="AA294" i="30"/>
  <c r="AA295" i="30"/>
  <c r="AA296" i="30"/>
  <c r="AA297" i="30"/>
  <c r="AA298" i="30"/>
  <c r="AA299" i="30"/>
  <c r="AA300" i="30"/>
  <c r="AA301" i="30"/>
  <c r="AA302" i="30"/>
  <c r="AA303" i="30"/>
  <c r="AA304" i="30"/>
  <c r="AA305" i="30"/>
  <c r="AA306" i="30"/>
  <c r="AA307" i="30"/>
  <c r="AA308" i="30"/>
  <c r="AA309" i="30"/>
  <c r="AA310" i="30"/>
  <c r="AA311" i="30"/>
  <c r="AA312" i="30"/>
  <c r="AA313" i="30"/>
  <c r="AA314" i="30"/>
  <c r="AA315" i="30"/>
  <c r="AA316" i="30"/>
  <c r="AA317" i="30"/>
  <c r="AA318" i="30"/>
  <c r="AA319" i="30"/>
  <c r="AA320" i="30"/>
  <c r="AA321" i="30"/>
  <c r="AA322" i="30"/>
  <c r="AA323" i="30"/>
  <c r="AA324" i="30"/>
  <c r="AA325" i="30"/>
  <c r="AA326" i="30"/>
  <c r="AA327" i="30"/>
  <c r="AA328" i="30"/>
  <c r="AA329" i="30"/>
  <c r="AA330" i="30"/>
  <c r="AA331" i="30"/>
  <c r="AA332" i="30"/>
  <c r="AA333" i="30"/>
  <c r="AA334" i="30"/>
  <c r="AA335" i="30"/>
  <c r="AA336" i="30"/>
  <c r="AA337" i="30"/>
  <c r="AA338" i="30"/>
  <c r="AA339" i="30"/>
  <c r="AA340" i="30"/>
  <c r="AA341" i="30"/>
  <c r="AA342" i="30"/>
  <c r="AA343" i="30"/>
  <c r="AA344" i="30"/>
  <c r="AA345" i="30"/>
  <c r="AA346" i="30"/>
  <c r="AA347" i="30"/>
  <c r="AA348" i="30"/>
  <c r="AA349" i="30"/>
  <c r="AA350" i="30"/>
  <c r="AA351" i="30"/>
  <c r="AA352" i="30"/>
  <c r="AA353" i="30"/>
  <c r="AA354" i="30"/>
  <c r="AA355" i="30"/>
  <c r="AA356" i="30"/>
  <c r="AA357" i="30"/>
  <c r="AA358" i="30"/>
  <c r="AA359" i="30"/>
  <c r="AA360" i="30"/>
  <c r="AA361" i="30"/>
  <c r="AA362" i="30"/>
  <c r="AA363" i="30"/>
  <c r="AA364" i="30"/>
  <c r="AA365" i="30"/>
  <c r="AA366" i="30"/>
  <c r="AA367" i="30"/>
  <c r="AA368" i="30"/>
  <c r="AA369" i="30"/>
  <c r="AA370" i="30"/>
  <c r="AA371" i="30"/>
  <c r="AA372" i="30"/>
  <c r="AA373" i="30"/>
  <c r="AA374" i="30"/>
  <c r="AA375" i="30"/>
  <c r="AA376" i="30"/>
  <c r="AA377" i="30"/>
  <c r="AA378" i="30"/>
  <c r="AA379" i="30"/>
  <c r="AA380" i="30"/>
  <c r="AA381" i="30"/>
  <c r="AA382" i="30"/>
  <c r="AA383" i="30"/>
  <c r="AA384" i="30"/>
  <c r="AA385" i="30"/>
  <c r="AA386" i="30"/>
  <c r="AA387" i="30"/>
  <c r="AA388" i="30"/>
  <c r="AA389" i="30"/>
  <c r="AA390" i="30"/>
  <c r="AA391" i="30"/>
  <c r="AA392" i="30"/>
  <c r="AA393" i="30"/>
  <c r="AA394" i="30"/>
  <c r="AA395" i="30"/>
  <c r="AA396" i="30"/>
  <c r="AA397" i="30"/>
  <c r="AA398" i="30"/>
  <c r="AA399" i="30"/>
  <c r="AA400" i="30"/>
  <c r="AA401" i="30"/>
  <c r="AA402" i="30"/>
  <c r="AA403" i="30"/>
  <c r="AA404" i="30"/>
  <c r="AA405" i="30"/>
  <c r="AA406" i="30"/>
  <c r="AA407" i="30"/>
  <c r="AA408" i="30"/>
  <c r="AA409" i="30"/>
  <c r="AA410" i="30"/>
  <c r="AA411" i="30"/>
  <c r="AA412" i="30"/>
  <c r="AA413" i="30"/>
  <c r="AA414" i="30"/>
  <c r="AA415" i="30"/>
  <c r="AO14" i="31"/>
  <c r="AU5" i="31"/>
  <c r="D6" i="31"/>
  <c r="AU6" i="31"/>
  <c r="E4" i="31"/>
  <c r="AN55" i="31"/>
  <c r="AN16" i="31"/>
  <c r="AO16" i="31"/>
  <c r="A18" i="59"/>
  <c r="D11" i="25"/>
  <c r="K27" i="30"/>
  <c r="E13" i="25"/>
  <c r="E12" i="25"/>
  <c r="D12" i="25"/>
  <c r="D8" i="25"/>
  <c r="D9" i="25"/>
  <c r="E8" i="25"/>
  <c r="G30" i="10"/>
  <c r="L22" i="10"/>
  <c r="J17" i="30"/>
  <c r="J18" i="30"/>
  <c r="M11" i="30"/>
  <c r="M17" i="30"/>
  <c r="O29" i="57"/>
  <c r="M30" i="57"/>
  <c r="N30" i="57"/>
  <c r="O26" i="57"/>
  <c r="E34" i="57"/>
  <c r="D38" i="57"/>
  <c r="AO8" i="57"/>
  <c r="C23" i="57"/>
  <c r="AO23" i="57"/>
  <c r="Q4" i="57"/>
  <c r="AU18" i="57"/>
  <c r="Q51" i="56"/>
  <c r="P52" i="56"/>
  <c r="R38" i="57"/>
  <c r="R53" i="57"/>
  <c r="S36" i="57"/>
  <c r="AB38" i="57"/>
  <c r="AN37" i="57"/>
  <c r="P25" i="57"/>
  <c r="P6" i="57"/>
  <c r="G13" i="11"/>
  <c r="G14" i="11"/>
  <c r="H6" i="11"/>
  <c r="H10" i="11"/>
  <c r="G5" i="11"/>
  <c r="D21" i="12"/>
  <c r="K26" i="30"/>
  <c r="K25" i="30"/>
  <c r="K22" i="30"/>
  <c r="AI26" i="29"/>
  <c r="K24" i="30"/>
  <c r="E7" i="25"/>
  <c r="E9" i="25"/>
  <c r="F5" i="25"/>
  <c r="F11" i="25"/>
  <c r="K29" i="30"/>
  <c r="T37" i="29"/>
  <c r="V37" i="29"/>
  <c r="X37" i="29"/>
  <c r="O36" i="29"/>
  <c r="T36" i="29"/>
  <c r="V36" i="29"/>
  <c r="X36" i="29"/>
  <c r="E11" i="25"/>
  <c r="E4" i="25"/>
  <c r="E16" i="11"/>
  <c r="G16" i="11"/>
  <c r="D6" i="28"/>
  <c r="G38" i="27"/>
  <c r="G42" i="27"/>
  <c r="D9" i="28"/>
  <c r="G41" i="27"/>
  <c r="T30" i="29"/>
  <c r="V30" i="29"/>
  <c r="X30" i="29"/>
  <c r="S30" i="29"/>
  <c r="N30" i="29"/>
  <c r="O29" i="29"/>
  <c r="J23" i="58"/>
  <c r="AN11" i="31"/>
  <c r="P37" i="10"/>
  <c r="K12" i="24"/>
  <c r="D8" i="28"/>
  <c r="G40" i="27"/>
  <c r="E6" i="31"/>
  <c r="A19" i="59"/>
  <c r="D33" i="12"/>
  <c r="H22" i="12"/>
  <c r="H25" i="12"/>
  <c r="D10" i="25"/>
  <c r="D15" i="25"/>
  <c r="E49" i="58"/>
  <c r="M23" i="58"/>
  <c r="F6" i="25"/>
  <c r="F12" i="25"/>
  <c r="G5" i="25"/>
  <c r="F7" i="25"/>
  <c r="F13" i="25"/>
  <c r="F4" i="25"/>
  <c r="F8" i="25"/>
  <c r="F9" i="25"/>
  <c r="E10" i="25"/>
  <c r="E15" i="25"/>
  <c r="E17" i="11"/>
  <c r="G17" i="11"/>
  <c r="S38" i="57"/>
  <c r="S53" i="57"/>
  <c r="T36" i="57"/>
  <c r="C25" i="57"/>
  <c r="P26" i="57"/>
  <c r="P29" i="57"/>
  <c r="O30" i="57"/>
  <c r="AB53" i="57"/>
  <c r="AB40" i="57"/>
  <c r="P53" i="56"/>
  <c r="Q52" i="56"/>
  <c r="AU19" i="57"/>
  <c r="R4" i="57"/>
  <c r="D53" i="57"/>
  <c r="D40" i="57"/>
  <c r="Q25" i="57"/>
  <c r="Q6" i="57"/>
  <c r="K34" i="57"/>
  <c r="K38" i="57"/>
  <c r="J34" i="57"/>
  <c r="J38" i="57"/>
  <c r="P34" i="57"/>
  <c r="P38" i="57"/>
  <c r="P53" i="57"/>
  <c r="H34" i="57"/>
  <c r="H38" i="57"/>
  <c r="L34" i="57"/>
  <c r="L38" i="57"/>
  <c r="I34" i="57"/>
  <c r="I38" i="57"/>
  <c r="G34" i="57"/>
  <c r="G38" i="57"/>
  <c r="F34" i="57"/>
  <c r="Q34" i="57"/>
  <c r="Q38" i="57"/>
  <c r="Q53" i="57"/>
  <c r="O34" i="57"/>
  <c r="O38" i="57"/>
  <c r="O53" i="57"/>
  <c r="E38" i="57"/>
  <c r="N34" i="57"/>
  <c r="N38" i="57"/>
  <c r="M34" i="57"/>
  <c r="M38" i="57"/>
  <c r="I6" i="11"/>
  <c r="J6" i="11"/>
  <c r="H5" i="11"/>
  <c r="H13" i="11"/>
  <c r="H8" i="11"/>
  <c r="H15" i="11"/>
  <c r="H14" i="11"/>
  <c r="S36" i="29"/>
  <c r="N36" i="29"/>
  <c r="AH26" i="29"/>
  <c r="K31" i="30"/>
  <c r="N10" i="30"/>
  <c r="N17" i="30"/>
  <c r="N11" i="30"/>
  <c r="H16" i="11"/>
  <c r="I22" i="10"/>
  <c r="G10" i="28"/>
  <c r="G8" i="28"/>
  <c r="G9" i="28"/>
  <c r="G6" i="28"/>
  <c r="H9" i="28"/>
  <c r="G13" i="25"/>
  <c r="G7" i="25"/>
  <c r="G12" i="25"/>
  <c r="G6" i="25"/>
  <c r="H5" i="25"/>
  <c r="G11" i="25"/>
  <c r="G4" i="25"/>
  <c r="G8" i="25"/>
  <c r="G9" i="25"/>
  <c r="L12" i="24"/>
  <c r="AO11" i="31"/>
  <c r="Q37" i="10"/>
  <c r="T29" i="29"/>
  <c r="S29" i="29"/>
  <c r="N29" i="29"/>
  <c r="A20" i="59"/>
  <c r="F10" i="25"/>
  <c r="F14" i="25"/>
  <c r="D27" i="12"/>
  <c r="D28" i="12"/>
  <c r="D35" i="12"/>
  <c r="D36" i="12"/>
  <c r="D14" i="25"/>
  <c r="D17" i="25"/>
  <c r="E14" i="25"/>
  <c r="E17" i="25"/>
  <c r="K46" i="30"/>
  <c r="K57" i="30"/>
  <c r="H17" i="11"/>
  <c r="F38" i="57"/>
  <c r="AN34" i="57"/>
  <c r="P54" i="56"/>
  <c r="Q53" i="56"/>
  <c r="G53" i="57"/>
  <c r="G40" i="57"/>
  <c r="Q29" i="57"/>
  <c r="I53" i="57"/>
  <c r="I40" i="57"/>
  <c r="M53" i="57"/>
  <c r="M40" i="57"/>
  <c r="L53" i="57"/>
  <c r="L40" i="57"/>
  <c r="P30" i="57"/>
  <c r="P40" i="57"/>
  <c r="N53" i="57"/>
  <c r="N40" i="57"/>
  <c r="H53" i="57"/>
  <c r="H40" i="57"/>
  <c r="O40" i="57"/>
  <c r="Q26" i="57"/>
  <c r="E53" i="57"/>
  <c r="E40" i="57"/>
  <c r="E41" i="57"/>
  <c r="J53" i="57"/>
  <c r="J40" i="57"/>
  <c r="U36" i="57"/>
  <c r="T38" i="57"/>
  <c r="T53" i="57"/>
  <c r="K53" i="57"/>
  <c r="K40" i="57"/>
  <c r="R25" i="57"/>
  <c r="R6" i="57"/>
  <c r="AU20" i="57"/>
  <c r="S4" i="57"/>
  <c r="D30" i="12"/>
  <c r="I10" i="11"/>
  <c r="I14" i="11"/>
  <c r="I15" i="11"/>
  <c r="I5" i="11"/>
  <c r="I13" i="11"/>
  <c r="I8" i="11"/>
  <c r="I17" i="11"/>
  <c r="E20" i="11"/>
  <c r="G20" i="11"/>
  <c r="L23" i="10"/>
  <c r="C20" i="11"/>
  <c r="H6" i="28"/>
  <c r="I6" i="28"/>
  <c r="G12" i="28"/>
  <c r="H8" i="28"/>
  <c r="H5" i="28"/>
  <c r="H10" i="28"/>
  <c r="M12" i="24"/>
  <c r="R37" i="10"/>
  <c r="X29" i="29"/>
  <c r="V29" i="29"/>
  <c r="J16" i="11"/>
  <c r="K6" i="11"/>
  <c r="J5" i="11"/>
  <c r="J15" i="11"/>
  <c r="J13" i="11"/>
  <c r="G10" i="25"/>
  <c r="H12" i="25"/>
  <c r="H6" i="25"/>
  <c r="I5" i="25"/>
  <c r="H11" i="25"/>
  <c r="H4" i="25"/>
  <c r="H13" i="25"/>
  <c r="H9" i="25"/>
  <c r="H7" i="25"/>
  <c r="H8" i="25"/>
  <c r="A21" i="59"/>
  <c r="F15" i="25"/>
  <c r="F17" i="25"/>
  <c r="D37" i="12"/>
  <c r="S25" i="57"/>
  <c r="S6" i="57"/>
  <c r="U38" i="57"/>
  <c r="U53" i="57"/>
  <c r="V36" i="57"/>
  <c r="P55" i="56"/>
  <c r="Q54" i="56"/>
  <c r="R29" i="57"/>
  <c r="F53" i="57"/>
  <c r="F40" i="57"/>
  <c r="Q30" i="57"/>
  <c r="Q40" i="57"/>
  <c r="AU21" i="57"/>
  <c r="T4" i="57"/>
  <c r="R26" i="57"/>
  <c r="J10" i="11"/>
  <c r="J14" i="11"/>
  <c r="J8" i="11"/>
  <c r="J17" i="11"/>
  <c r="J20" i="11"/>
  <c r="G13" i="28"/>
  <c r="E23" i="11"/>
  <c r="I23" i="11"/>
  <c r="E21" i="11"/>
  <c r="K21" i="11"/>
  <c r="L24" i="10"/>
  <c r="C21" i="11"/>
  <c r="H20" i="11"/>
  <c r="I20" i="11"/>
  <c r="E22" i="11"/>
  <c r="K22" i="11"/>
  <c r="I9" i="28"/>
  <c r="I10" i="28"/>
  <c r="I5" i="28"/>
  <c r="I8" i="28"/>
  <c r="H12" i="28"/>
  <c r="N12" i="24"/>
  <c r="H10" i="25"/>
  <c r="I13" i="25"/>
  <c r="I11" i="25"/>
  <c r="I4" i="25"/>
  <c r="I9" i="25"/>
  <c r="I8" i="25"/>
  <c r="I12" i="25"/>
  <c r="I6" i="25"/>
  <c r="J5" i="25"/>
  <c r="I7" i="25"/>
  <c r="K5" i="11"/>
  <c r="K15" i="11"/>
  <c r="K20" i="11"/>
  <c r="K16" i="11"/>
  <c r="L6" i="11"/>
  <c r="K13" i="11"/>
  <c r="S37" i="10"/>
  <c r="G15" i="25"/>
  <c r="G14" i="25"/>
  <c r="D18" i="25"/>
  <c r="A22" i="59"/>
  <c r="C10" i="28"/>
  <c r="S26" i="57"/>
  <c r="R30" i="57"/>
  <c r="R40" i="57"/>
  <c r="W36" i="57"/>
  <c r="V38" i="57"/>
  <c r="V53" i="57"/>
  <c r="F41" i="57"/>
  <c r="G41" i="57"/>
  <c r="H41" i="57"/>
  <c r="I41" i="57"/>
  <c r="J41" i="57"/>
  <c r="K41" i="57"/>
  <c r="L41" i="57"/>
  <c r="M41" i="57"/>
  <c r="N41" i="57"/>
  <c r="O41" i="57"/>
  <c r="P41" i="57"/>
  <c r="Q41" i="57"/>
  <c r="S29" i="57"/>
  <c r="AU22" i="57"/>
  <c r="U4" i="57"/>
  <c r="T6" i="57"/>
  <c r="T25" i="57"/>
  <c r="Q55" i="56"/>
  <c r="P56" i="56"/>
  <c r="K10" i="11"/>
  <c r="K14" i="11"/>
  <c r="K8" i="11"/>
  <c r="K17" i="11"/>
  <c r="H13" i="28"/>
  <c r="K23" i="11"/>
  <c r="G23" i="11"/>
  <c r="J23" i="11"/>
  <c r="H23" i="11"/>
  <c r="I21" i="11"/>
  <c r="H21" i="11"/>
  <c r="J21" i="11"/>
  <c r="G21" i="11"/>
  <c r="I22" i="11"/>
  <c r="G22" i="11"/>
  <c r="H22" i="11"/>
  <c r="J22" i="11"/>
  <c r="J5" i="28"/>
  <c r="I12" i="28"/>
  <c r="J6" i="28"/>
  <c r="L22" i="11"/>
  <c r="L15" i="11"/>
  <c r="L20" i="11"/>
  <c r="L13" i="11"/>
  <c r="L21" i="11"/>
  <c r="M6" i="11"/>
  <c r="L23" i="11"/>
  <c r="L5" i="11"/>
  <c r="L16" i="11"/>
  <c r="T37" i="10"/>
  <c r="J9" i="25"/>
  <c r="J8" i="25"/>
  <c r="J7" i="25"/>
  <c r="J4" i="25"/>
  <c r="J6" i="25"/>
  <c r="K5" i="25"/>
  <c r="I10" i="25"/>
  <c r="E18" i="25"/>
  <c r="F18" i="25"/>
  <c r="H15" i="25"/>
  <c r="H14" i="25"/>
  <c r="G17" i="25"/>
  <c r="A23" i="59"/>
  <c r="T26" i="57"/>
  <c r="R41" i="57"/>
  <c r="U6" i="57"/>
  <c r="U25" i="57"/>
  <c r="Q56" i="56"/>
  <c r="P57" i="56"/>
  <c r="V4" i="57"/>
  <c r="AU23" i="57"/>
  <c r="X36" i="57"/>
  <c r="W38" i="57"/>
  <c r="W53" i="57"/>
  <c r="S30" i="57"/>
  <c r="S40" i="57"/>
  <c r="T29" i="57"/>
  <c r="L10" i="11"/>
  <c r="L14" i="11"/>
  <c r="L8" i="11"/>
  <c r="L17" i="11"/>
  <c r="K26" i="11"/>
  <c r="K27" i="11"/>
  <c r="I13" i="28"/>
  <c r="J10" i="25"/>
  <c r="J15" i="25"/>
  <c r="G18" i="25"/>
  <c r="G26" i="11"/>
  <c r="H26" i="11"/>
  <c r="H27" i="11"/>
  <c r="J26" i="11"/>
  <c r="J27" i="11"/>
  <c r="K5" i="28"/>
  <c r="K6" i="28"/>
  <c r="J12" i="28"/>
  <c r="M22" i="11"/>
  <c r="M15" i="11"/>
  <c r="M20" i="11"/>
  <c r="M13" i="11"/>
  <c r="M23" i="11"/>
  <c r="M5" i="11"/>
  <c r="N6" i="11"/>
  <c r="M21" i="11"/>
  <c r="I15" i="25"/>
  <c r="I14" i="25"/>
  <c r="H17" i="25"/>
  <c r="K9" i="25"/>
  <c r="K8" i="25"/>
  <c r="K7" i="25"/>
  <c r="K6" i="25"/>
  <c r="L5" i="25"/>
  <c r="K4" i="25"/>
  <c r="U37" i="10"/>
  <c r="A24" i="59"/>
  <c r="S41" i="57"/>
  <c r="V25" i="57"/>
  <c r="V6" i="57"/>
  <c r="AN6" i="57"/>
  <c r="AO6" i="57"/>
  <c r="Q57" i="56"/>
  <c r="P63" i="56"/>
  <c r="Q63" i="56"/>
  <c r="T40" i="57"/>
  <c r="T30" i="57"/>
  <c r="AU24" i="57"/>
  <c r="W4" i="57"/>
  <c r="W25" i="57"/>
  <c r="U29" i="57"/>
  <c r="X38" i="57"/>
  <c r="X53" i="57"/>
  <c r="Y36" i="57"/>
  <c r="U26" i="57"/>
  <c r="M10" i="11"/>
  <c r="M14" i="11"/>
  <c r="H18" i="25"/>
  <c r="M8" i="11"/>
  <c r="M17" i="11"/>
  <c r="L26" i="11"/>
  <c r="L27" i="11"/>
  <c r="J14" i="25"/>
  <c r="J17" i="25"/>
  <c r="J13" i="28"/>
  <c r="K10" i="25"/>
  <c r="K15" i="25"/>
  <c r="G28" i="11"/>
  <c r="H28" i="11"/>
  <c r="G27" i="11"/>
  <c r="G29" i="11"/>
  <c r="H29" i="11"/>
  <c r="L5" i="28"/>
  <c r="L6" i="28"/>
  <c r="K12" i="28"/>
  <c r="V37" i="10"/>
  <c r="I17" i="25"/>
  <c r="N20" i="11"/>
  <c r="N13" i="11"/>
  <c r="N23" i="11"/>
  <c r="N16" i="11"/>
  <c r="N21" i="11"/>
  <c r="O6" i="11"/>
  <c r="N22" i="11"/>
  <c r="N15" i="11"/>
  <c r="N5" i="11"/>
  <c r="L8" i="25"/>
  <c r="L7" i="25"/>
  <c r="L6" i="25"/>
  <c r="M5" i="25"/>
  <c r="L4" i="25"/>
  <c r="L9" i="25"/>
  <c r="A25" i="59"/>
  <c r="T41" i="57"/>
  <c r="I18" i="25"/>
  <c r="J18" i="25"/>
  <c r="V29" i="57"/>
  <c r="Y38" i="57"/>
  <c r="Z36" i="57"/>
  <c r="J84" i="56"/>
  <c r="J74" i="56"/>
  <c r="J80" i="56"/>
  <c r="J83" i="56"/>
  <c r="J77" i="56"/>
  <c r="J73" i="56"/>
  <c r="J75" i="56"/>
  <c r="J82" i="56"/>
  <c r="J79" i="56"/>
  <c r="J76" i="56"/>
  <c r="J81" i="56"/>
  <c r="J78" i="56"/>
  <c r="Q64" i="56"/>
  <c r="X4" i="57"/>
  <c r="AU25" i="57"/>
  <c r="U40" i="57"/>
  <c r="U30" i="57"/>
  <c r="W29" i="57"/>
  <c r="V26" i="57"/>
  <c r="W26" i="57"/>
  <c r="N10" i="11"/>
  <c r="N14" i="11"/>
  <c r="N8" i="11"/>
  <c r="N17" i="11"/>
  <c r="K13" i="28"/>
  <c r="K14" i="25"/>
  <c r="K17" i="25"/>
  <c r="L10" i="25"/>
  <c r="L15" i="25"/>
  <c r="M5" i="28"/>
  <c r="M6" i="28"/>
  <c r="L12" i="28"/>
  <c r="M6" i="25"/>
  <c r="N5" i="25"/>
  <c r="M4" i="25"/>
  <c r="M8" i="25"/>
  <c r="M9" i="25"/>
  <c r="W37" i="10"/>
  <c r="O23" i="11"/>
  <c r="O16" i="11"/>
  <c r="O21" i="11"/>
  <c r="P6" i="11"/>
  <c r="O5" i="11"/>
  <c r="O20" i="11"/>
  <c r="O22" i="11"/>
  <c r="O15" i="11"/>
  <c r="O13" i="11"/>
  <c r="A26" i="59"/>
  <c r="U41" i="57"/>
  <c r="N6" i="28"/>
  <c r="N5" i="28"/>
  <c r="Z38" i="57"/>
  <c r="AA36" i="57"/>
  <c r="X25" i="57"/>
  <c r="AN4" i="57"/>
  <c r="Y53" i="57"/>
  <c r="Y40" i="57"/>
  <c r="J86" i="56"/>
  <c r="J91" i="56"/>
  <c r="K91" i="56"/>
  <c r="H91" i="56"/>
  <c r="J93" i="56"/>
  <c r="K93" i="56"/>
  <c r="H93" i="56"/>
  <c r="V40" i="57"/>
  <c r="V30" i="57"/>
  <c r="W30" i="57"/>
  <c r="W40" i="57"/>
  <c r="O10" i="11"/>
  <c r="O14" i="11"/>
  <c r="N26" i="11"/>
  <c r="N27" i="11"/>
  <c r="O8" i="11"/>
  <c r="O17" i="11"/>
  <c r="L13" i="28"/>
  <c r="L14" i="25"/>
  <c r="L17" i="25"/>
  <c r="K18" i="25"/>
  <c r="M12" i="28"/>
  <c r="X37" i="10"/>
  <c r="P23" i="11"/>
  <c r="P16" i="11"/>
  <c r="P21" i="11"/>
  <c r="Q6" i="11"/>
  <c r="P5" i="11"/>
  <c r="P22" i="11"/>
  <c r="P15" i="11"/>
  <c r="P13" i="11"/>
  <c r="P20" i="11"/>
  <c r="N6" i="25"/>
  <c r="O5" i="25"/>
  <c r="N4" i="25"/>
  <c r="N8" i="25"/>
  <c r="M10" i="25"/>
  <c r="O6" i="28"/>
  <c r="O5" i="28"/>
  <c r="P4" i="28"/>
  <c r="P6" i="28"/>
  <c r="A3" i="59"/>
  <c r="V41" i="57"/>
  <c r="W41" i="57"/>
  <c r="N12" i="28"/>
  <c r="X29" i="57"/>
  <c r="AN25" i="57"/>
  <c r="AA38" i="57"/>
  <c r="AN36" i="57"/>
  <c r="AO37" i="57"/>
  <c r="Z53" i="57"/>
  <c r="Z40" i="57"/>
  <c r="J87" i="56"/>
  <c r="J95" i="56"/>
  <c r="K95" i="56"/>
  <c r="H95" i="56"/>
  <c r="H97" i="56"/>
  <c r="J97" i="56"/>
  <c r="X26" i="57"/>
  <c r="Y26" i="57"/>
  <c r="Z26" i="57"/>
  <c r="AA26" i="57"/>
  <c r="AB26" i="57"/>
  <c r="AC26" i="57"/>
  <c r="AD26" i="57"/>
  <c r="AE26" i="57"/>
  <c r="AF26" i="57"/>
  <c r="AG26" i="57"/>
  <c r="AH26" i="57"/>
  <c r="AI26" i="57"/>
  <c r="AJ26" i="57"/>
  <c r="AK26" i="57"/>
  <c r="AL26" i="57"/>
  <c r="AM26" i="57"/>
  <c r="P10" i="11"/>
  <c r="P14" i="11"/>
  <c r="O26" i="11"/>
  <c r="O27" i="11"/>
  <c r="P8" i="11"/>
  <c r="P17" i="11"/>
  <c r="M13" i="28"/>
  <c r="F57" i="27"/>
  <c r="L18" i="25"/>
  <c r="N10" i="25"/>
  <c r="O4" i="25"/>
  <c r="O8" i="25"/>
  <c r="O6" i="25"/>
  <c r="P5" i="25"/>
  <c r="M15" i="25"/>
  <c r="M14" i="25"/>
  <c r="Q21" i="11"/>
  <c r="Q5" i="11"/>
  <c r="Q22" i="11"/>
  <c r="Q15" i="11"/>
  <c r="Q20" i="11"/>
  <c r="Q23" i="11"/>
  <c r="Q16" i="11"/>
  <c r="R6" i="11"/>
  <c r="Q13" i="11"/>
  <c r="Q4" i="28"/>
  <c r="Q6" i="28"/>
  <c r="P5" i="28"/>
  <c r="N13" i="28"/>
  <c r="C2" i="59"/>
  <c r="AP37" i="57"/>
  <c r="AQ37" i="57"/>
  <c r="AA53" i="57"/>
  <c r="AA40" i="57"/>
  <c r="AN38" i="57"/>
  <c r="X30" i="57"/>
  <c r="Y30" i="57"/>
  <c r="Z30" i="57"/>
  <c r="AA30" i="57"/>
  <c r="AB30" i="57"/>
  <c r="AC30" i="57"/>
  <c r="AD30" i="57"/>
  <c r="AE30" i="57"/>
  <c r="AF30" i="57"/>
  <c r="AG30" i="57"/>
  <c r="AH30" i="57"/>
  <c r="AI30" i="57"/>
  <c r="AJ30" i="57"/>
  <c r="AK30" i="57"/>
  <c r="AL30" i="57"/>
  <c r="AM30" i="57"/>
  <c r="X40" i="57"/>
  <c r="X41" i="57"/>
  <c r="Y41" i="57"/>
  <c r="Z41" i="57"/>
  <c r="AN29" i="57"/>
  <c r="Q10" i="11"/>
  <c r="Q14" i="11"/>
  <c r="P26" i="11"/>
  <c r="P27" i="11"/>
  <c r="Q8" i="11"/>
  <c r="Q17" i="11"/>
  <c r="M17" i="25"/>
  <c r="M18" i="25"/>
  <c r="N15" i="25"/>
  <c r="N14" i="25"/>
  <c r="R15" i="11"/>
  <c r="R20" i="11"/>
  <c r="R13" i="11"/>
  <c r="R21" i="11"/>
  <c r="S6" i="11"/>
  <c r="R5" i="11"/>
  <c r="R16" i="11"/>
  <c r="P8" i="25"/>
  <c r="P4" i="25"/>
  <c r="P6" i="25"/>
  <c r="Q5" i="25"/>
  <c r="O10" i="25"/>
  <c r="Q5" i="28"/>
  <c r="R4" i="28"/>
  <c r="R6" i="28"/>
  <c r="AA41" i="57"/>
  <c r="AA42" i="57"/>
  <c r="AA43" i="57"/>
  <c r="AA44" i="57"/>
  <c r="AN40" i="57"/>
  <c r="AP39" i="57"/>
  <c r="C54" i="57"/>
  <c r="R10" i="11"/>
  <c r="R14" i="11"/>
  <c r="Q26" i="11"/>
  <c r="Q27" i="11"/>
  <c r="R8" i="11"/>
  <c r="R17" i="11"/>
  <c r="N17" i="25"/>
  <c r="N18" i="25"/>
  <c r="P10" i="25"/>
  <c r="O15" i="25"/>
  <c r="O14" i="25"/>
  <c r="S22" i="11"/>
  <c r="S15" i="11"/>
  <c r="S20" i="11"/>
  <c r="S13" i="11"/>
  <c r="S23" i="11"/>
  <c r="S16" i="11"/>
  <c r="S5" i="11"/>
  <c r="S21" i="11"/>
  <c r="T6" i="11"/>
  <c r="S8" i="11"/>
  <c r="S17" i="11"/>
  <c r="S10" i="11"/>
  <c r="S14" i="11"/>
  <c r="Q8" i="25"/>
  <c r="Q6" i="25"/>
  <c r="R5" i="25"/>
  <c r="Q4" i="25"/>
  <c r="R5" i="28"/>
  <c r="S4" i="28"/>
  <c r="S6" i="28"/>
  <c r="AB41" i="57"/>
  <c r="AB42" i="57"/>
  <c r="AB43" i="57"/>
  <c r="AB44" i="57"/>
  <c r="C62" i="57"/>
  <c r="C63" i="57"/>
  <c r="N79" i="56"/>
  <c r="N73" i="56"/>
  <c r="O17" i="25"/>
  <c r="O18" i="25"/>
  <c r="Q10" i="25"/>
  <c r="S26" i="11"/>
  <c r="S27" i="11"/>
  <c r="P15" i="25"/>
  <c r="P14" i="25"/>
  <c r="R8" i="25"/>
  <c r="R7" i="25"/>
  <c r="R6" i="25"/>
  <c r="S5" i="25"/>
  <c r="R4" i="25"/>
  <c r="T20" i="11"/>
  <c r="T13" i="11"/>
  <c r="T23" i="11"/>
  <c r="T16" i="11"/>
  <c r="T21" i="11"/>
  <c r="U6" i="11"/>
  <c r="T22" i="11"/>
  <c r="T15" i="11"/>
  <c r="T5" i="11"/>
  <c r="T8" i="11"/>
  <c r="T17" i="11"/>
  <c r="T10" i="11"/>
  <c r="T14" i="11"/>
  <c r="T4" i="28"/>
  <c r="T6" i="28"/>
  <c r="S5" i="28"/>
  <c r="O98" i="56"/>
  <c r="O99" i="56"/>
  <c r="AC41" i="57"/>
  <c r="AD41" i="57"/>
  <c r="AE41" i="57"/>
  <c r="AF41" i="57"/>
  <c r="AG41" i="57"/>
  <c r="AH41" i="57"/>
  <c r="AI41" i="57"/>
  <c r="AJ41" i="57"/>
  <c r="AK41" i="57"/>
  <c r="AL41" i="57"/>
  <c r="AM41" i="57"/>
  <c r="P17" i="25"/>
  <c r="P18" i="25"/>
  <c r="Q14" i="25"/>
  <c r="Q15" i="25"/>
  <c r="T26" i="11"/>
  <c r="T27" i="11"/>
  <c r="U23" i="11"/>
  <c r="U16" i="11"/>
  <c r="U21" i="11"/>
  <c r="V6" i="11"/>
  <c r="U5" i="11"/>
  <c r="U20" i="11"/>
  <c r="U22" i="11"/>
  <c r="U13" i="11"/>
  <c r="U15" i="11"/>
  <c r="U10" i="11"/>
  <c r="U14" i="11"/>
  <c r="U8" i="11"/>
  <c r="U17" i="11"/>
  <c r="R10" i="25"/>
  <c r="S7" i="25"/>
  <c r="S6" i="25"/>
  <c r="T5" i="25"/>
  <c r="S4" i="25"/>
  <c r="S8" i="25"/>
  <c r="T5" i="28"/>
  <c r="U4" i="28"/>
  <c r="U6" i="28"/>
  <c r="O100" i="56"/>
  <c r="O101" i="56"/>
  <c r="O102" i="56"/>
  <c r="O103" i="56"/>
  <c r="T6" i="25"/>
  <c r="U5" i="25"/>
  <c r="T4" i="25"/>
  <c r="T7" i="25"/>
  <c r="T8" i="25"/>
  <c r="V23" i="11"/>
  <c r="V16" i="11"/>
  <c r="V21" i="11"/>
  <c r="W6" i="11"/>
  <c r="V5" i="11"/>
  <c r="V22" i="11"/>
  <c r="V15" i="11"/>
  <c r="V13" i="11"/>
  <c r="V20" i="11"/>
  <c r="V8" i="11"/>
  <c r="V17" i="11"/>
  <c r="V10" i="11"/>
  <c r="V14" i="11"/>
  <c r="U26" i="11"/>
  <c r="U27" i="11"/>
  <c r="R14" i="25"/>
  <c r="R15" i="25"/>
  <c r="S10" i="25"/>
  <c r="U5" i="28"/>
  <c r="V4" i="28"/>
  <c r="V6" i="28"/>
  <c r="T10" i="25"/>
  <c r="T15" i="25"/>
  <c r="S15" i="25"/>
  <c r="S14" i="25"/>
  <c r="U4" i="25"/>
  <c r="U8" i="25"/>
  <c r="U6" i="25"/>
  <c r="V5" i="25"/>
  <c r="U7" i="25"/>
  <c r="W21" i="11"/>
  <c r="W5" i="11"/>
  <c r="W22" i="11"/>
  <c r="W15" i="11"/>
  <c r="W20" i="11"/>
  <c r="W23" i="11"/>
  <c r="W16" i="11"/>
  <c r="W13" i="11"/>
  <c r="X6" i="11"/>
  <c r="W10" i="11"/>
  <c r="W14" i="11"/>
  <c r="W8" i="11"/>
  <c r="W17" i="11"/>
  <c r="V26" i="11"/>
  <c r="V27" i="11"/>
  <c r="W4" i="28"/>
  <c r="W6" i="28"/>
  <c r="V5" i="28"/>
  <c r="T14" i="25"/>
  <c r="X22" i="11"/>
  <c r="X15" i="11"/>
  <c r="X20" i="11"/>
  <c r="X13" i="11"/>
  <c r="X21" i="11"/>
  <c r="Y6" i="11"/>
  <c r="X23" i="11"/>
  <c r="X16" i="11"/>
  <c r="X5" i="11"/>
  <c r="X8" i="11"/>
  <c r="X17" i="11"/>
  <c r="X10" i="11"/>
  <c r="X14" i="11"/>
  <c r="W26" i="11"/>
  <c r="W27" i="11"/>
  <c r="V8" i="25"/>
  <c r="V7" i="25"/>
  <c r="V4" i="25"/>
  <c r="W5" i="25"/>
  <c r="V6" i="25"/>
  <c r="U10" i="25"/>
  <c r="W5" i="28"/>
  <c r="X4" i="28"/>
  <c r="X6" i="28"/>
  <c r="V10" i="25"/>
  <c r="V14" i="25"/>
  <c r="U15" i="25"/>
  <c r="U14" i="25"/>
  <c r="X26" i="11"/>
  <c r="X27" i="11"/>
  <c r="W8" i="25"/>
  <c r="W7" i="25"/>
  <c r="W6" i="25"/>
  <c r="X5" i="25"/>
  <c r="W4" i="25"/>
  <c r="Y22" i="11"/>
  <c r="Y15" i="11"/>
  <c r="Y20" i="11"/>
  <c r="Y13" i="11"/>
  <c r="Y23" i="11"/>
  <c r="Y16" i="11"/>
  <c r="Y5" i="11"/>
  <c r="Y21" i="11"/>
  <c r="Z6" i="11"/>
  <c r="Y10" i="11"/>
  <c r="Y14" i="11"/>
  <c r="Y8" i="11"/>
  <c r="Y17" i="11"/>
  <c r="Y4" i="28"/>
  <c r="Y6" i="28"/>
  <c r="X5" i="28"/>
  <c r="V15" i="25"/>
  <c r="W10" i="25"/>
  <c r="W15" i="25"/>
  <c r="X8" i="25"/>
  <c r="X7" i="25"/>
  <c r="X6" i="25"/>
  <c r="Y5" i="25"/>
  <c r="X4" i="25"/>
  <c r="Z20" i="11"/>
  <c r="Z13" i="11"/>
  <c r="Z23" i="11"/>
  <c r="Z16" i="11"/>
  <c r="Z21" i="11"/>
  <c r="AA6" i="11"/>
  <c r="Z22" i="11"/>
  <c r="Z15" i="11"/>
  <c r="Z5" i="11"/>
  <c r="Z8" i="11"/>
  <c r="Z17" i="11"/>
  <c r="Z10" i="11"/>
  <c r="Z14" i="11"/>
  <c r="Y26" i="11"/>
  <c r="Y27" i="11"/>
  <c r="Z4" i="28"/>
  <c r="Z6" i="28"/>
  <c r="Y5" i="28"/>
  <c r="X10" i="25"/>
  <c r="X14" i="25"/>
  <c r="W14" i="25"/>
  <c r="AA13" i="11"/>
  <c r="AA23" i="11"/>
  <c r="AA16" i="11"/>
  <c r="AA21" i="11"/>
  <c r="AB6" i="11"/>
  <c r="AA5" i="11"/>
  <c r="AA20" i="11"/>
  <c r="AA22" i="11"/>
  <c r="AA15" i="11"/>
  <c r="AA10" i="11"/>
  <c r="AA14" i="11"/>
  <c r="AA8" i="11"/>
  <c r="AA17" i="11"/>
  <c r="Y7" i="25"/>
  <c r="Y6" i="25"/>
  <c r="Z5" i="25"/>
  <c r="Y4" i="25"/>
  <c r="Y8" i="25"/>
  <c r="Z26" i="11"/>
  <c r="Z27" i="11"/>
  <c r="AA4" i="28"/>
  <c r="AA6" i="28"/>
  <c r="Z5" i="28"/>
  <c r="X15" i="25"/>
  <c r="Y10" i="25"/>
  <c r="Y14" i="25"/>
  <c r="AA26" i="11"/>
  <c r="AA27" i="11"/>
  <c r="Z6" i="25"/>
  <c r="AA5" i="25"/>
  <c r="Z4" i="25"/>
  <c r="Z7" i="25"/>
  <c r="Z8" i="25"/>
  <c r="AB23" i="11"/>
  <c r="AB16" i="11"/>
  <c r="AB21" i="11"/>
  <c r="AC6" i="11"/>
  <c r="AB5" i="11"/>
  <c r="AB22" i="11"/>
  <c r="AB15" i="11"/>
  <c r="AB13" i="11"/>
  <c r="AB20" i="11"/>
  <c r="AB10" i="11"/>
  <c r="AB14" i="11"/>
  <c r="AB8" i="11"/>
  <c r="AB17" i="11"/>
  <c r="AB4" i="28"/>
  <c r="AB6" i="28"/>
  <c r="AA5" i="28"/>
  <c r="Y15" i="25"/>
  <c r="AB26" i="11"/>
  <c r="AB27" i="11"/>
  <c r="Z10" i="25"/>
  <c r="AA4" i="25"/>
  <c r="AA8" i="25"/>
  <c r="AA6" i="25"/>
  <c r="AB5" i="25"/>
  <c r="AA7" i="25"/>
  <c r="AC21" i="11"/>
  <c r="AC5" i="11"/>
  <c r="AC22" i="11"/>
  <c r="AC15" i="11"/>
  <c r="AC20" i="11"/>
  <c r="AC23" i="11"/>
  <c r="AC16" i="11"/>
  <c r="AC13" i="11"/>
  <c r="AD6" i="11"/>
  <c r="AC10" i="11"/>
  <c r="AC14" i="11"/>
  <c r="AC8" i="11"/>
  <c r="AC17" i="11"/>
  <c r="AC4" i="28"/>
  <c r="AC6" i="28"/>
  <c r="AB5" i="28"/>
  <c r="AA10" i="25"/>
  <c r="AA15" i="25"/>
  <c r="Z15" i="25"/>
  <c r="Z14" i="25"/>
  <c r="AD22" i="11"/>
  <c r="AD15" i="11"/>
  <c r="AD20" i="11"/>
  <c r="AD13" i="11"/>
  <c r="AD21" i="11"/>
  <c r="AE6" i="11"/>
  <c r="AD16" i="11"/>
  <c r="AD5" i="11"/>
  <c r="AD23" i="11"/>
  <c r="AD8" i="11"/>
  <c r="AD17" i="11"/>
  <c r="AD10" i="11"/>
  <c r="AD14" i="11"/>
  <c r="AC26" i="11"/>
  <c r="AC27" i="11"/>
  <c r="AB8" i="25"/>
  <c r="AB7" i="25"/>
  <c r="AB4" i="25"/>
  <c r="AC5" i="25"/>
  <c r="AB6" i="25"/>
  <c r="AD4" i="28"/>
  <c r="AD6" i="28"/>
  <c r="AC5" i="28"/>
  <c r="AA14" i="25"/>
  <c r="AB10" i="25"/>
  <c r="AE22" i="11"/>
  <c r="AE15" i="11"/>
  <c r="AE20" i="11"/>
  <c r="AE13" i="11"/>
  <c r="AE23" i="11"/>
  <c r="AE16" i="11"/>
  <c r="AE5" i="11"/>
  <c r="AF6" i="11"/>
  <c r="AE21" i="11"/>
  <c r="AE8" i="11"/>
  <c r="AE17" i="11"/>
  <c r="AE10" i="11"/>
  <c r="AE14" i="11"/>
  <c r="AD26" i="11"/>
  <c r="AD27" i="11"/>
  <c r="AC8" i="25"/>
  <c r="AC7" i="25"/>
  <c r="AC6" i="25"/>
  <c r="AD5" i="25"/>
  <c r="AC4" i="25"/>
  <c r="AD5" i="28"/>
  <c r="AE4" i="28"/>
  <c r="AE6" i="28"/>
  <c r="AC10" i="25"/>
  <c r="AC14" i="25"/>
  <c r="AB15" i="25"/>
  <c r="AB14" i="25"/>
  <c r="AE26" i="11"/>
  <c r="AE27" i="11"/>
  <c r="AF20" i="11"/>
  <c r="AF13" i="11"/>
  <c r="AF23" i="11"/>
  <c r="AF16" i="11"/>
  <c r="AF21" i="11"/>
  <c r="AG6" i="11"/>
  <c r="AF22" i="11"/>
  <c r="AF5" i="11"/>
  <c r="AF10" i="11"/>
  <c r="AF14" i="11"/>
  <c r="AF8" i="11"/>
  <c r="AF17" i="11"/>
  <c r="AD8" i="25"/>
  <c r="AD7" i="25"/>
  <c r="AD6" i="25"/>
  <c r="AE5" i="25"/>
  <c r="AD4" i="25"/>
  <c r="AF4" i="28"/>
  <c r="AF6" i="28"/>
  <c r="AE5" i="28"/>
  <c r="AC15" i="25"/>
  <c r="AD10" i="25"/>
  <c r="AE7" i="25"/>
  <c r="AE6" i="25"/>
  <c r="AF5" i="25"/>
  <c r="AE4" i="25"/>
  <c r="AE8" i="25"/>
  <c r="AG13" i="11"/>
  <c r="AG23" i="11"/>
  <c r="AG16" i="11"/>
  <c r="AG21" i="11"/>
  <c r="AH6" i="11"/>
  <c r="AG5" i="11"/>
  <c r="AG20" i="11"/>
  <c r="AG22" i="11"/>
  <c r="AG10" i="11"/>
  <c r="AG14" i="11"/>
  <c r="AG8" i="11"/>
  <c r="AG17" i="11"/>
  <c r="AG4" i="28"/>
  <c r="AG6" i="28"/>
  <c r="AF5" i="28"/>
  <c r="AF6" i="25"/>
  <c r="AG5" i="25"/>
  <c r="AF4" i="25"/>
  <c r="AF7" i="25"/>
  <c r="AF8" i="25"/>
  <c r="AD14" i="25"/>
  <c r="AD15" i="25"/>
  <c r="AH23" i="11"/>
  <c r="AH16" i="11"/>
  <c r="AH21" i="11"/>
  <c r="AI6" i="11"/>
  <c r="AH5" i="11"/>
  <c r="AH22" i="11"/>
  <c r="AH13" i="11"/>
  <c r="AH20" i="11"/>
  <c r="AH10" i="11"/>
  <c r="AH14" i="11"/>
  <c r="AH8" i="11"/>
  <c r="AH17" i="11"/>
  <c r="AE10" i="25"/>
  <c r="AG5" i="28"/>
  <c r="AH4" i="28"/>
  <c r="AH6" i="28"/>
  <c r="AE15" i="25"/>
  <c r="AE14" i="25"/>
  <c r="AF10" i="25"/>
  <c r="AI21" i="11"/>
  <c r="AI5" i="11"/>
  <c r="AI22" i="11"/>
  <c r="AI20" i="11"/>
  <c r="AI23" i="11"/>
  <c r="AI16" i="11"/>
  <c r="AJ6" i="11"/>
  <c r="AI13" i="11"/>
  <c r="AI10" i="11"/>
  <c r="AI14" i="11"/>
  <c r="AI8" i="11"/>
  <c r="AI17" i="11"/>
  <c r="AG4" i="25"/>
  <c r="AG8" i="25"/>
  <c r="AG6" i="25"/>
  <c r="AH5" i="25"/>
  <c r="AG7" i="25"/>
  <c r="AI4" i="28"/>
  <c r="AI6" i="28"/>
  <c r="AH5" i="28"/>
  <c r="AJ20" i="11"/>
  <c r="AJ13" i="11"/>
  <c r="AJ21" i="11"/>
  <c r="AK6" i="11"/>
  <c r="AJ5" i="11"/>
  <c r="AJ16" i="11"/>
  <c r="AJ8" i="11"/>
  <c r="AJ17" i="11"/>
  <c r="AJ10" i="11"/>
  <c r="AJ14" i="11"/>
  <c r="AF15" i="25"/>
  <c r="AF14" i="25"/>
  <c r="AH8" i="25"/>
  <c r="AH7" i="25"/>
  <c r="AH4" i="25"/>
  <c r="AI5" i="25"/>
  <c r="AH6" i="25"/>
  <c r="AG10" i="25"/>
  <c r="AJ4" i="28"/>
  <c r="AI5" i="28"/>
  <c r="D40" i="58"/>
  <c r="D41" i="58"/>
  <c r="D42" i="58"/>
  <c r="D43" i="58"/>
  <c r="D44" i="58"/>
  <c r="AG15" i="25"/>
  <c r="AG14" i="25"/>
  <c r="AK22" i="11"/>
  <c r="AK20" i="11"/>
  <c r="AK13" i="11"/>
  <c r="AK23" i="11"/>
  <c r="AK16" i="11"/>
  <c r="AK5" i="11"/>
  <c r="AK21" i="11"/>
  <c r="AL6" i="11"/>
  <c r="AK8" i="11"/>
  <c r="AK17" i="11"/>
  <c r="AK10" i="11"/>
  <c r="AK14" i="11"/>
  <c r="AI8" i="25"/>
  <c r="AI7" i="25"/>
  <c r="AI6" i="25"/>
  <c r="AJ5" i="25"/>
  <c r="AI4" i="25"/>
  <c r="AH10" i="25"/>
  <c r="AK4" i="28"/>
  <c r="AJ5" i="28"/>
  <c r="AL4" i="28"/>
  <c r="AK5" i="28"/>
  <c r="AH15" i="25"/>
  <c r="AH14" i="25"/>
  <c r="AL20" i="11"/>
  <c r="AL13" i="11"/>
  <c r="AL23" i="11"/>
  <c r="AL16" i="11"/>
  <c r="AL21" i="11"/>
  <c r="AM6" i="11"/>
  <c r="AL22" i="11"/>
  <c r="AL5" i="11"/>
  <c r="AL10" i="11"/>
  <c r="AL14" i="11"/>
  <c r="AL8" i="11"/>
  <c r="AL17" i="11"/>
  <c r="AJ8" i="25"/>
  <c r="AJ7" i="25"/>
  <c r="AJ6" i="25"/>
  <c r="AK5" i="25"/>
  <c r="AJ4" i="25"/>
  <c r="AM13" i="11"/>
  <c r="AM23" i="11"/>
  <c r="AM16" i="11"/>
  <c r="AM21" i="11"/>
  <c r="AN6" i="11"/>
  <c r="AM5" i="11"/>
  <c r="AM20" i="11"/>
  <c r="AM10" i="11"/>
  <c r="AM14" i="11"/>
  <c r="AM8" i="11"/>
  <c r="AM17" i="11"/>
  <c r="AM22" i="11"/>
  <c r="AM4" i="28"/>
  <c r="AL5" i="28"/>
  <c r="AK7" i="25"/>
  <c r="AK6" i="25"/>
  <c r="AL5" i="25"/>
  <c r="AK4" i="25"/>
  <c r="AK8" i="25"/>
  <c r="AL6" i="25"/>
  <c r="AM5" i="25"/>
  <c r="AL4" i="25"/>
  <c r="AL7" i="25"/>
  <c r="AL8" i="25"/>
  <c r="AM5" i="28"/>
  <c r="AN4" i="28"/>
  <c r="AN23" i="11"/>
  <c r="AN16" i="11"/>
  <c r="AN21" i="11"/>
  <c r="AO6" i="11"/>
  <c r="AN5" i="11"/>
  <c r="AN22" i="11"/>
  <c r="AN13" i="11"/>
  <c r="AN20" i="11"/>
  <c r="AN10" i="11"/>
  <c r="AN14" i="11"/>
  <c r="AN8" i="11"/>
  <c r="AN17" i="11"/>
  <c r="E25" i="59"/>
  <c r="E5" i="59"/>
  <c r="E10" i="59"/>
  <c r="E11" i="59"/>
  <c r="E2" i="59"/>
  <c r="E9" i="59"/>
  <c r="E4" i="59"/>
  <c r="E8" i="59"/>
  <c r="E7" i="59"/>
  <c r="E13" i="59"/>
  <c r="E6" i="59"/>
  <c r="E12" i="59"/>
  <c r="E3" i="59"/>
  <c r="E15" i="59"/>
  <c r="E14" i="59"/>
  <c r="E18" i="59"/>
  <c r="E17" i="59"/>
  <c r="E16" i="59"/>
  <c r="E23" i="59"/>
  <c r="E24" i="59"/>
  <c r="E20" i="59"/>
  <c r="E19" i="59"/>
  <c r="E22" i="59"/>
  <c r="E21" i="59"/>
  <c r="A27" i="59"/>
  <c r="A28" i="59"/>
  <c r="A29" i="59"/>
  <c r="A30" i="59"/>
  <c r="A31" i="59"/>
  <c r="A32" i="59"/>
  <c r="A33" i="59"/>
  <c r="A34" i="59"/>
  <c r="A35" i="59"/>
  <c r="A36" i="59"/>
  <c r="A37" i="59"/>
  <c r="A38" i="59"/>
  <c r="A39" i="59"/>
  <c r="A40" i="59"/>
  <c r="A41" i="59"/>
  <c r="A42" i="59"/>
  <c r="A43" i="59"/>
  <c r="A44" i="59"/>
  <c r="A45" i="59"/>
  <c r="A46" i="59"/>
  <c r="A47" i="59"/>
  <c r="A48" i="59"/>
  <c r="A49" i="59"/>
  <c r="A50" i="59"/>
  <c r="A51" i="59"/>
  <c r="A52" i="59"/>
  <c r="A53" i="59"/>
  <c r="A54" i="59"/>
  <c r="A55" i="59"/>
  <c r="A56" i="59"/>
  <c r="A57" i="59"/>
  <c r="A58" i="59"/>
  <c r="A59" i="59"/>
  <c r="A60" i="59"/>
  <c r="A61" i="59"/>
  <c r="A62" i="59"/>
  <c r="A63" i="59"/>
  <c r="AN5" i="28"/>
  <c r="AO4" i="28"/>
  <c r="AO21" i="11"/>
  <c r="AO5" i="11"/>
  <c r="AO22" i="11"/>
  <c r="AO20" i="11"/>
  <c r="AO23" i="11"/>
  <c r="AO16" i="11"/>
  <c r="AO13" i="11"/>
  <c r="AP6" i="11"/>
  <c r="AO10" i="11"/>
  <c r="AO14" i="11"/>
  <c r="AO8" i="11"/>
  <c r="AO17" i="11"/>
  <c r="AM11" i="25"/>
  <c r="AM10" i="25"/>
  <c r="AM4" i="25"/>
  <c r="AM8" i="25"/>
  <c r="AM6" i="25"/>
  <c r="AN5" i="25"/>
  <c r="AM7" i="25"/>
  <c r="AP22" i="11"/>
  <c r="AP20" i="11"/>
  <c r="AP13" i="11"/>
  <c r="AP21" i="11"/>
  <c r="AQ6" i="11"/>
  <c r="AP23" i="11"/>
  <c r="AP5" i="11"/>
  <c r="AP8" i="11"/>
  <c r="AP17" i="11"/>
  <c r="AP10" i="11"/>
  <c r="AP14" i="11"/>
  <c r="AO8" i="28"/>
  <c r="AO5" i="28"/>
  <c r="AP4" i="28"/>
  <c r="AN8" i="25"/>
  <c r="AN7" i="25"/>
  <c r="AN11" i="25"/>
  <c r="AN4" i="25"/>
  <c r="AO5" i="25"/>
  <c r="AN6" i="25"/>
  <c r="I20" i="58"/>
  <c r="H20" i="58"/>
  <c r="AP8" i="28"/>
  <c r="AP5" i="28"/>
  <c r="AQ4" i="28"/>
  <c r="AQ22" i="11"/>
  <c r="AQ15" i="11"/>
  <c r="AQ20" i="11"/>
  <c r="AQ13" i="11"/>
  <c r="AQ23" i="11"/>
  <c r="AQ16" i="11"/>
  <c r="AQ5" i="11"/>
  <c r="AQ21" i="11"/>
  <c r="AR6" i="11"/>
  <c r="AQ10" i="11"/>
  <c r="AQ14" i="11"/>
  <c r="AQ8" i="11"/>
  <c r="AQ17" i="11"/>
  <c r="AO9" i="25"/>
  <c r="AO8" i="25"/>
  <c r="AO7" i="25"/>
  <c r="AO6" i="25"/>
  <c r="AP5" i="25"/>
  <c r="AO12" i="25"/>
  <c r="AO11" i="25"/>
  <c r="AO4" i="25"/>
  <c r="AO10" i="25"/>
  <c r="AO14" i="25"/>
  <c r="AR20" i="11"/>
  <c r="AR13" i="11"/>
  <c r="AR23" i="11"/>
  <c r="AR16" i="11"/>
  <c r="AR21" i="11"/>
  <c r="AS6" i="11"/>
  <c r="AR22" i="11"/>
  <c r="AR15" i="11"/>
  <c r="AR5" i="11"/>
  <c r="AR8" i="11"/>
  <c r="AR17" i="11"/>
  <c r="AR10" i="11"/>
  <c r="AR14" i="11"/>
  <c r="AQ26" i="11"/>
  <c r="AQ27" i="11"/>
  <c r="AR4" i="28"/>
  <c r="AQ8" i="28"/>
  <c r="AQ5" i="28"/>
  <c r="AP12" i="25"/>
  <c r="AP8" i="25"/>
  <c r="AP7" i="25"/>
  <c r="AP6" i="25"/>
  <c r="AQ5" i="25"/>
  <c r="AP11" i="25"/>
  <c r="AP4" i="25"/>
  <c r="AP9" i="25"/>
  <c r="AP13" i="25"/>
  <c r="AO15" i="25"/>
  <c r="AO17" i="25"/>
  <c r="AS4" i="28"/>
  <c r="AR6" i="28"/>
  <c r="AR5" i="28"/>
  <c r="AR8" i="28"/>
  <c r="AP10" i="25"/>
  <c r="AQ13" i="25"/>
  <c r="AQ7" i="25"/>
  <c r="AQ6" i="25"/>
  <c r="AR5" i="25"/>
  <c r="AQ11" i="25"/>
  <c r="AQ4" i="25"/>
  <c r="AQ8" i="25"/>
  <c r="AQ9" i="25"/>
  <c r="AQ12" i="25"/>
  <c r="AR26" i="11"/>
  <c r="AR27" i="11"/>
  <c r="AS13" i="11"/>
  <c r="AS23" i="11"/>
  <c r="AS21" i="11"/>
  <c r="AT6" i="11"/>
  <c r="AS5" i="11"/>
  <c r="AS20" i="11"/>
  <c r="AS10" i="11"/>
  <c r="AS14" i="11"/>
  <c r="AS8" i="11"/>
  <c r="AS17" i="11"/>
  <c r="AS22" i="11"/>
  <c r="AS15" i="11"/>
  <c r="AT23" i="11"/>
  <c r="AT21" i="11"/>
  <c r="AU6" i="11"/>
  <c r="AT5" i="11"/>
  <c r="AT22" i="11"/>
  <c r="AT15" i="11"/>
  <c r="AT13" i="11"/>
  <c r="AT20" i="11"/>
  <c r="AT8" i="11"/>
  <c r="AT17" i="11"/>
  <c r="AT10" i="11"/>
  <c r="AT14" i="11"/>
  <c r="AP14" i="25"/>
  <c r="AP15" i="25"/>
  <c r="AS10" i="28"/>
  <c r="AS6" i="28"/>
  <c r="AS9" i="28"/>
  <c r="AS8" i="28"/>
  <c r="AS5" i="28"/>
  <c r="AT4" i="28"/>
  <c r="AQ10" i="25"/>
  <c r="AR12" i="25"/>
  <c r="AR6" i="25"/>
  <c r="AS5" i="25"/>
  <c r="AR11" i="25"/>
  <c r="AR4" i="25"/>
  <c r="AR13" i="25"/>
  <c r="AR9" i="25"/>
  <c r="AR7" i="25"/>
  <c r="AR8" i="25"/>
  <c r="AP17" i="25"/>
  <c r="AQ15" i="25"/>
  <c r="AQ14" i="25"/>
  <c r="AR10" i="25"/>
  <c r="AS13" i="25"/>
  <c r="AS11" i="25"/>
  <c r="AS4" i="25"/>
  <c r="AS9" i="25"/>
  <c r="AS12" i="25"/>
  <c r="AS8" i="25"/>
  <c r="AS6" i="25"/>
  <c r="AT5" i="25"/>
  <c r="AS7" i="25"/>
  <c r="AT9" i="28"/>
  <c r="AT8" i="28"/>
  <c r="AT5" i="28"/>
  <c r="AT10" i="28"/>
  <c r="AT6" i="28"/>
  <c r="AU4" i="28"/>
  <c r="AU21" i="11"/>
  <c r="AU5" i="11"/>
  <c r="AU15" i="11"/>
  <c r="AU20" i="11"/>
  <c r="AV6" i="11"/>
  <c r="AU13" i="11"/>
  <c r="AU8" i="11"/>
  <c r="AU17" i="11"/>
  <c r="AU10" i="11"/>
  <c r="AU14" i="11"/>
  <c r="AS12" i="28"/>
  <c r="AQ17" i="25"/>
  <c r="AS10" i="25"/>
  <c r="AS15" i="25"/>
  <c r="AT12" i="28"/>
  <c r="AV15" i="11"/>
  <c r="AV20" i="11"/>
  <c r="AV13" i="11"/>
  <c r="AV21" i="11"/>
  <c r="AW6" i="11"/>
  <c r="AV5" i="11"/>
  <c r="AV16" i="11"/>
  <c r="AV8" i="11"/>
  <c r="AV17" i="11"/>
  <c r="AV10" i="11"/>
  <c r="AV14" i="11"/>
  <c r="AU8" i="28"/>
  <c r="AU5" i="28"/>
  <c r="AU10" i="28"/>
  <c r="AU9" i="28"/>
  <c r="AV4" i="28"/>
  <c r="AU6" i="28"/>
  <c r="AT12" i="25"/>
  <c r="AT9" i="25"/>
  <c r="AT13" i="25"/>
  <c r="AT8" i="25"/>
  <c r="AT7" i="25"/>
  <c r="AT11" i="25"/>
  <c r="AT4" i="25"/>
  <c r="AT6" i="25"/>
  <c r="AU5" i="25"/>
  <c r="AR15" i="25"/>
  <c r="AR14" i="25"/>
  <c r="AS14" i="25"/>
  <c r="AS17" i="25"/>
  <c r="AR17" i="25"/>
  <c r="AU12" i="28"/>
  <c r="AT10" i="25"/>
  <c r="AV9" i="28"/>
  <c r="AV8" i="28"/>
  <c r="AV5" i="28"/>
  <c r="AV10" i="28"/>
  <c r="AW4" i="28"/>
  <c r="AV6" i="28"/>
  <c r="AU13" i="25"/>
  <c r="AU9" i="25"/>
  <c r="AU8" i="25"/>
  <c r="AU12" i="25"/>
  <c r="AU7" i="25"/>
  <c r="AU6" i="25"/>
  <c r="AV5" i="25"/>
  <c r="AU11" i="25"/>
  <c r="AU4" i="25"/>
  <c r="AW22" i="11"/>
  <c r="AW15" i="11"/>
  <c r="AW20" i="11"/>
  <c r="AW13" i="11"/>
  <c r="AW23" i="11"/>
  <c r="AW16" i="11"/>
  <c r="AW5" i="11"/>
  <c r="AX6" i="11"/>
  <c r="AW21" i="11"/>
  <c r="AW8" i="11"/>
  <c r="AW17" i="11"/>
  <c r="AW10" i="11"/>
  <c r="AW14" i="11"/>
  <c r="AV12" i="28"/>
  <c r="AV12" i="25"/>
  <c r="AV8" i="25"/>
  <c r="AV13" i="25"/>
  <c r="AV7" i="25"/>
  <c r="AV6" i="25"/>
  <c r="AW5" i="25"/>
  <c r="AV11" i="25"/>
  <c r="AV4" i="25"/>
  <c r="AV9" i="25"/>
  <c r="AX20" i="11"/>
  <c r="AX13" i="11"/>
  <c r="AX23" i="11"/>
  <c r="AX16" i="11"/>
  <c r="AX21" i="11"/>
  <c r="AY6" i="11"/>
  <c r="AX22" i="11"/>
  <c r="AX15" i="11"/>
  <c r="AX5" i="11"/>
  <c r="AX8" i="11"/>
  <c r="AX17" i="11"/>
  <c r="AX10" i="11"/>
  <c r="AX14" i="11"/>
  <c r="AW26" i="11"/>
  <c r="AW27" i="11"/>
  <c r="AT15" i="25"/>
  <c r="AT14" i="25"/>
  <c r="AU10" i="25"/>
  <c r="AW10" i="28"/>
  <c r="AW9" i="28"/>
  <c r="AX4" i="28"/>
  <c r="AW6" i="28"/>
  <c r="AW8" i="28"/>
  <c r="AW5" i="28"/>
  <c r="AV10" i="25"/>
  <c r="AV15" i="25"/>
  <c r="AT17" i="25"/>
  <c r="AW12" i="28"/>
  <c r="AX10" i="28"/>
  <c r="AX9" i="28"/>
  <c r="AY4" i="28"/>
  <c r="AX6" i="28"/>
  <c r="AX8" i="28"/>
  <c r="AX5" i="28"/>
  <c r="AX26" i="11"/>
  <c r="AX27" i="11"/>
  <c r="AY13" i="11"/>
  <c r="AY23" i="11"/>
  <c r="AY21" i="11"/>
  <c r="AZ6" i="11"/>
  <c r="AY5" i="11"/>
  <c r="AY20" i="11"/>
  <c r="AY10" i="11"/>
  <c r="AY14" i="11"/>
  <c r="AY8" i="11"/>
  <c r="AY17" i="11"/>
  <c r="AY22" i="11"/>
  <c r="AY15" i="11"/>
  <c r="AU14" i="25"/>
  <c r="AU15" i="25"/>
  <c r="AW13" i="25"/>
  <c r="AW7" i="25"/>
  <c r="AW12" i="25"/>
  <c r="AW6" i="25"/>
  <c r="AX5" i="25"/>
  <c r="AW11" i="25"/>
  <c r="AW4" i="25"/>
  <c r="AW8" i="25"/>
  <c r="AW9" i="25"/>
  <c r="AV14" i="25"/>
  <c r="AV17" i="25"/>
  <c r="AU17" i="25"/>
  <c r="AW10" i="25"/>
  <c r="AX12" i="25"/>
  <c r="AX13" i="25"/>
  <c r="AX6" i="25"/>
  <c r="AY5" i="25"/>
  <c r="AX11" i="25"/>
  <c r="AX4" i="25"/>
  <c r="AX9" i="25"/>
  <c r="AX7" i="25"/>
  <c r="AX8" i="25"/>
  <c r="AZ16" i="11"/>
  <c r="AZ21" i="11"/>
  <c r="BA6" i="11"/>
  <c r="AZ5" i="11"/>
  <c r="AZ15" i="11"/>
  <c r="AZ13" i="11"/>
  <c r="AZ20" i="11"/>
  <c r="AZ8" i="11"/>
  <c r="AZ17" i="11"/>
  <c r="AZ10" i="11"/>
  <c r="AZ14" i="11"/>
  <c r="AX12" i="28"/>
  <c r="AY10" i="28"/>
  <c r="AY6" i="28"/>
  <c r="AY8" i="28"/>
  <c r="AY5" i="28"/>
  <c r="AY9" i="28"/>
  <c r="AZ4" i="28"/>
  <c r="AX10" i="25"/>
  <c r="AX15" i="25"/>
  <c r="AW15" i="25"/>
  <c r="AW14" i="25"/>
  <c r="BA21" i="11"/>
  <c r="BA5" i="11"/>
  <c r="BA15" i="11"/>
  <c r="BA20" i="11"/>
  <c r="BA16" i="11"/>
  <c r="BB6" i="11"/>
  <c r="BA13" i="11"/>
  <c r="BA10" i="11"/>
  <c r="BA14" i="11"/>
  <c r="BA8" i="11"/>
  <c r="BA17" i="11"/>
  <c r="AY13" i="25"/>
  <c r="AY12" i="25"/>
  <c r="AY11" i="25"/>
  <c r="AY4" i="25"/>
  <c r="AY9" i="25"/>
  <c r="AY8" i="25"/>
  <c r="AY6" i="25"/>
  <c r="AZ5" i="25"/>
  <c r="AY7" i="25"/>
  <c r="AY12" i="28"/>
  <c r="AZ9" i="28"/>
  <c r="AZ8" i="28"/>
  <c r="AZ5" i="28"/>
  <c r="AZ10" i="28"/>
  <c r="AZ6" i="28"/>
  <c r="BA4" i="28"/>
  <c r="AX14" i="25"/>
  <c r="AX17" i="25"/>
  <c r="AW17" i="25"/>
  <c r="BB15" i="11"/>
  <c r="BB20" i="11"/>
  <c r="BB13" i="11"/>
  <c r="BB21" i="11"/>
  <c r="BC6" i="11"/>
  <c r="BB5" i="11"/>
  <c r="BB16" i="11"/>
  <c r="BB8" i="11"/>
  <c r="BB17" i="11"/>
  <c r="BB10" i="11"/>
  <c r="BB14" i="11"/>
  <c r="BA8" i="28"/>
  <c r="BA5" i="28"/>
  <c r="BB4" i="28"/>
  <c r="BA10" i="28"/>
  <c r="BA9" i="28"/>
  <c r="BA6" i="28"/>
  <c r="AY10" i="25"/>
  <c r="AZ12" i="28"/>
  <c r="AZ13" i="25"/>
  <c r="AZ12" i="25"/>
  <c r="AZ9" i="25"/>
  <c r="AZ8" i="25"/>
  <c r="AZ7" i="25"/>
  <c r="AZ11" i="25"/>
  <c r="AZ4" i="25"/>
  <c r="AZ6" i="25"/>
  <c r="BA5" i="25"/>
  <c r="AZ10" i="25"/>
  <c r="BB9" i="28"/>
  <c r="BB8" i="28"/>
  <c r="BB5" i="28"/>
  <c r="BC4" i="28"/>
  <c r="BB10" i="28"/>
  <c r="BB6" i="28"/>
  <c r="BA12" i="28"/>
  <c r="BA13" i="25"/>
  <c r="BA9" i="25"/>
  <c r="BA8" i="25"/>
  <c r="BA7" i="25"/>
  <c r="BA6" i="25"/>
  <c r="BB5" i="25"/>
  <c r="BA12" i="25"/>
  <c r="BA11" i="25"/>
  <c r="BA4" i="25"/>
  <c r="AY15" i="25"/>
  <c r="AY14" i="25"/>
  <c r="BC22" i="11"/>
  <c r="BC15" i="11"/>
  <c r="BC20" i="11"/>
  <c r="BC13" i="11"/>
  <c r="BC23" i="11"/>
  <c r="BC16" i="11"/>
  <c r="BC5" i="11"/>
  <c r="BC21" i="11"/>
  <c r="BD6" i="11"/>
  <c r="BC8" i="11"/>
  <c r="BC17" i="11"/>
  <c r="BC10" i="11"/>
  <c r="BC14" i="11"/>
  <c r="AY17" i="25"/>
  <c r="BB12" i="28"/>
  <c r="BA10" i="25"/>
  <c r="AZ15" i="25"/>
  <c r="AZ14" i="25"/>
  <c r="BD20" i="11"/>
  <c r="BD13" i="11"/>
  <c r="BD23" i="11"/>
  <c r="BD16" i="11"/>
  <c r="BD21" i="11"/>
  <c r="BE6" i="11"/>
  <c r="BD22" i="11"/>
  <c r="BD5" i="11"/>
  <c r="BD8" i="11"/>
  <c r="BD17" i="11"/>
  <c r="BD10" i="11"/>
  <c r="BD14" i="11"/>
  <c r="BC10" i="28"/>
  <c r="BD4" i="28"/>
  <c r="BC6" i="28"/>
  <c r="BC9" i="28"/>
  <c r="BC8" i="28"/>
  <c r="BC5" i="28"/>
  <c r="BC26" i="11"/>
  <c r="BC27" i="11"/>
  <c r="BB12" i="25"/>
  <c r="BB8" i="25"/>
  <c r="BB7" i="25"/>
  <c r="BB6" i="25"/>
  <c r="BC5" i="25"/>
  <c r="BB11" i="25"/>
  <c r="BB4" i="25"/>
  <c r="BB13" i="25"/>
  <c r="BB9" i="25"/>
  <c r="BA14" i="25"/>
  <c r="BA15" i="25"/>
  <c r="BE4" i="28"/>
  <c r="BD6" i="28"/>
  <c r="BD10" i="28"/>
  <c r="BD9" i="28"/>
  <c r="BD8" i="28"/>
  <c r="BD5" i="28"/>
  <c r="BE13" i="11"/>
  <c r="BE23" i="11"/>
  <c r="BE16" i="11"/>
  <c r="BE21" i="11"/>
  <c r="BF6" i="11"/>
  <c r="BE5" i="11"/>
  <c r="BE20" i="11"/>
  <c r="BE22" i="11"/>
  <c r="BE10" i="11"/>
  <c r="BE14" i="11"/>
  <c r="BE8" i="11"/>
  <c r="BE17" i="11"/>
  <c r="BB10" i="25"/>
  <c r="BC12" i="28"/>
  <c r="BC13" i="25"/>
  <c r="BC7" i="25"/>
  <c r="BC6" i="25"/>
  <c r="BD5" i="25"/>
  <c r="BC11" i="25"/>
  <c r="BC4" i="25"/>
  <c r="BC8" i="25"/>
  <c r="BC12" i="25"/>
  <c r="BC9" i="25"/>
  <c r="AZ17" i="25"/>
  <c r="BA17" i="25"/>
  <c r="BD12" i="28"/>
  <c r="BF23" i="11"/>
  <c r="BF16" i="11"/>
  <c r="BF21" i="11"/>
  <c r="BG6" i="11"/>
  <c r="BF5" i="11"/>
  <c r="BF22" i="11"/>
  <c r="BF13" i="11"/>
  <c r="BF20" i="11"/>
  <c r="BF8" i="11"/>
  <c r="BF17" i="11"/>
  <c r="BF10" i="11"/>
  <c r="BF14" i="11"/>
  <c r="BC10" i="25"/>
  <c r="BB14" i="25"/>
  <c r="BB15" i="25"/>
  <c r="BD12" i="25"/>
  <c r="BD6" i="25"/>
  <c r="BE5" i="25"/>
  <c r="BD11" i="25"/>
  <c r="BD4" i="25"/>
  <c r="BD9" i="25"/>
  <c r="BD7" i="25"/>
  <c r="BD13" i="25"/>
  <c r="BD8" i="25"/>
  <c r="BE10" i="28"/>
  <c r="BE6" i="28"/>
  <c r="BE9" i="28"/>
  <c r="BE8" i="28"/>
  <c r="BE5" i="28"/>
  <c r="BF4" i="28"/>
  <c r="BD10" i="25"/>
  <c r="BD15" i="25"/>
  <c r="BB17" i="25"/>
  <c r="BC15" i="25"/>
  <c r="BC14" i="25"/>
  <c r="BE13" i="25"/>
  <c r="BE11" i="25"/>
  <c r="BE4" i="25"/>
  <c r="BE9" i="25"/>
  <c r="BE12" i="25"/>
  <c r="BE8" i="25"/>
  <c r="BE6" i="25"/>
  <c r="BF5" i="25"/>
  <c r="BE7" i="25"/>
  <c r="BG21" i="11"/>
  <c r="BG5" i="11"/>
  <c r="BG22" i="11"/>
  <c r="BG20" i="11"/>
  <c r="BG23" i="11"/>
  <c r="BG16" i="11"/>
  <c r="BG13" i="11"/>
  <c r="BH6" i="11"/>
  <c r="BG8" i="11"/>
  <c r="BG17" i="11"/>
  <c r="BG10" i="11"/>
  <c r="BG14" i="11"/>
  <c r="BF9" i="28"/>
  <c r="BF10" i="28"/>
  <c r="BF8" i="28"/>
  <c r="BF5" i="28"/>
  <c r="BF6" i="28"/>
  <c r="BG4" i="28"/>
  <c r="BE12" i="28"/>
  <c r="BC17" i="25"/>
  <c r="BD14" i="25"/>
  <c r="BD17" i="25"/>
  <c r="BF12" i="28"/>
  <c r="BH20" i="11"/>
  <c r="BH13" i="11"/>
  <c r="BH21" i="11"/>
  <c r="BI6" i="11"/>
  <c r="BH16" i="11"/>
  <c r="BH5" i="11"/>
  <c r="BH8" i="11"/>
  <c r="BH17" i="11"/>
  <c r="BH10" i="11"/>
  <c r="BH14" i="11"/>
  <c r="BG10" i="28"/>
  <c r="BG9" i="28"/>
  <c r="BG8" i="28"/>
  <c r="BG5" i="28"/>
  <c r="BH4" i="28"/>
  <c r="BG6" i="28"/>
  <c r="BF13" i="25"/>
  <c r="BF12" i="25"/>
  <c r="BF9" i="25"/>
  <c r="BF8" i="25"/>
  <c r="BF7" i="25"/>
  <c r="BF11" i="25"/>
  <c r="BF4" i="25"/>
  <c r="BG5" i="25"/>
  <c r="BF6" i="25"/>
  <c r="BE10" i="25"/>
  <c r="BG12" i="28"/>
  <c r="BF10" i="25"/>
  <c r="BE15" i="25"/>
  <c r="BE14" i="25"/>
  <c r="BI22" i="11"/>
  <c r="BI20" i="11"/>
  <c r="BI13" i="11"/>
  <c r="BI23" i="11"/>
  <c r="BI16" i="11"/>
  <c r="BI5" i="11"/>
  <c r="BI21" i="11"/>
  <c r="BJ6" i="11"/>
  <c r="BI10" i="11"/>
  <c r="BI14" i="11"/>
  <c r="BI8" i="11"/>
  <c r="BI17" i="11"/>
  <c r="BG13" i="25"/>
  <c r="BG9" i="25"/>
  <c r="BG8" i="25"/>
  <c r="BG12" i="25"/>
  <c r="BG7" i="25"/>
  <c r="BG6" i="25"/>
  <c r="BH5" i="25"/>
  <c r="BG11" i="25"/>
  <c r="BG4" i="25"/>
  <c r="BH9" i="28"/>
  <c r="BH8" i="28"/>
  <c r="BH5" i="28"/>
  <c r="BI4" i="28"/>
  <c r="BH6" i="28"/>
  <c r="BH10" i="28"/>
  <c r="BE17" i="25"/>
  <c r="BH12" i="25"/>
  <c r="BH8" i="25"/>
  <c r="BH7" i="25"/>
  <c r="BH6" i="25"/>
  <c r="BI5" i="25"/>
  <c r="BH13" i="25"/>
  <c r="BH11" i="25"/>
  <c r="BH4" i="25"/>
  <c r="BH9" i="25"/>
  <c r="BH12" i="28"/>
  <c r="BI10" i="28"/>
  <c r="BJ4" i="28"/>
  <c r="BI6" i="28"/>
  <c r="BI9" i="28"/>
  <c r="BI8" i="28"/>
  <c r="BI5" i="28"/>
  <c r="BF15" i="25"/>
  <c r="BF14" i="25"/>
  <c r="BJ20" i="11"/>
  <c r="BJ13" i="11"/>
  <c r="BJ23" i="11"/>
  <c r="BJ16" i="11"/>
  <c r="BJ21" i="11"/>
  <c r="BK6" i="11"/>
  <c r="BJ22" i="11"/>
  <c r="BJ15" i="11"/>
  <c r="BJ5" i="11"/>
  <c r="BJ8" i="11"/>
  <c r="BJ17" i="11"/>
  <c r="BJ10" i="11"/>
  <c r="BJ14" i="11"/>
  <c r="BG10" i="25"/>
  <c r="BF17" i="25"/>
  <c r="BH10" i="25"/>
  <c r="BH14" i="25"/>
  <c r="BJ26" i="11"/>
  <c r="BJ27" i="11"/>
  <c r="BI12" i="28"/>
  <c r="BG14" i="25"/>
  <c r="BG15" i="25"/>
  <c r="BK13" i="11"/>
  <c r="BK23" i="11"/>
  <c r="BK16" i="11"/>
  <c r="BK21" i="11"/>
  <c r="BL6" i="11"/>
  <c r="BK5" i="11"/>
  <c r="BK20" i="11"/>
  <c r="BK22" i="11"/>
  <c r="BK15" i="11"/>
  <c r="BK10" i="11"/>
  <c r="BK14" i="11"/>
  <c r="BK8" i="11"/>
  <c r="BK17" i="11"/>
  <c r="BI13" i="25"/>
  <c r="BI7" i="25"/>
  <c r="BI12" i="25"/>
  <c r="BI6" i="25"/>
  <c r="BJ5" i="25"/>
  <c r="BI11" i="25"/>
  <c r="BI4" i="25"/>
  <c r="BI8" i="25"/>
  <c r="BI9" i="25"/>
  <c r="BK4" i="28"/>
  <c r="BJ6" i="28"/>
  <c r="BJ10" i="28"/>
  <c r="BJ9" i="28"/>
  <c r="BJ5" i="28"/>
  <c r="BJ8" i="28"/>
  <c r="BH15" i="25"/>
  <c r="BH17" i="25"/>
  <c r="BG17" i="25"/>
  <c r="BI10" i="25"/>
  <c r="BI15" i="25"/>
  <c r="BK26" i="11"/>
  <c r="BK27" i="11"/>
  <c r="BK10" i="28"/>
  <c r="BK6" i="28"/>
  <c r="BK9" i="28"/>
  <c r="BK8" i="28"/>
  <c r="BK5" i="28"/>
  <c r="BL4" i="28"/>
  <c r="BJ12" i="28"/>
  <c r="BL23" i="11"/>
  <c r="BL16" i="11"/>
  <c r="BL21" i="11"/>
  <c r="BM6" i="11"/>
  <c r="BL5" i="11"/>
  <c r="BL22" i="11"/>
  <c r="BL15" i="11"/>
  <c r="BL13" i="11"/>
  <c r="BL20" i="11"/>
  <c r="BL10" i="11"/>
  <c r="BL14" i="11"/>
  <c r="BL8" i="11"/>
  <c r="BL17" i="11"/>
  <c r="BJ12" i="25"/>
  <c r="BJ6" i="25"/>
  <c r="BK5" i="25"/>
  <c r="BJ11" i="25"/>
  <c r="BJ4" i="25"/>
  <c r="BJ13" i="25"/>
  <c r="BJ9" i="25"/>
  <c r="BJ7" i="25"/>
  <c r="BJ8" i="25"/>
  <c r="BI14" i="25"/>
  <c r="BI17" i="25"/>
  <c r="BK12" i="28"/>
  <c r="BJ10" i="25"/>
  <c r="BL26" i="11"/>
  <c r="BL27" i="11"/>
  <c r="BK13" i="25"/>
  <c r="BK12" i="25"/>
  <c r="BK11" i="25"/>
  <c r="BK4" i="25"/>
  <c r="BK9" i="25"/>
  <c r="BK8" i="25"/>
  <c r="C8" i="25"/>
  <c r="BK6" i="25"/>
  <c r="BK7" i="25"/>
  <c r="C7" i="25"/>
  <c r="BL9" i="28"/>
  <c r="BL8" i="28"/>
  <c r="BL5" i="28"/>
  <c r="BL10" i="28"/>
  <c r="BL6" i="28"/>
  <c r="BM4" i="28"/>
  <c r="BM21" i="11"/>
  <c r="BM5" i="11"/>
  <c r="BM15" i="11"/>
  <c r="BM20" i="11"/>
  <c r="BM16" i="11"/>
  <c r="BM13" i="11"/>
  <c r="BN6" i="11"/>
  <c r="BM10" i="11"/>
  <c r="BM14" i="11"/>
  <c r="BM8" i="11"/>
  <c r="BM17" i="11"/>
  <c r="BN22" i="11"/>
  <c r="BN15" i="11"/>
  <c r="BN20" i="11"/>
  <c r="BN13" i="11"/>
  <c r="BN21" i="11"/>
  <c r="BO6" i="11"/>
  <c r="BN5" i="11"/>
  <c r="BN23" i="11"/>
  <c r="BN8" i="11"/>
  <c r="BN17" i="11"/>
  <c r="BN10" i="11"/>
  <c r="BN14" i="11"/>
  <c r="BJ15" i="25"/>
  <c r="BJ14" i="25"/>
  <c r="BL12" i="28"/>
  <c r="I16" i="24"/>
  <c r="J19" i="24"/>
  <c r="J13" i="24"/>
  <c r="I15" i="24"/>
  <c r="L14" i="24"/>
  <c r="I14" i="24"/>
  <c r="J15" i="24"/>
  <c r="I17" i="24"/>
  <c r="J17" i="24"/>
  <c r="K18" i="24"/>
  <c r="I13" i="24"/>
  <c r="J14" i="24"/>
  <c r="J18" i="24"/>
  <c r="M14" i="24"/>
  <c r="K13" i="24"/>
  <c r="M16" i="24"/>
  <c r="K19" i="24"/>
  <c r="K17" i="24"/>
  <c r="K14" i="24"/>
  <c r="K15" i="24"/>
  <c r="L13" i="24"/>
  <c r="N13" i="24"/>
  <c r="N15" i="24"/>
  <c r="M13" i="24"/>
  <c r="L15" i="24"/>
  <c r="M15" i="24"/>
  <c r="N14" i="24"/>
  <c r="N16" i="24"/>
  <c r="BM8" i="28"/>
  <c r="BM5" i="28"/>
  <c r="BM10" i="28"/>
  <c r="BM9" i="28"/>
  <c r="BN4" i="28"/>
  <c r="BM6" i="28"/>
  <c r="BK10" i="25"/>
  <c r="N17" i="24"/>
  <c r="C11" i="25"/>
  <c r="BN9" i="28"/>
  <c r="BN8" i="28"/>
  <c r="BN5" i="28"/>
  <c r="BN10" i="28"/>
  <c r="BN6" i="28"/>
  <c r="BO22" i="11"/>
  <c r="BO15" i="11"/>
  <c r="BO20" i="11"/>
  <c r="BO13" i="11"/>
  <c r="BO23" i="11"/>
  <c r="BO16" i="11"/>
  <c r="BO5" i="11"/>
  <c r="BP6" i="11"/>
  <c r="BO21" i="11"/>
  <c r="BO8" i="11"/>
  <c r="BO17" i="11"/>
  <c r="BO10" i="11"/>
  <c r="BO14" i="11"/>
  <c r="BM12" i="28"/>
  <c r="BK15" i="25"/>
  <c r="N19" i="24"/>
  <c r="BK14" i="25"/>
  <c r="N18" i="24"/>
  <c r="M17" i="24"/>
  <c r="BJ17" i="25"/>
  <c r="BP20" i="11"/>
  <c r="BP13" i="11"/>
  <c r="BP23" i="11"/>
  <c r="BP16" i="11"/>
  <c r="BP21" i="11"/>
  <c r="BQ6" i="11"/>
  <c r="BP22" i="11"/>
  <c r="BP15" i="11"/>
  <c r="BP5" i="11"/>
  <c r="BP10" i="11"/>
  <c r="BP14" i="11"/>
  <c r="BP8" i="11"/>
  <c r="BP17" i="11"/>
  <c r="BO26" i="11"/>
  <c r="BO27" i="11"/>
  <c r="BN12" i="28"/>
  <c r="I18" i="24"/>
  <c r="M18" i="24"/>
  <c r="I19" i="24"/>
  <c r="BK17" i="25"/>
  <c r="N20" i="24"/>
  <c r="M20" i="24"/>
  <c r="M19" i="24"/>
  <c r="I20" i="24"/>
  <c r="BP26" i="11"/>
  <c r="BP27" i="11"/>
  <c r="BQ13" i="11"/>
  <c r="BQ23" i="11"/>
  <c r="BQ16" i="11"/>
  <c r="BQ21" i="11"/>
  <c r="BR6" i="11"/>
  <c r="BQ5" i="11"/>
  <c r="BQ20" i="11"/>
  <c r="BQ22" i="11"/>
  <c r="BQ10" i="11"/>
  <c r="BQ14" i="11"/>
  <c r="BQ8" i="11"/>
  <c r="BQ17" i="11"/>
  <c r="BQ15" i="11"/>
  <c r="I21" i="24"/>
  <c r="J84" i="30"/>
  <c r="BQ26" i="11"/>
  <c r="BQ27" i="11"/>
  <c r="BR23" i="11"/>
  <c r="BR16" i="11"/>
  <c r="BR21" i="11"/>
  <c r="BS6" i="11"/>
  <c r="BR5" i="11"/>
  <c r="BR22" i="11"/>
  <c r="BR15" i="11"/>
  <c r="BR13" i="11"/>
  <c r="BR20" i="11"/>
  <c r="BR10" i="11"/>
  <c r="BR14" i="11"/>
  <c r="BR8" i="11"/>
  <c r="BR17" i="11"/>
  <c r="BR26" i="11"/>
  <c r="BR27" i="11"/>
  <c r="BS21" i="11"/>
  <c r="BS5" i="11"/>
  <c r="BS22" i="11"/>
  <c r="BS15" i="11"/>
  <c r="BS20" i="11"/>
  <c r="BS23" i="11"/>
  <c r="BS16" i="11"/>
  <c r="BT6" i="11"/>
  <c r="BS13" i="11"/>
  <c r="BS10" i="11"/>
  <c r="BS14" i="11"/>
  <c r="BS8" i="11"/>
  <c r="BS17" i="11"/>
  <c r="BS26" i="11"/>
  <c r="BS27" i="11"/>
  <c r="BT15" i="11"/>
  <c r="BT20" i="11"/>
  <c r="BT13" i="11"/>
  <c r="BT21" i="11"/>
  <c r="BU6" i="11"/>
  <c r="BT5" i="11"/>
  <c r="BT16" i="11"/>
  <c r="BT8" i="11"/>
  <c r="BT17" i="11"/>
  <c r="BT10" i="11"/>
  <c r="BT14" i="11"/>
  <c r="BU22" i="11"/>
  <c r="BU15" i="11"/>
  <c r="BU20" i="11"/>
  <c r="BU13" i="11"/>
  <c r="BU23" i="11"/>
  <c r="BU16" i="11"/>
  <c r="BU5" i="11"/>
  <c r="BU21" i="11"/>
  <c r="BV6" i="11"/>
  <c r="BU8" i="11"/>
  <c r="BU17" i="11"/>
  <c r="BU10" i="11"/>
  <c r="BU14" i="11"/>
  <c r="BV20" i="11"/>
  <c r="BV13" i="11"/>
  <c r="BV23" i="11"/>
  <c r="BV16" i="11"/>
  <c r="BV21" i="11"/>
  <c r="BW6" i="11"/>
  <c r="BV22" i="11"/>
  <c r="BV15" i="11"/>
  <c r="BV5" i="11"/>
  <c r="BV10" i="11"/>
  <c r="BV14" i="11"/>
  <c r="BV8" i="11"/>
  <c r="BV17" i="11"/>
  <c r="BU26" i="11"/>
  <c r="BU27" i="11"/>
  <c r="BV26" i="11"/>
  <c r="BV27" i="11"/>
  <c r="BW13" i="11"/>
  <c r="BW23" i="11"/>
  <c r="BW16" i="11"/>
  <c r="BW21" i="11"/>
  <c r="BX6" i="11"/>
  <c r="BW5" i="11"/>
  <c r="BW20" i="11"/>
  <c r="BW15" i="11"/>
  <c r="BW10" i="11"/>
  <c r="BW14" i="11"/>
  <c r="BW8" i="11"/>
  <c r="BW17" i="11"/>
  <c r="BW22" i="11"/>
  <c r="BW26" i="11"/>
  <c r="BW27" i="11"/>
  <c r="BX23" i="11"/>
  <c r="BX16" i="11"/>
  <c r="BX21" i="11"/>
  <c r="BY6" i="11"/>
  <c r="BX5" i="11"/>
  <c r="BX22" i="11"/>
  <c r="BX15" i="11"/>
  <c r="BX13" i="11"/>
  <c r="BX20" i="11"/>
  <c r="BX10" i="11"/>
  <c r="BX14" i="11"/>
  <c r="BX8" i="11"/>
  <c r="BX17" i="11"/>
  <c r="BY21" i="11"/>
  <c r="BY5" i="11"/>
  <c r="BY22" i="11"/>
  <c r="BY15" i="11"/>
  <c r="BY20" i="11"/>
  <c r="BY23" i="11"/>
  <c r="BY16" i="11"/>
  <c r="BY13" i="11"/>
  <c r="BZ6" i="11"/>
  <c r="BY10" i="11"/>
  <c r="BY14" i="11"/>
  <c r="BY8" i="11"/>
  <c r="BY17" i="11"/>
  <c r="BX26" i="11"/>
  <c r="BX27" i="11"/>
  <c r="BZ22" i="11"/>
  <c r="BZ15" i="11"/>
  <c r="BZ20" i="11"/>
  <c r="BZ13" i="11"/>
  <c r="BZ21" i="11"/>
  <c r="CA6" i="11"/>
  <c r="BZ23" i="11"/>
  <c r="BZ16" i="11"/>
  <c r="BZ5" i="11"/>
  <c r="BZ8" i="11"/>
  <c r="BZ17" i="11"/>
  <c r="BZ10" i="11"/>
  <c r="BZ14" i="11"/>
  <c r="BY26" i="11"/>
  <c r="BY27" i="11"/>
  <c r="BZ26" i="11"/>
  <c r="BZ27" i="11"/>
  <c r="CA22" i="11"/>
  <c r="CA15" i="11"/>
  <c r="CA20" i="11"/>
  <c r="CA13" i="11"/>
  <c r="CA23" i="11"/>
  <c r="CA16" i="11"/>
  <c r="CA5" i="11"/>
  <c r="CA21" i="11"/>
  <c r="CB6" i="11"/>
  <c r="CA8" i="11"/>
  <c r="CA17" i="11"/>
  <c r="CA10" i="11"/>
  <c r="CA14" i="11"/>
  <c r="CB20" i="11"/>
  <c r="CB13" i="11"/>
  <c r="CB23" i="11"/>
  <c r="CB16" i="11"/>
  <c r="CB21" i="11"/>
  <c r="CC6" i="11"/>
  <c r="CB22" i="11"/>
  <c r="CB15" i="11"/>
  <c r="CB5" i="11"/>
  <c r="CB8" i="11"/>
  <c r="CB17" i="11"/>
  <c r="CB10" i="11"/>
  <c r="CB14" i="11"/>
  <c r="CA26" i="11"/>
  <c r="CA27" i="11"/>
  <c r="CC13" i="11"/>
  <c r="CC23" i="11"/>
  <c r="CC16" i="11"/>
  <c r="CC21" i="11"/>
  <c r="CD6" i="11"/>
  <c r="CC5" i="11"/>
  <c r="CC20" i="11"/>
  <c r="CC10" i="11"/>
  <c r="CC14" i="11"/>
  <c r="CC8" i="11"/>
  <c r="CC17" i="11"/>
  <c r="CC22" i="11"/>
  <c r="CC15" i="11"/>
  <c r="CB26" i="11"/>
  <c r="CB27" i="11"/>
  <c r="CD23" i="11"/>
  <c r="CD16" i="11"/>
  <c r="CD21" i="11"/>
  <c r="CE6" i="11"/>
  <c r="CD5" i="11"/>
  <c r="CD22" i="11"/>
  <c r="CD15" i="11"/>
  <c r="CD13" i="11"/>
  <c r="CD20" i="11"/>
  <c r="CD8" i="11"/>
  <c r="CD17" i="11"/>
  <c r="CD10" i="11"/>
  <c r="CD14" i="11"/>
  <c r="CC26" i="11"/>
  <c r="CC27" i="11"/>
  <c r="CE21" i="11"/>
  <c r="CE5" i="11"/>
  <c r="CE22" i="11"/>
  <c r="CE15" i="11"/>
  <c r="CE20" i="11"/>
  <c r="CE23" i="11"/>
  <c r="CE16" i="11"/>
  <c r="CF6" i="11"/>
  <c r="CE13" i="11"/>
  <c r="CE8" i="11"/>
  <c r="CE17" i="11"/>
  <c r="CE10" i="11"/>
  <c r="CE14" i="11"/>
  <c r="CD26" i="11"/>
  <c r="CD27" i="11"/>
  <c r="CE26" i="11"/>
  <c r="CE27" i="11"/>
  <c r="CF15" i="11"/>
  <c r="CF20" i="11"/>
  <c r="CF13" i="11"/>
  <c r="CF21" i="11"/>
  <c r="CG6" i="11"/>
  <c r="CF5" i="11"/>
  <c r="CF16" i="11"/>
  <c r="CF8" i="11"/>
  <c r="CF17" i="11"/>
  <c r="CF10" i="11"/>
  <c r="CF14" i="11"/>
  <c r="CG22" i="11"/>
  <c r="CG15" i="11"/>
  <c r="CG20" i="11"/>
  <c r="CG13" i="11"/>
  <c r="CG23" i="11"/>
  <c r="CG16" i="11"/>
  <c r="CG5" i="11"/>
  <c r="CH6" i="11"/>
  <c r="CG21" i="11"/>
  <c r="CG8" i="11"/>
  <c r="CG17" i="11"/>
  <c r="CG10" i="11"/>
  <c r="CG14" i="11"/>
  <c r="CH20" i="11"/>
  <c r="CH13" i="11"/>
  <c r="CH23" i="11"/>
  <c r="CH16" i="11"/>
  <c r="CH21" i="11"/>
  <c r="CI6" i="11"/>
  <c r="CH22" i="11"/>
  <c r="CH15" i="11"/>
  <c r="CH5" i="11"/>
  <c r="CH10" i="11"/>
  <c r="CH14" i="11"/>
  <c r="CH8" i="11"/>
  <c r="CH17" i="11"/>
  <c r="CG26" i="11"/>
  <c r="CG27" i="11"/>
  <c r="CH26" i="11"/>
  <c r="CH27" i="11"/>
  <c r="CI13" i="11"/>
  <c r="CI23" i="11"/>
  <c r="CI16" i="11"/>
  <c r="CI21" i="11"/>
  <c r="CJ6" i="11"/>
  <c r="CI5" i="11"/>
  <c r="CI20" i="11"/>
  <c r="CI10" i="11"/>
  <c r="CI14" i="11"/>
  <c r="CI8" i="11"/>
  <c r="CI17" i="11"/>
  <c r="CI22" i="11"/>
  <c r="CI15" i="11"/>
  <c r="CJ23" i="11"/>
  <c r="CJ16" i="11"/>
  <c r="CJ21" i="11"/>
  <c r="CK6" i="11"/>
  <c r="CJ5" i="11"/>
  <c r="CJ22" i="11"/>
  <c r="CJ15" i="11"/>
  <c r="CJ13" i="11"/>
  <c r="CJ20" i="11"/>
  <c r="CJ8" i="11"/>
  <c r="CJ17" i="11"/>
  <c r="CJ10" i="11"/>
  <c r="CJ14" i="11"/>
  <c r="CI26" i="11"/>
  <c r="CI27" i="11"/>
  <c r="CJ26" i="11"/>
  <c r="CJ27" i="11"/>
  <c r="CK21" i="11"/>
  <c r="CK5" i="11"/>
  <c r="CK22" i="11"/>
  <c r="CK15" i="11"/>
  <c r="CK20" i="11"/>
  <c r="CK23" i="11"/>
  <c r="CK16" i="11"/>
  <c r="CL6" i="11"/>
  <c r="CK13" i="11"/>
  <c r="CK10" i="11"/>
  <c r="CK14" i="11"/>
  <c r="CK8" i="11"/>
  <c r="CK17" i="11"/>
  <c r="CL22" i="11"/>
  <c r="CL15" i="11"/>
  <c r="CL20" i="11"/>
  <c r="CL13" i="11"/>
  <c r="CL21" i="11"/>
  <c r="CM6" i="11"/>
  <c r="CL5" i="11"/>
  <c r="CL23" i="11"/>
  <c r="CL16" i="11"/>
  <c r="CL8" i="11"/>
  <c r="CL17" i="11"/>
  <c r="CL10" i="11"/>
  <c r="CL14" i="11"/>
  <c r="CK26" i="11"/>
  <c r="CK27" i="11"/>
  <c r="CM22" i="11"/>
  <c r="CM15" i="11"/>
  <c r="CM20" i="11"/>
  <c r="CM13" i="11"/>
  <c r="CM23" i="11"/>
  <c r="CM16" i="11"/>
  <c r="CM5" i="11"/>
  <c r="CM21" i="11"/>
  <c r="CN6" i="11"/>
  <c r="CM8" i="11"/>
  <c r="CM17" i="11"/>
  <c r="CM10" i="11"/>
  <c r="CM14" i="11"/>
  <c r="CL26" i="11"/>
  <c r="CL27" i="11"/>
  <c r="CN20" i="11"/>
  <c r="CN13" i="11"/>
  <c r="CN23" i="11"/>
  <c r="CN16" i="11"/>
  <c r="CN21" i="11"/>
  <c r="CO6" i="11"/>
  <c r="CN22" i="11"/>
  <c r="CN15" i="11"/>
  <c r="CN5" i="11"/>
  <c r="CN8" i="11"/>
  <c r="CN17" i="11"/>
  <c r="CN10" i="11"/>
  <c r="CN14" i="11"/>
  <c r="CM26" i="11"/>
  <c r="CM27" i="11"/>
  <c r="CO13" i="11"/>
  <c r="CO23" i="11"/>
  <c r="CO16" i="11"/>
  <c r="CO21" i="11"/>
  <c r="CP6" i="11"/>
  <c r="CO5" i="11"/>
  <c r="CO20" i="11"/>
  <c r="CO22" i="11"/>
  <c r="CO15" i="11"/>
  <c r="CO10" i="11"/>
  <c r="CO14" i="11"/>
  <c r="CO8" i="11"/>
  <c r="CO17" i="11"/>
  <c r="CN26" i="11"/>
  <c r="CN27" i="11"/>
  <c r="CO26" i="11"/>
  <c r="CO27" i="11"/>
  <c r="CP23" i="11"/>
  <c r="CP16" i="11"/>
  <c r="CP21" i="11"/>
  <c r="CQ6" i="11"/>
  <c r="CP5" i="11"/>
  <c r="CP22" i="11"/>
  <c r="CP15" i="11"/>
  <c r="CP13" i="11"/>
  <c r="CP20" i="11"/>
  <c r="CP8" i="11"/>
  <c r="CP17" i="11"/>
  <c r="CP10" i="11"/>
  <c r="CP14" i="11"/>
  <c r="CQ21" i="11"/>
  <c r="CQ5" i="11"/>
  <c r="CQ22" i="11"/>
  <c r="CQ15" i="11"/>
  <c r="CQ20" i="11"/>
  <c r="CQ23" i="11"/>
  <c r="CQ16" i="11"/>
  <c r="CQ13" i="11"/>
  <c r="CR6" i="11"/>
  <c r="CQ10" i="11"/>
  <c r="CQ14" i="11"/>
  <c r="CQ8" i="11"/>
  <c r="CQ17" i="11"/>
  <c r="CP26" i="11"/>
  <c r="CP27" i="11"/>
  <c r="CR22" i="11"/>
  <c r="CR15" i="11"/>
  <c r="CR20" i="11"/>
  <c r="CR13" i="11"/>
  <c r="CR21" i="11"/>
  <c r="CS6" i="11"/>
  <c r="CR23" i="11"/>
  <c r="CR16" i="11"/>
  <c r="CR5" i="11"/>
  <c r="CR8" i="11"/>
  <c r="CR17" i="11"/>
  <c r="CR10" i="11"/>
  <c r="CR14" i="11"/>
  <c r="CQ26" i="11"/>
  <c r="CQ27" i="11"/>
  <c r="CR26" i="11"/>
  <c r="CR27" i="11"/>
  <c r="CS22" i="11"/>
  <c r="CS15" i="11"/>
  <c r="CS20" i="11"/>
  <c r="CS13" i="11"/>
  <c r="CS23" i="11"/>
  <c r="CS16" i="11"/>
  <c r="CS5" i="11"/>
  <c r="CS21" i="11"/>
  <c r="CT6" i="11"/>
  <c r="CS10" i="11"/>
  <c r="CS14" i="11"/>
  <c r="CS8" i="11"/>
  <c r="CS17" i="11"/>
  <c r="CS26" i="11"/>
  <c r="CS27" i="11"/>
  <c r="CT20" i="11"/>
  <c r="CT13" i="11"/>
  <c r="CT23" i="11"/>
  <c r="CT16" i="11"/>
  <c r="CT21" i="11"/>
  <c r="CU6" i="11"/>
  <c r="CT22" i="11"/>
  <c r="CT15" i="11"/>
  <c r="CT5" i="11"/>
  <c r="CT8" i="11"/>
  <c r="CT17" i="11"/>
  <c r="CT10" i="11"/>
  <c r="CT14" i="11"/>
  <c r="CT26" i="11"/>
  <c r="CT27" i="11"/>
  <c r="CU13" i="11"/>
  <c r="CU23" i="11"/>
  <c r="CU16" i="11"/>
  <c r="CU21" i="11"/>
  <c r="CV6" i="11"/>
  <c r="CU5" i="11"/>
  <c r="CU20" i="11"/>
  <c r="CU22" i="11"/>
  <c r="CU15" i="11"/>
  <c r="CU10" i="11"/>
  <c r="CU14" i="11"/>
  <c r="CU8" i="11"/>
  <c r="CU17" i="11"/>
  <c r="CU26" i="11"/>
  <c r="CU27" i="11"/>
  <c r="CV23" i="11"/>
  <c r="CV16" i="11"/>
  <c r="CV21" i="11"/>
  <c r="CW6" i="11"/>
  <c r="CV5" i="11"/>
  <c r="CV22" i="11"/>
  <c r="CV15" i="11"/>
  <c r="CV13" i="11"/>
  <c r="CV20" i="11"/>
  <c r="CV10" i="11"/>
  <c r="CV14" i="11"/>
  <c r="CV8" i="11"/>
  <c r="CV17" i="11"/>
  <c r="CW21" i="11"/>
  <c r="CW5" i="11"/>
  <c r="CW22" i="11"/>
  <c r="CW15" i="11"/>
  <c r="CW20" i="11"/>
  <c r="CW23" i="11"/>
  <c r="CW16" i="11"/>
  <c r="CW13" i="11"/>
  <c r="CX6" i="11"/>
  <c r="CW10" i="11"/>
  <c r="CW14" i="11"/>
  <c r="CW8" i="11"/>
  <c r="CW17" i="11"/>
  <c r="CV26" i="11"/>
  <c r="CV27" i="11"/>
  <c r="CX22" i="11"/>
  <c r="CX15" i="11"/>
  <c r="CX20" i="11"/>
  <c r="F20" i="11"/>
  <c r="CX13" i="11"/>
  <c r="CX21" i="11"/>
  <c r="CY6" i="11"/>
  <c r="CX16" i="11"/>
  <c r="CX5" i="11"/>
  <c r="CX23" i="11"/>
  <c r="CX8" i="11"/>
  <c r="CX17" i="11"/>
  <c r="F17" i="11"/>
  <c r="F46" i="10"/>
  <c r="E55" i="10"/>
  <c r="CX10" i="11"/>
  <c r="CX14" i="11"/>
  <c r="F14" i="11"/>
  <c r="F43" i="10"/>
  <c r="E52" i="10"/>
  <c r="CW26" i="11"/>
  <c r="CW27" i="11"/>
  <c r="AZ22" i="11"/>
  <c r="F21" i="11"/>
  <c r="F38" i="10"/>
  <c r="O46" i="10"/>
  <c r="CX26" i="11"/>
  <c r="W49" i="10"/>
  <c r="F13" i="11"/>
  <c r="O43" i="10"/>
  <c r="O40" i="10"/>
  <c r="O41" i="10"/>
  <c r="O39" i="10"/>
  <c r="O45" i="10"/>
  <c r="P45" i="10"/>
  <c r="Q42" i="10"/>
  <c r="P41" i="10"/>
  <c r="P40" i="10"/>
  <c r="Q40" i="10"/>
  <c r="Q45" i="10"/>
  <c r="O48" i="10"/>
  <c r="P43" i="10"/>
  <c r="P39" i="10"/>
  <c r="P46" i="10"/>
  <c r="Q39" i="10"/>
  <c r="Q46" i="10"/>
  <c r="O47" i="10"/>
  <c r="R39" i="10"/>
  <c r="R40" i="10"/>
  <c r="U39" i="10"/>
  <c r="R43" i="10"/>
  <c r="Q43" i="10"/>
  <c r="T40" i="10"/>
  <c r="R46" i="10"/>
  <c r="U43" i="10"/>
  <c r="R45" i="10"/>
  <c r="T43" i="10"/>
  <c r="T46" i="10"/>
  <c r="U40" i="10"/>
  <c r="U41" i="10"/>
  <c r="U42" i="10"/>
  <c r="W45" i="10"/>
  <c r="V40" i="10"/>
  <c r="S45" i="10"/>
  <c r="S40" i="10"/>
  <c r="T45" i="10"/>
  <c r="S46" i="10"/>
  <c r="U46" i="10"/>
  <c r="V42" i="10"/>
  <c r="U45" i="10"/>
  <c r="T39" i="10"/>
  <c r="S39" i="10"/>
  <c r="V43" i="10"/>
  <c r="S43" i="10"/>
  <c r="W48" i="10"/>
  <c r="W42" i="10"/>
  <c r="V45" i="10"/>
  <c r="V39" i="10"/>
  <c r="X50" i="10"/>
  <c r="V41" i="10"/>
  <c r="W43" i="10"/>
  <c r="W46" i="10"/>
  <c r="W41" i="10"/>
  <c r="V46" i="10"/>
  <c r="X39" i="10"/>
  <c r="X45" i="10"/>
  <c r="X47" i="10"/>
  <c r="W40" i="10"/>
  <c r="W39" i="10"/>
  <c r="X42" i="10"/>
  <c r="X49" i="10"/>
  <c r="X41" i="10"/>
  <c r="X40" i="10"/>
  <c r="X48" i="10"/>
  <c r="X46" i="10"/>
  <c r="X43" i="10"/>
  <c r="W47" i="10"/>
  <c r="CY22" i="11"/>
  <c r="CY15" i="11"/>
  <c r="CY20" i="11"/>
  <c r="CY13" i="11"/>
  <c r="CY23" i="11"/>
  <c r="CY16" i="11"/>
  <c r="CY5" i="11"/>
  <c r="CZ6" i="11"/>
  <c r="CY21" i="11"/>
  <c r="CY8" i="11"/>
  <c r="CY17" i="11"/>
  <c r="CY10" i="11"/>
  <c r="CY14" i="11"/>
  <c r="AU22" i="11"/>
  <c r="CF22" i="11"/>
  <c r="AV22" i="11"/>
  <c r="AJ22" i="11"/>
  <c r="Q47" i="10"/>
  <c r="BH22" i="11"/>
  <c r="BB22" i="11"/>
  <c r="R22" i="11"/>
  <c r="BM22" i="11"/>
  <c r="AL15" i="11"/>
  <c r="AM15" i="11"/>
  <c r="AM26" i="11"/>
  <c r="AM27" i="11"/>
  <c r="AN15" i="11"/>
  <c r="AN26" i="11"/>
  <c r="AN27" i="11"/>
  <c r="AO15" i="11"/>
  <c r="AO26" i="11"/>
  <c r="AO27" i="11"/>
  <c r="AP15" i="11"/>
  <c r="BA22" i="11"/>
  <c r="AF15" i="11"/>
  <c r="AG15" i="11"/>
  <c r="AG26" i="11"/>
  <c r="AG27" i="11"/>
  <c r="AH15" i="11"/>
  <c r="AH26" i="11"/>
  <c r="AH27" i="11"/>
  <c r="AI15" i="11"/>
  <c r="AI26" i="11"/>
  <c r="AI27" i="11"/>
  <c r="AJ15" i="11"/>
  <c r="AK15" i="11"/>
  <c r="AK26" i="11"/>
  <c r="AK27" i="11"/>
  <c r="BT22" i="11"/>
  <c r="CY26" i="11"/>
  <c r="CY27" i="11"/>
  <c r="E60" i="10"/>
  <c r="F42" i="10"/>
  <c r="E51" i="10"/>
  <c r="BD15" i="11"/>
  <c r="BE15" i="11"/>
  <c r="BE26" i="11"/>
  <c r="BE27" i="11"/>
  <c r="BF15" i="11"/>
  <c r="BG15" i="11"/>
  <c r="BG26" i="11"/>
  <c r="BG27" i="11"/>
  <c r="BH15" i="11"/>
  <c r="BI15" i="11"/>
  <c r="BI26" i="11"/>
  <c r="BI27" i="11"/>
  <c r="CZ20" i="11"/>
  <c r="CZ13" i="11"/>
  <c r="CZ23" i="11"/>
  <c r="CZ16" i="11"/>
  <c r="CZ21" i="11"/>
  <c r="DA6" i="11"/>
  <c r="CZ22" i="11"/>
  <c r="CZ15" i="11"/>
  <c r="CZ5" i="11"/>
  <c r="CZ10" i="11"/>
  <c r="CZ14" i="11"/>
  <c r="CZ8" i="11"/>
  <c r="CZ17" i="11"/>
  <c r="CX27" i="11"/>
  <c r="R47" i="10"/>
  <c r="U47" i="10"/>
  <c r="V47" i="10"/>
  <c r="T47" i="10"/>
  <c r="P47" i="10"/>
  <c r="S47" i="10"/>
  <c r="AL26" i="11"/>
  <c r="AL27" i="11"/>
  <c r="R41" i="10"/>
  <c r="AF26" i="11"/>
  <c r="Q41" i="10"/>
  <c r="F22" i="11"/>
  <c r="F39" i="10"/>
  <c r="E57" i="10"/>
  <c r="BF26" i="11"/>
  <c r="BF27" i="11"/>
  <c r="T41" i="10"/>
  <c r="W50" i="10"/>
  <c r="BD26" i="11"/>
  <c r="S41" i="10"/>
  <c r="F15" i="11"/>
  <c r="F52" i="10"/>
  <c r="F53" i="10"/>
  <c r="CZ26" i="11"/>
  <c r="CZ27" i="11"/>
  <c r="DA13" i="11"/>
  <c r="DA23" i="11"/>
  <c r="DA16" i="11"/>
  <c r="DA21" i="11"/>
  <c r="DB6" i="11"/>
  <c r="DA5" i="11"/>
  <c r="DA20" i="11"/>
  <c r="DA22" i="11"/>
  <c r="DA10" i="11"/>
  <c r="DA14" i="11"/>
  <c r="DA8" i="11"/>
  <c r="DA17" i="11"/>
  <c r="DA15" i="11"/>
  <c r="I16" i="11"/>
  <c r="I26" i="11"/>
  <c r="AS16" i="11"/>
  <c r="AS26" i="11"/>
  <c r="AS27" i="11"/>
  <c r="M16" i="11"/>
  <c r="AT16" i="11"/>
  <c r="AT26" i="11"/>
  <c r="AT27" i="11"/>
  <c r="AY16" i="11"/>
  <c r="AU16" i="11"/>
  <c r="AF27" i="11"/>
  <c r="AP16" i="11"/>
  <c r="F44" i="10"/>
  <c r="E53" i="10"/>
  <c r="F54" i="10"/>
  <c r="BN16" i="11"/>
  <c r="BD27" i="11"/>
  <c r="DA26" i="11"/>
  <c r="DA27" i="11"/>
  <c r="DB23" i="11"/>
  <c r="DB16" i="11"/>
  <c r="DB21" i="11"/>
  <c r="DC6" i="11"/>
  <c r="DB5" i="11"/>
  <c r="DB22" i="11"/>
  <c r="DB15" i="11"/>
  <c r="DB13" i="11"/>
  <c r="DB20" i="11"/>
  <c r="DB10" i="11"/>
  <c r="DB14" i="11"/>
  <c r="DB8" i="11"/>
  <c r="DB17" i="11"/>
  <c r="O42" i="10"/>
  <c r="I27" i="11"/>
  <c r="I28" i="11"/>
  <c r="J28" i="11"/>
  <c r="K28" i="11"/>
  <c r="L28" i="11"/>
  <c r="O49" i="10"/>
  <c r="O51" i="10"/>
  <c r="M26" i="11"/>
  <c r="P42" i="10"/>
  <c r="AY26" i="11"/>
  <c r="AY27" i="11"/>
  <c r="S42" i="10"/>
  <c r="AP26" i="11"/>
  <c r="R42" i="10"/>
  <c r="DC21" i="11"/>
  <c r="DC5" i="11"/>
  <c r="DC22" i="11"/>
  <c r="DC15" i="11"/>
  <c r="DC20" i="11"/>
  <c r="DC23" i="11"/>
  <c r="DC16" i="11"/>
  <c r="DD6" i="11"/>
  <c r="DC13" i="11"/>
  <c r="DC10" i="11"/>
  <c r="DC14" i="11"/>
  <c r="DC8" i="11"/>
  <c r="DC17" i="11"/>
  <c r="DB26" i="11"/>
  <c r="DB27" i="11"/>
  <c r="BN26" i="11"/>
  <c r="F16" i="11"/>
  <c r="T42" i="10"/>
  <c r="AZ23" i="11"/>
  <c r="AZ26" i="11"/>
  <c r="AZ27" i="11"/>
  <c r="AU23" i="11"/>
  <c r="AU26" i="11"/>
  <c r="AU27" i="11"/>
  <c r="AJ23" i="11"/>
  <c r="Q48" i="10"/>
  <c r="CF23" i="11"/>
  <c r="I29" i="11"/>
  <c r="J29" i="11"/>
  <c r="K29" i="11"/>
  <c r="L29" i="11"/>
  <c r="O50" i="10"/>
  <c r="O52" i="10"/>
  <c r="M27" i="11"/>
  <c r="M28" i="11"/>
  <c r="N28" i="11"/>
  <c r="O28" i="11"/>
  <c r="P28" i="11"/>
  <c r="Q28" i="11"/>
  <c r="BB23" i="11"/>
  <c r="BB26" i="11"/>
  <c r="BB27" i="11"/>
  <c r="BH23" i="11"/>
  <c r="BH26" i="11"/>
  <c r="BH27" i="11"/>
  <c r="BM23" i="11"/>
  <c r="BM26" i="11"/>
  <c r="BM27" i="11"/>
  <c r="R23" i="11"/>
  <c r="AV23" i="11"/>
  <c r="AV26" i="11"/>
  <c r="BA23" i="11"/>
  <c r="AP27" i="11"/>
  <c r="F45" i="10"/>
  <c r="E54" i="10"/>
  <c r="BT23" i="11"/>
  <c r="DC26" i="11"/>
  <c r="DC27" i="11"/>
  <c r="BN27" i="11"/>
  <c r="DD22" i="11"/>
  <c r="DD15" i="11"/>
  <c r="DD20" i="11"/>
  <c r="DD13" i="11"/>
  <c r="DD21" i="11"/>
  <c r="DE6" i="11"/>
  <c r="DD5" i="11"/>
  <c r="DD23" i="11"/>
  <c r="DD16" i="11"/>
  <c r="DD8" i="11"/>
  <c r="DD17" i="11"/>
  <c r="DD10" i="11"/>
  <c r="DD14" i="11"/>
  <c r="CF26" i="11"/>
  <c r="V48" i="10"/>
  <c r="M29" i="11"/>
  <c r="N29" i="11"/>
  <c r="O29" i="11"/>
  <c r="P29" i="11"/>
  <c r="Q29" i="11"/>
  <c r="AJ26" i="11"/>
  <c r="AJ27" i="11"/>
  <c r="Q50" i="10"/>
  <c r="U48" i="10"/>
  <c r="R48" i="10"/>
  <c r="P48" i="10"/>
  <c r="R26" i="11"/>
  <c r="AV27" i="11"/>
  <c r="S48" i="10"/>
  <c r="BA26" i="11"/>
  <c r="DD26" i="11"/>
  <c r="DD27" i="11"/>
  <c r="T48" i="10"/>
  <c r="F23" i="11"/>
  <c r="F40" i="10"/>
  <c r="BT26" i="11"/>
  <c r="U49" i="10"/>
  <c r="F55" i="10"/>
  <c r="E56" i="10"/>
  <c r="F57" i="10"/>
  <c r="F58" i="10"/>
  <c r="DE22" i="11"/>
  <c r="DE15" i="11"/>
  <c r="DE20" i="11"/>
  <c r="DE13" i="11"/>
  <c r="DE23" i="11"/>
  <c r="DE16" i="11"/>
  <c r="DE5" i="11"/>
  <c r="DE21" i="11"/>
  <c r="DF6" i="11"/>
  <c r="DE8" i="11"/>
  <c r="DE17" i="11"/>
  <c r="DE10" i="11"/>
  <c r="DE14" i="11"/>
  <c r="R49" i="10"/>
  <c r="R50" i="10"/>
  <c r="CF27" i="11"/>
  <c r="V50" i="10"/>
  <c r="V49" i="10"/>
  <c r="Q49" i="10"/>
  <c r="R27" i="11"/>
  <c r="R28" i="11"/>
  <c r="S28" i="11"/>
  <c r="T28" i="11"/>
  <c r="U28" i="11"/>
  <c r="V28" i="11"/>
  <c r="W28" i="11"/>
  <c r="X28" i="11"/>
  <c r="Y28" i="11"/>
  <c r="Z28" i="11"/>
  <c r="AA28" i="11"/>
  <c r="AB28" i="11"/>
  <c r="AC28" i="11"/>
  <c r="AD28" i="11"/>
  <c r="AE28" i="11"/>
  <c r="AF28" i="11"/>
  <c r="AG28" i="11"/>
  <c r="AH28" i="11"/>
  <c r="AI28" i="11"/>
  <c r="AJ28" i="11"/>
  <c r="AK28" i="11"/>
  <c r="AL28" i="11"/>
  <c r="AM28" i="11"/>
  <c r="AN28" i="11"/>
  <c r="AO28" i="11"/>
  <c r="AP28" i="11"/>
  <c r="AQ28" i="11"/>
  <c r="AR28" i="11"/>
  <c r="AS28" i="11"/>
  <c r="AT28" i="11"/>
  <c r="AU28" i="11"/>
  <c r="AV28" i="11"/>
  <c r="AW28" i="11"/>
  <c r="AX28" i="11"/>
  <c r="AY28" i="11"/>
  <c r="AZ28" i="11"/>
  <c r="BA28" i="11"/>
  <c r="BB28" i="11"/>
  <c r="BC28" i="11"/>
  <c r="BD28" i="11"/>
  <c r="BE28" i="11"/>
  <c r="BF28" i="11"/>
  <c r="BG28" i="11"/>
  <c r="BH28" i="11"/>
  <c r="BI28" i="11"/>
  <c r="BJ28" i="11"/>
  <c r="BK28" i="11"/>
  <c r="BL28" i="11"/>
  <c r="BM28" i="11"/>
  <c r="BN28" i="11"/>
  <c r="BO28" i="11"/>
  <c r="BP28" i="11"/>
  <c r="BQ28" i="11"/>
  <c r="BR28" i="11"/>
  <c r="BS28" i="11"/>
  <c r="BT28" i="11"/>
  <c r="BU28" i="11"/>
  <c r="BV28" i="11"/>
  <c r="BW28" i="11"/>
  <c r="BX28" i="11"/>
  <c r="BY28" i="11"/>
  <c r="BZ28" i="11"/>
  <c r="CA28" i="11"/>
  <c r="CB28" i="11"/>
  <c r="CC28" i="11"/>
  <c r="CD28" i="11"/>
  <c r="CE28" i="11"/>
  <c r="CF28" i="11"/>
  <c r="CG28" i="11"/>
  <c r="CH28" i="11"/>
  <c r="CI28" i="11"/>
  <c r="CJ28" i="11"/>
  <c r="CK28" i="11"/>
  <c r="CL28" i="11"/>
  <c r="CM28" i="11"/>
  <c r="CN28" i="11"/>
  <c r="CO28" i="11"/>
  <c r="CP28" i="11"/>
  <c r="CQ28" i="11"/>
  <c r="CR28" i="11"/>
  <c r="CS28" i="11"/>
  <c r="CT28" i="11"/>
  <c r="CU28" i="11"/>
  <c r="CV28" i="11"/>
  <c r="CW28" i="11"/>
  <c r="CX28" i="11"/>
  <c r="P49" i="10"/>
  <c r="P51" i="10"/>
  <c r="BA27" i="11"/>
  <c r="S50" i="10"/>
  <c r="S49" i="10"/>
  <c r="DE26" i="11"/>
  <c r="DE27" i="11"/>
  <c r="BT27" i="11"/>
  <c r="L40" i="10"/>
  <c r="D26" i="11"/>
  <c r="L44" i="10"/>
  <c r="T49" i="10"/>
  <c r="F26" i="11"/>
  <c r="E26" i="11"/>
  <c r="L37" i="10"/>
  <c r="DF20" i="11"/>
  <c r="DF13" i="11"/>
  <c r="DF23" i="11"/>
  <c r="DF16" i="11"/>
  <c r="DF21" i="11"/>
  <c r="DG6" i="11"/>
  <c r="DF22" i="11"/>
  <c r="DF15" i="11"/>
  <c r="DF5" i="11"/>
  <c r="DF10" i="11"/>
  <c r="DF14" i="11"/>
  <c r="DF8" i="11"/>
  <c r="DF17" i="11"/>
  <c r="E58" i="10"/>
  <c r="E59" i="10"/>
  <c r="F47" i="10"/>
  <c r="Q51" i="10"/>
  <c r="R51" i="10"/>
  <c r="S51" i="10"/>
  <c r="T51" i="10"/>
  <c r="U51" i="10"/>
  <c r="V51" i="10"/>
  <c r="W51" i="10"/>
  <c r="X51" i="10"/>
  <c r="R29" i="11"/>
  <c r="S29" i="11"/>
  <c r="T29" i="11"/>
  <c r="U29" i="11"/>
  <c r="V29" i="11"/>
  <c r="W29" i="11"/>
  <c r="X29" i="11"/>
  <c r="Y29" i="11"/>
  <c r="Z29" i="11"/>
  <c r="AA29" i="11"/>
  <c r="AB29" i="11"/>
  <c r="AC29" i="11"/>
  <c r="AD29" i="11"/>
  <c r="AE29" i="11"/>
  <c r="AF29" i="11"/>
  <c r="AG29" i="11"/>
  <c r="AH29" i="11"/>
  <c r="AI29" i="11"/>
  <c r="AJ29" i="11"/>
  <c r="AK29" i="11"/>
  <c r="AL29" i="11"/>
  <c r="AM29" i="11"/>
  <c r="AN29" i="11"/>
  <c r="AO29" i="11"/>
  <c r="AP29" i="11"/>
  <c r="AQ29" i="11"/>
  <c r="AR29" i="11"/>
  <c r="AS29" i="11"/>
  <c r="AT29" i="11"/>
  <c r="AU29" i="11"/>
  <c r="AV29" i="11"/>
  <c r="AW29" i="11"/>
  <c r="AX29" i="11"/>
  <c r="AY29" i="11"/>
  <c r="AZ29" i="11"/>
  <c r="BA29" i="11"/>
  <c r="BB29" i="11"/>
  <c r="BC29" i="11"/>
  <c r="BD29" i="11"/>
  <c r="BE29" i="11"/>
  <c r="BF29" i="11"/>
  <c r="BG29" i="11"/>
  <c r="BH29" i="11"/>
  <c r="BI29" i="11"/>
  <c r="BJ29" i="11"/>
  <c r="BK29" i="11"/>
  <c r="BL29" i="11"/>
  <c r="BM29" i="11"/>
  <c r="BN29" i="11"/>
  <c r="BO29" i="11"/>
  <c r="BP29" i="11"/>
  <c r="BQ29" i="11"/>
  <c r="BR29" i="11"/>
  <c r="BS29" i="11"/>
  <c r="BT29" i="11"/>
  <c r="BU29" i="11"/>
  <c r="BV29" i="11"/>
  <c r="BW29" i="11"/>
  <c r="BX29" i="11"/>
  <c r="BY29" i="11"/>
  <c r="BZ29" i="11"/>
  <c r="CA29" i="11"/>
  <c r="CB29" i="11"/>
  <c r="CC29" i="11"/>
  <c r="CD29" i="11"/>
  <c r="CE29" i="11"/>
  <c r="CF29" i="11"/>
  <c r="CG29" i="11"/>
  <c r="CH29" i="11"/>
  <c r="CI29" i="11"/>
  <c r="CJ29" i="11"/>
  <c r="CK29" i="11"/>
  <c r="CL29" i="11"/>
  <c r="CM29" i="11"/>
  <c r="CN29" i="11"/>
  <c r="CO29" i="11"/>
  <c r="CP29" i="11"/>
  <c r="CQ29" i="11"/>
  <c r="CR29" i="11"/>
  <c r="CS29" i="11"/>
  <c r="CT29" i="11"/>
  <c r="CU29" i="11"/>
  <c r="CV29" i="11"/>
  <c r="CW29" i="11"/>
  <c r="CX29" i="11"/>
  <c r="CY29" i="11"/>
  <c r="CZ29" i="11"/>
  <c r="DA29" i="11"/>
  <c r="DB29" i="11"/>
  <c r="DC29" i="11"/>
  <c r="DD29" i="11"/>
  <c r="DE29" i="11"/>
  <c r="P50" i="10"/>
  <c r="P52" i="10"/>
  <c r="Q52" i="10"/>
  <c r="R52" i="10"/>
  <c r="S52" i="10"/>
  <c r="U50" i="10"/>
  <c r="DG13" i="11"/>
  <c r="DG23" i="11"/>
  <c r="DG16" i="11"/>
  <c r="DG21" i="11"/>
  <c r="DH6" i="11"/>
  <c r="DG5" i="11"/>
  <c r="DG20" i="11"/>
  <c r="DG15" i="11"/>
  <c r="DG10" i="11"/>
  <c r="DG14" i="11"/>
  <c r="DG8" i="11"/>
  <c r="DG17" i="11"/>
  <c r="DG22" i="11"/>
  <c r="CY28" i="11"/>
  <c r="CZ28" i="11"/>
  <c r="DA28" i="11"/>
  <c r="DB28" i="11"/>
  <c r="DC28" i="11"/>
  <c r="DD28" i="11"/>
  <c r="DE28" i="11"/>
  <c r="C28" i="11"/>
  <c r="L42" i="10"/>
  <c r="F59" i="10"/>
  <c r="DF26" i="11"/>
  <c r="DF27" i="11"/>
  <c r="D72" i="10"/>
  <c r="L39" i="10"/>
  <c r="L41" i="10"/>
  <c r="T50" i="10"/>
  <c r="D27" i="11"/>
  <c r="L45" i="10"/>
  <c r="F27" i="11"/>
  <c r="E27" i="11"/>
  <c r="L38" i="10"/>
  <c r="T52" i="10"/>
  <c r="U52" i="10"/>
  <c r="V52" i="10"/>
  <c r="W52" i="10"/>
  <c r="X52" i="10"/>
  <c r="C29" i="11"/>
  <c r="L43" i="10"/>
  <c r="DF29" i="11"/>
  <c r="DF28" i="11"/>
  <c r="DG26" i="11"/>
  <c r="DG27" i="11"/>
  <c r="DH23" i="11"/>
  <c r="DH16" i="11"/>
  <c r="DH21" i="11"/>
  <c r="DI6" i="11"/>
  <c r="DH5" i="11"/>
  <c r="DH22" i="11"/>
  <c r="DH15" i="11"/>
  <c r="DH13" i="11"/>
  <c r="DH20" i="11"/>
  <c r="DH10" i="11"/>
  <c r="DH14" i="11"/>
  <c r="DH8" i="11"/>
  <c r="DH17" i="11"/>
  <c r="DG29" i="11"/>
  <c r="DH26" i="11"/>
  <c r="DH27" i="11"/>
  <c r="DI21" i="11"/>
  <c r="DI5" i="11"/>
  <c r="DI22" i="11"/>
  <c r="DI15" i="11"/>
  <c r="DI20" i="11"/>
  <c r="DI23" i="11"/>
  <c r="DI16" i="11"/>
  <c r="DI13" i="11"/>
  <c r="DJ6" i="11"/>
  <c r="DI10" i="11"/>
  <c r="DI14" i="11"/>
  <c r="DI8" i="11"/>
  <c r="DI17" i="11"/>
  <c r="DG28" i="11"/>
  <c r="DH28" i="11"/>
  <c r="DH29" i="11"/>
  <c r="DJ22" i="11"/>
  <c r="DJ15" i="11"/>
  <c r="DJ20" i="11"/>
  <c r="DJ13" i="11"/>
  <c r="DJ21" i="11"/>
  <c r="DJ23" i="11"/>
  <c r="DJ16" i="11"/>
  <c r="DJ5" i="11"/>
  <c r="DJ8" i="11"/>
  <c r="DJ17" i="11"/>
  <c r="DJ10" i="11"/>
  <c r="DJ14" i="11"/>
  <c r="DI26" i="11"/>
  <c r="DI27" i="11"/>
  <c r="DI29" i="11"/>
  <c r="DI28" i="11"/>
  <c r="DJ26" i="11"/>
  <c r="DJ27" i="11"/>
  <c r="DJ29" i="11"/>
  <c r="DJ28" i="11"/>
  <c r="J35" i="30"/>
  <c r="J41" i="30"/>
  <c r="K42" i="30"/>
  <c r="K45" i="30"/>
  <c r="C18" i="31"/>
  <c r="D18" i="31"/>
  <c r="AN18" i="31"/>
  <c r="AO18" i="31"/>
  <c r="O39" i="29"/>
  <c r="W14" i="29"/>
  <c r="K44" i="30"/>
  <c r="K43" i="30"/>
  <c r="AH27" i="29"/>
  <c r="AH28" i="29"/>
  <c r="K59" i="30"/>
  <c r="W15" i="29"/>
  <c r="C17" i="31"/>
  <c r="D17" i="31"/>
  <c r="AN17" i="31"/>
  <c r="AO17" i="31"/>
  <c r="O40" i="29"/>
  <c r="T39" i="29"/>
  <c r="V39" i="29"/>
  <c r="X39" i="29"/>
  <c r="S39" i="29"/>
  <c r="N39" i="29"/>
  <c r="O41" i="29"/>
  <c r="AM9" i="25"/>
  <c r="AN9" i="25"/>
  <c r="N102" i="30"/>
  <c r="O38" i="29"/>
  <c r="T41" i="29"/>
  <c r="V41" i="29"/>
  <c r="X41" i="29"/>
  <c r="S41" i="29"/>
  <c r="N41" i="29"/>
  <c r="S40" i="29"/>
  <c r="N40" i="29"/>
  <c r="T40" i="29"/>
  <c r="V40" i="29"/>
  <c r="X40" i="29"/>
  <c r="AF17" i="25"/>
  <c r="X17" i="25"/>
  <c r="V17" i="25"/>
  <c r="AC17" i="25"/>
  <c r="U17" i="25"/>
  <c r="T17" i="25"/>
  <c r="AD17" i="25"/>
  <c r="AA17" i="25"/>
  <c r="S17" i="25"/>
  <c r="AE17" i="25"/>
  <c r="AH17" i="25"/>
  <c r="Z17" i="25"/>
  <c r="R17" i="25"/>
  <c r="AB17" i="25"/>
  <c r="AG17" i="25"/>
  <c r="Y17" i="25"/>
  <c r="L16" i="24"/>
  <c r="W17" i="25"/>
  <c r="K16" i="24"/>
  <c r="Q17" i="25"/>
  <c r="C9" i="25"/>
  <c r="AG20" i="25"/>
  <c r="J16" i="24"/>
  <c r="S38" i="29"/>
  <c r="E7" i="58"/>
  <c r="N38" i="29"/>
  <c r="T38" i="29"/>
  <c r="V38" i="29"/>
  <c r="X38" i="29"/>
  <c r="K20" i="24"/>
  <c r="J86" i="30"/>
  <c r="AE20" i="25"/>
  <c r="T20" i="25"/>
  <c r="AI20" i="25"/>
  <c r="AK20" i="25"/>
  <c r="AL20" i="25"/>
  <c r="W20" i="25"/>
  <c r="Q20" i="25"/>
  <c r="R20" i="25"/>
  <c r="V20" i="25"/>
  <c r="Y20" i="25"/>
  <c r="S20" i="25"/>
  <c r="AJ20" i="25"/>
  <c r="U20" i="25"/>
  <c r="X20" i="25"/>
  <c r="Z20" i="25"/>
  <c r="O20" i="25"/>
  <c r="P20" i="25"/>
  <c r="AA20" i="25"/>
  <c r="AH20" i="25"/>
  <c r="AC20" i="25"/>
  <c r="AF20" i="25"/>
  <c r="AB20" i="25"/>
  <c r="AD20" i="25"/>
  <c r="Q18" i="25"/>
  <c r="R18" i="25"/>
  <c r="S18" i="25"/>
  <c r="T18" i="25"/>
  <c r="U18" i="25"/>
  <c r="V18" i="25"/>
  <c r="W18" i="25"/>
  <c r="X18" i="25"/>
  <c r="Y18" i="25"/>
  <c r="Z18" i="25"/>
  <c r="AA18" i="25"/>
  <c r="AB18" i="25"/>
  <c r="AC18" i="25"/>
  <c r="AD18" i="25"/>
  <c r="AE18" i="25"/>
  <c r="AF18" i="25"/>
  <c r="AG18" i="25"/>
  <c r="AH18" i="25"/>
  <c r="J20" i="24"/>
  <c r="J36" i="30"/>
  <c r="K63" i="30"/>
  <c r="O8" i="28"/>
  <c r="J85" i="30"/>
  <c r="J21" i="24"/>
  <c r="K21" i="24"/>
  <c r="AH38" i="29"/>
  <c r="W11" i="29"/>
  <c r="O22" i="30"/>
  <c r="O23" i="30"/>
  <c r="Q23" i="30"/>
  <c r="B2" i="59"/>
  <c r="C8" i="28"/>
  <c r="O12" i="28"/>
  <c r="O13" i="28"/>
  <c r="O24" i="30"/>
  <c r="Q24" i="30"/>
  <c r="O25" i="30"/>
  <c r="Q25" i="30"/>
  <c r="Q39" i="30"/>
  <c r="Z20" i="29"/>
  <c r="C4" i="31"/>
  <c r="K35" i="30"/>
  <c r="O23" i="29"/>
  <c r="B3" i="59"/>
  <c r="P12" i="28"/>
  <c r="P13" i="28"/>
  <c r="I21" i="58"/>
  <c r="H21" i="58"/>
  <c r="F6" i="31"/>
  <c r="R25" i="30"/>
  <c r="R24" i="30"/>
  <c r="O47" i="30"/>
  <c r="F4" i="31"/>
  <c r="AU7" i="31"/>
  <c r="K47" i="30"/>
  <c r="K49" i="30"/>
  <c r="C21" i="31"/>
  <c r="K52" i="30"/>
  <c r="K48" i="30"/>
  <c r="C20" i="31"/>
  <c r="K50" i="30"/>
  <c r="C22" i="31"/>
  <c r="K51" i="30"/>
  <c r="Z30" i="29"/>
  <c r="O33" i="29"/>
  <c r="Z37" i="29"/>
  <c r="Z36" i="29"/>
  <c r="Z40" i="29"/>
  <c r="S23" i="29"/>
  <c r="Z41" i="29"/>
  <c r="N23" i="29"/>
  <c r="O24" i="29"/>
  <c r="Z31" i="29"/>
  <c r="Z39" i="29"/>
  <c r="Q40" i="30"/>
  <c r="H22" i="58"/>
  <c r="I22" i="58"/>
  <c r="Q12" i="28"/>
  <c r="Q13" i="28"/>
  <c r="O49" i="30"/>
  <c r="Z29" i="29"/>
  <c r="Z34" i="29"/>
  <c r="Z42" i="29"/>
  <c r="Z38" i="29"/>
  <c r="O20" i="31"/>
  <c r="L20" i="31"/>
  <c r="K20" i="31"/>
  <c r="M20" i="31"/>
  <c r="N20" i="31"/>
  <c r="Q20" i="31"/>
  <c r="I20" i="31"/>
  <c r="P20" i="31"/>
  <c r="J20" i="31"/>
  <c r="O22" i="31"/>
  <c r="F22" i="31"/>
  <c r="N22" i="31"/>
  <c r="L22" i="31"/>
  <c r="M22" i="31"/>
  <c r="I22" i="31"/>
  <c r="J22" i="31"/>
  <c r="E22" i="31"/>
  <c r="D22" i="31"/>
  <c r="H22" i="31"/>
  <c r="G22" i="31"/>
  <c r="K22" i="31"/>
  <c r="S33" i="29"/>
  <c r="N33" i="29"/>
  <c r="O32" i="29"/>
  <c r="T33" i="29"/>
  <c r="V33" i="29"/>
  <c r="X33" i="29"/>
  <c r="O21" i="31"/>
  <c r="T21" i="31"/>
  <c r="Q21" i="31"/>
  <c r="R21" i="31"/>
  <c r="J21" i="31"/>
  <c r="S21" i="31"/>
  <c r="P21" i="31"/>
  <c r="I21" i="31"/>
  <c r="L21" i="31"/>
  <c r="N21" i="31"/>
  <c r="K21" i="31"/>
  <c r="M21" i="31"/>
  <c r="S24" i="29"/>
  <c r="T24" i="29"/>
  <c r="O27" i="29"/>
  <c r="N24" i="29"/>
  <c r="Z59" i="29"/>
  <c r="G19" i="31"/>
  <c r="N19" i="31"/>
  <c r="K19" i="31"/>
  <c r="K53" i="30"/>
  <c r="I19" i="31"/>
  <c r="G4" i="31"/>
  <c r="AU8" i="31"/>
  <c r="Q41" i="30"/>
  <c r="R12" i="28"/>
  <c r="R13" i="28"/>
  <c r="Z46" i="29"/>
  <c r="Z47" i="29"/>
  <c r="O50" i="30"/>
  <c r="O51" i="30"/>
  <c r="O52" i="30"/>
  <c r="O53" i="30"/>
  <c r="O55" i="30"/>
  <c r="O53" i="29"/>
  <c r="O51" i="29"/>
  <c r="O43" i="29"/>
  <c r="O44" i="29"/>
  <c r="AE50" i="29"/>
  <c r="O60" i="29"/>
  <c r="Z52" i="29"/>
  <c r="G6" i="31"/>
  <c r="AN22" i="31"/>
  <c r="AO22" i="31"/>
  <c r="AN21" i="31"/>
  <c r="AO21" i="31"/>
  <c r="Q42" i="30"/>
  <c r="N27" i="29"/>
  <c r="S27" i="29"/>
  <c r="N32" i="29"/>
  <c r="S32" i="29"/>
  <c r="T32" i="29"/>
  <c r="V32" i="29"/>
  <c r="X32" i="29"/>
  <c r="O34" i="29"/>
  <c r="AN19" i="31"/>
  <c r="AU9" i="31"/>
  <c r="H4" i="31"/>
  <c r="C8" i="31"/>
  <c r="K60" i="30"/>
  <c r="K61" i="30"/>
  <c r="T23" i="29"/>
  <c r="T27" i="29"/>
  <c r="V24" i="29"/>
  <c r="AN20" i="31"/>
  <c r="AO20" i="31"/>
  <c r="H24" i="58"/>
  <c r="Q24" i="58"/>
  <c r="I24" i="58"/>
  <c r="S12" i="28"/>
  <c r="S13" i="28"/>
  <c r="Q54" i="30"/>
  <c r="AU22" i="31"/>
  <c r="O56" i="30"/>
  <c r="Q55" i="30"/>
  <c r="O45" i="29"/>
  <c r="T44" i="29"/>
  <c r="V44" i="29"/>
  <c r="X44" i="29"/>
  <c r="S44" i="29"/>
  <c r="N44" i="29"/>
  <c r="T47" i="29"/>
  <c r="V47" i="29"/>
  <c r="X47" i="29"/>
  <c r="S47" i="29"/>
  <c r="N47" i="29"/>
  <c r="N43" i="29"/>
  <c r="O42" i="29"/>
  <c r="S43" i="29"/>
  <c r="T43" i="29"/>
  <c r="V43" i="29"/>
  <c r="X43" i="29"/>
  <c r="S60" i="29"/>
  <c r="N60" i="29"/>
  <c r="O59" i="29"/>
  <c r="AO8" i="31"/>
  <c r="C23" i="31"/>
  <c r="C25" i="31"/>
  <c r="N34" i="29"/>
  <c r="S34" i="29"/>
  <c r="V34" i="29"/>
  <c r="X34" i="29"/>
  <c r="T34" i="29"/>
  <c r="AU10" i="31"/>
  <c r="I4" i="31"/>
  <c r="H6" i="31"/>
  <c r="V23" i="29"/>
  <c r="V27" i="29"/>
  <c r="X24" i="29"/>
  <c r="Q43" i="30"/>
  <c r="AO19" i="31"/>
  <c r="J24" i="58"/>
  <c r="H25" i="58"/>
  <c r="Q25" i="58"/>
  <c r="I25" i="58"/>
  <c r="U4" i="31"/>
  <c r="V4" i="31"/>
  <c r="AU23" i="31"/>
  <c r="O57" i="30"/>
  <c r="Q56" i="30"/>
  <c r="I23" i="58"/>
  <c r="H23" i="58"/>
  <c r="N42" i="29"/>
  <c r="S42" i="29"/>
  <c r="T42" i="29"/>
  <c r="V42" i="29"/>
  <c r="X42" i="29"/>
  <c r="S59" i="29"/>
  <c r="N59" i="29"/>
  <c r="X23" i="29"/>
  <c r="X27" i="29"/>
  <c r="I6" i="31"/>
  <c r="O23" i="31"/>
  <c r="N23" i="31"/>
  <c r="L23" i="31"/>
  <c r="F23" i="31"/>
  <c r="F25" i="31"/>
  <c r="L22" i="58"/>
  <c r="N22" i="58"/>
  <c r="I23" i="31"/>
  <c r="I25" i="31"/>
  <c r="M23" i="31"/>
  <c r="K23" i="31"/>
  <c r="D23" i="31"/>
  <c r="E23" i="31"/>
  <c r="E25" i="31"/>
  <c r="L21" i="58"/>
  <c r="N21" i="58"/>
  <c r="H23" i="31"/>
  <c r="H25" i="31"/>
  <c r="L24" i="58"/>
  <c r="N24" i="58"/>
  <c r="P24" i="58"/>
  <c r="R24" i="58"/>
  <c r="J23" i="31"/>
  <c r="G23" i="31"/>
  <c r="G25" i="31"/>
  <c r="L23" i="58"/>
  <c r="N23" i="58"/>
  <c r="Q44" i="30"/>
  <c r="AU11" i="31"/>
  <c r="J4" i="31"/>
  <c r="J25" i="58"/>
  <c r="I26" i="58"/>
  <c r="H26" i="58"/>
  <c r="Q26" i="58"/>
  <c r="U6" i="31"/>
  <c r="U25" i="31"/>
  <c r="AU24" i="31"/>
  <c r="W4" i="31"/>
  <c r="W25" i="31"/>
  <c r="O58" i="30"/>
  <c r="Q57" i="30"/>
  <c r="V6" i="31"/>
  <c r="W6" i="31"/>
  <c r="X6" i="31"/>
  <c r="Y6" i="31"/>
  <c r="Z6" i="31"/>
  <c r="V25" i="31"/>
  <c r="AN23" i="31"/>
  <c r="N104" i="30"/>
  <c r="AH36" i="29"/>
  <c r="D25" i="31"/>
  <c r="I27" i="31"/>
  <c r="I29" i="31"/>
  <c r="AU12" i="31"/>
  <c r="K4" i="31"/>
  <c r="J6" i="31"/>
  <c r="J25" i="31"/>
  <c r="Q45" i="30"/>
  <c r="E27" i="31"/>
  <c r="F27" i="31"/>
  <c r="F29" i="31"/>
  <c r="G27" i="31"/>
  <c r="G29" i="31"/>
  <c r="H27" i="31"/>
  <c r="H29" i="31"/>
  <c r="J26" i="58"/>
  <c r="U29" i="31"/>
  <c r="L37" i="58"/>
  <c r="AU25" i="31"/>
  <c r="X4" i="31"/>
  <c r="X25" i="31"/>
  <c r="V29" i="31"/>
  <c r="L38" i="58"/>
  <c r="Q58" i="30"/>
  <c r="O59" i="30"/>
  <c r="L39" i="58"/>
  <c r="W29" i="31"/>
  <c r="E26" i="31"/>
  <c r="F26" i="31"/>
  <c r="G26" i="31"/>
  <c r="H26" i="31"/>
  <c r="I26" i="31"/>
  <c r="J26" i="31"/>
  <c r="AO23" i="31"/>
  <c r="AO24" i="31"/>
  <c r="K6" i="31"/>
  <c r="K25" i="31"/>
  <c r="L27" i="58"/>
  <c r="Q46" i="30"/>
  <c r="J27" i="31"/>
  <c r="J29" i="31"/>
  <c r="E29" i="31"/>
  <c r="L4" i="31"/>
  <c r="AU13" i="31"/>
  <c r="D27" i="31"/>
  <c r="E28" i="31"/>
  <c r="F28" i="31"/>
  <c r="G28" i="31"/>
  <c r="H28" i="31"/>
  <c r="I28" i="31"/>
  <c r="H28" i="58"/>
  <c r="Q28" i="58"/>
  <c r="I28" i="58"/>
  <c r="O61" i="30"/>
  <c r="Q60" i="30"/>
  <c r="Q59" i="30"/>
  <c r="AU26" i="31"/>
  <c r="Y4" i="31"/>
  <c r="Y25" i="31"/>
  <c r="X29" i="31"/>
  <c r="AK47" i="29"/>
  <c r="J28" i="31"/>
  <c r="K26" i="31"/>
  <c r="K27" i="31"/>
  <c r="C27" i="31"/>
  <c r="D29" i="31"/>
  <c r="L25" i="31"/>
  <c r="L6" i="31"/>
  <c r="Q47" i="30"/>
  <c r="M4" i="31"/>
  <c r="AU14" i="31"/>
  <c r="I29" i="58"/>
  <c r="H29" i="58"/>
  <c r="Q29" i="58"/>
  <c r="J28" i="58"/>
  <c r="AA4" i="31"/>
  <c r="AF6" i="31"/>
  <c r="AU28" i="31"/>
  <c r="O62" i="30"/>
  <c r="Q61" i="30"/>
  <c r="AB4" i="31"/>
  <c r="Z4" i="31"/>
  <c r="Z25" i="31"/>
  <c r="Z29" i="31"/>
  <c r="AU27" i="31"/>
  <c r="Y29" i="31"/>
  <c r="K28" i="31"/>
  <c r="L28" i="31"/>
  <c r="M28" i="31"/>
  <c r="N28" i="31"/>
  <c r="O28" i="31"/>
  <c r="P28" i="31"/>
  <c r="Q28" i="31"/>
  <c r="R28" i="31"/>
  <c r="S28" i="31"/>
  <c r="T28" i="31"/>
  <c r="U28" i="31"/>
  <c r="V28" i="31"/>
  <c r="W28" i="31"/>
  <c r="X28" i="31"/>
  <c r="Y28" i="31"/>
  <c r="Z28" i="31"/>
  <c r="AA28" i="31"/>
  <c r="AB28" i="31"/>
  <c r="AC28" i="31"/>
  <c r="AD28" i="31"/>
  <c r="AE28" i="31"/>
  <c r="AF28" i="31"/>
  <c r="AG28" i="31"/>
  <c r="AH28" i="31"/>
  <c r="AI28" i="31"/>
  <c r="AJ28" i="31"/>
  <c r="AK28" i="31"/>
  <c r="AL28" i="31"/>
  <c r="AM28" i="31"/>
  <c r="AN27" i="31"/>
  <c r="Q48" i="30"/>
  <c r="AU15" i="31"/>
  <c r="N4" i="31"/>
  <c r="AB37" i="31"/>
  <c r="C53" i="31"/>
  <c r="N89" i="30"/>
  <c r="N103" i="30"/>
  <c r="D34" i="31"/>
  <c r="R36" i="31"/>
  <c r="E30" i="31"/>
  <c r="F30" i="31"/>
  <c r="G30" i="31"/>
  <c r="H30" i="31"/>
  <c r="I30" i="31"/>
  <c r="J30" i="31"/>
  <c r="K29" i="31"/>
  <c r="M6" i="31"/>
  <c r="M25" i="31"/>
  <c r="L29" i="31"/>
  <c r="L26" i="31"/>
  <c r="J29" i="58"/>
  <c r="I30" i="58"/>
  <c r="H30" i="58"/>
  <c r="Q30" i="58"/>
  <c r="AA25" i="31"/>
  <c r="L43" i="58"/>
  <c r="N43" i="58"/>
  <c r="P43" i="58"/>
  <c r="R43" i="58"/>
  <c r="AU29" i="31"/>
  <c r="O63" i="30"/>
  <c r="Q62" i="30"/>
  <c r="AC4" i="31"/>
  <c r="L42" i="58"/>
  <c r="N42" i="58"/>
  <c r="P42" i="58"/>
  <c r="R42" i="58"/>
  <c r="M29" i="31"/>
  <c r="M26" i="31"/>
  <c r="AN37" i="31"/>
  <c r="AB38" i="31"/>
  <c r="N25" i="31"/>
  <c r="L30" i="58"/>
  <c r="N6" i="31"/>
  <c r="D38" i="31"/>
  <c r="E34" i="31"/>
  <c r="Q49" i="30"/>
  <c r="R38" i="31"/>
  <c r="R53" i="31"/>
  <c r="S36" i="31"/>
  <c r="K30" i="31"/>
  <c r="L30" i="31"/>
  <c r="AU16" i="31"/>
  <c r="O4" i="31"/>
  <c r="N30" i="58"/>
  <c r="P30" i="58"/>
  <c r="R30" i="58"/>
  <c r="J30" i="58"/>
  <c r="M30" i="31"/>
  <c r="AA29" i="31"/>
  <c r="AC25" i="31"/>
  <c r="O64" i="30"/>
  <c r="Q63" i="30"/>
  <c r="AD4" i="31"/>
  <c r="AB25" i="31"/>
  <c r="AB6" i="31"/>
  <c r="N26" i="31"/>
  <c r="S38" i="31"/>
  <c r="S53" i="31"/>
  <c r="T36" i="31"/>
  <c r="AU17" i="31"/>
  <c r="P4" i="31"/>
  <c r="M34" i="31"/>
  <c r="M38" i="31"/>
  <c r="J34" i="31"/>
  <c r="J38" i="31"/>
  <c r="L34" i="31"/>
  <c r="L38" i="31"/>
  <c r="H34" i="31"/>
  <c r="H38" i="31"/>
  <c r="Q34" i="31"/>
  <c r="Q38" i="31"/>
  <c r="Q53" i="31"/>
  <c r="N34" i="31"/>
  <c r="N38" i="31"/>
  <c r="N53" i="31"/>
  <c r="K34" i="31"/>
  <c r="K38" i="31"/>
  <c r="O34" i="31"/>
  <c r="O38" i="31"/>
  <c r="O53" i="31"/>
  <c r="G34" i="31"/>
  <c r="G38" i="31"/>
  <c r="E38" i="31"/>
  <c r="P34" i="31"/>
  <c r="P38" i="31"/>
  <c r="P53" i="31"/>
  <c r="I34" i="31"/>
  <c r="I38" i="31"/>
  <c r="F34" i="31"/>
  <c r="D53" i="31"/>
  <c r="D40" i="31"/>
  <c r="AB53" i="31"/>
  <c r="N29" i="31"/>
  <c r="O25" i="31"/>
  <c r="O6" i="31"/>
  <c r="Q50" i="30"/>
  <c r="I32" i="58"/>
  <c r="H32" i="58"/>
  <c r="Q32" i="58"/>
  <c r="AD25" i="31"/>
  <c r="AI10" i="25"/>
  <c r="AC29" i="31"/>
  <c r="AC40" i="31"/>
  <c r="AB29" i="31"/>
  <c r="AB40" i="31"/>
  <c r="L44" i="58"/>
  <c r="Q64" i="30"/>
  <c r="AE4" i="31"/>
  <c r="O29" i="31"/>
  <c r="O40" i="31"/>
  <c r="I31" i="58"/>
  <c r="H31" i="58"/>
  <c r="Q31" i="58"/>
  <c r="H53" i="31"/>
  <c r="H40" i="31"/>
  <c r="N30" i="31"/>
  <c r="N40" i="31"/>
  <c r="J53" i="31"/>
  <c r="J40" i="31"/>
  <c r="Q51" i="30"/>
  <c r="L53" i="31"/>
  <c r="L40" i="31"/>
  <c r="E53" i="31"/>
  <c r="E40" i="31"/>
  <c r="E41" i="31"/>
  <c r="M53" i="31"/>
  <c r="M40" i="31"/>
  <c r="AU18" i="31"/>
  <c r="Q4" i="31"/>
  <c r="F38" i="31"/>
  <c r="AN34" i="31"/>
  <c r="I53" i="31"/>
  <c r="I40" i="31"/>
  <c r="K53" i="31"/>
  <c r="K40" i="31"/>
  <c r="P25" i="31"/>
  <c r="P6" i="31"/>
  <c r="T38" i="31"/>
  <c r="T53" i="31"/>
  <c r="U36" i="31"/>
  <c r="O26" i="31"/>
  <c r="G53" i="31"/>
  <c r="G40" i="31"/>
  <c r="J32" i="58"/>
  <c r="I33" i="58"/>
  <c r="H33" i="58"/>
  <c r="Q33" i="58"/>
  <c r="AI15" i="25"/>
  <c r="AI14" i="25"/>
  <c r="AJ10" i="25"/>
  <c r="AE25" i="31"/>
  <c r="AE29" i="31"/>
  <c r="AE40" i="31"/>
  <c r="AD29" i="31"/>
  <c r="AD40" i="31"/>
  <c r="O66" i="30"/>
  <c r="Q65" i="30"/>
  <c r="AF4" i="31"/>
  <c r="AF25" i="31"/>
  <c r="AF29" i="31"/>
  <c r="AF40" i="31"/>
  <c r="L31" i="58"/>
  <c r="P29" i="31"/>
  <c r="P40" i="31"/>
  <c r="L32" i="58"/>
  <c r="N32" i="58"/>
  <c r="P32" i="58"/>
  <c r="R32" i="58"/>
  <c r="J31" i="58"/>
  <c r="O30" i="31"/>
  <c r="P26" i="31"/>
  <c r="Q52" i="30"/>
  <c r="U38" i="31"/>
  <c r="V36" i="31"/>
  <c r="Q25" i="31"/>
  <c r="L33" i="58"/>
  <c r="Q6" i="31"/>
  <c r="R4" i="31"/>
  <c r="AU19" i="31"/>
  <c r="F53" i="31"/>
  <c r="F40" i="31"/>
  <c r="N33" i="58"/>
  <c r="P33" i="58"/>
  <c r="R33" i="58"/>
  <c r="J33" i="58"/>
  <c r="I34" i="58"/>
  <c r="H34" i="58"/>
  <c r="Q34" i="58"/>
  <c r="AJ14" i="25"/>
  <c r="AJ15" i="25"/>
  <c r="AK10" i="25"/>
  <c r="AI17" i="25"/>
  <c r="Q66" i="30"/>
  <c r="AG4" i="31"/>
  <c r="AG25" i="31"/>
  <c r="AG29" i="31"/>
  <c r="AG40" i="31"/>
  <c r="O67" i="30"/>
  <c r="P30" i="31"/>
  <c r="N31" i="58"/>
  <c r="Q29" i="31"/>
  <c r="Q53" i="30"/>
  <c r="V38" i="31"/>
  <c r="W36" i="31"/>
  <c r="U53" i="31"/>
  <c r="U40" i="31"/>
  <c r="S4" i="31"/>
  <c r="AU20" i="31"/>
  <c r="F41" i="31"/>
  <c r="G41" i="31"/>
  <c r="H41" i="31"/>
  <c r="I41" i="31"/>
  <c r="J41" i="31"/>
  <c r="K41" i="31"/>
  <c r="L41" i="31"/>
  <c r="M41" i="31"/>
  <c r="N41" i="31"/>
  <c r="O41" i="31"/>
  <c r="P41" i="31"/>
  <c r="R6" i="31"/>
  <c r="R25" i="31"/>
  <c r="Q26" i="31"/>
  <c r="J34" i="58"/>
  <c r="I35" i="58"/>
  <c r="H35" i="58"/>
  <c r="Q35" i="58"/>
  <c r="AJ17" i="25"/>
  <c r="AI18" i="25"/>
  <c r="AJ18" i="25"/>
  <c r="AK15" i="25"/>
  <c r="AK14" i="25"/>
  <c r="AL10" i="25"/>
  <c r="O68" i="30"/>
  <c r="Q67" i="30"/>
  <c r="AH4" i="31"/>
  <c r="AH25" i="31"/>
  <c r="AH29" i="31"/>
  <c r="AH40" i="31"/>
  <c r="R29" i="31"/>
  <c r="R40" i="31"/>
  <c r="L34" i="58"/>
  <c r="P31" i="58"/>
  <c r="R31" i="58"/>
  <c r="W38" i="31"/>
  <c r="X36" i="31"/>
  <c r="V53" i="31"/>
  <c r="V40" i="31"/>
  <c r="AU21" i="31"/>
  <c r="T4" i="31"/>
  <c r="S25" i="31"/>
  <c r="S6" i="31"/>
  <c r="R26" i="31"/>
  <c r="Q30" i="31"/>
  <c r="Q40" i="31"/>
  <c r="Q41" i="31"/>
  <c r="J35" i="58"/>
  <c r="H36" i="58"/>
  <c r="Q36" i="58"/>
  <c r="I36" i="58"/>
  <c r="R30" i="31"/>
  <c r="AK17" i="25"/>
  <c r="AK18" i="25"/>
  <c r="AL14" i="25"/>
  <c r="AL15" i="25"/>
  <c r="C12" i="25"/>
  <c r="O69" i="30"/>
  <c r="Q68" i="30"/>
  <c r="AI4" i="31"/>
  <c r="AI25" i="31"/>
  <c r="AI29" i="31"/>
  <c r="AI40" i="31"/>
  <c r="N34" i="58"/>
  <c r="S29" i="31"/>
  <c r="L35" i="58"/>
  <c r="R41" i="31"/>
  <c r="T6" i="31"/>
  <c r="AN6" i="31"/>
  <c r="AO6" i="31"/>
  <c r="T25" i="31"/>
  <c r="S26" i="31"/>
  <c r="Y36" i="31"/>
  <c r="X38" i="31"/>
  <c r="W53" i="31"/>
  <c r="W40" i="31"/>
  <c r="J36" i="58"/>
  <c r="S30" i="31"/>
  <c r="AM15" i="25"/>
  <c r="AM14" i="25"/>
  <c r="AM17" i="25"/>
  <c r="AL17" i="25"/>
  <c r="AL18" i="25"/>
  <c r="Q69" i="30"/>
  <c r="AJ4" i="31"/>
  <c r="O74" i="30"/>
  <c r="P70" i="30"/>
  <c r="S40" i="31"/>
  <c r="S41" i="31"/>
  <c r="I37" i="58"/>
  <c r="H37" i="58"/>
  <c r="Q37" i="58"/>
  <c r="L36" i="58"/>
  <c r="N36" i="58"/>
  <c r="P36" i="58"/>
  <c r="R36" i="58"/>
  <c r="N35" i="58"/>
  <c r="P34" i="58"/>
  <c r="R34" i="58"/>
  <c r="T26" i="31"/>
  <c r="U26" i="31"/>
  <c r="V26" i="31"/>
  <c r="W26" i="31"/>
  <c r="X26" i="31"/>
  <c r="Y26" i="31"/>
  <c r="Z26" i="31"/>
  <c r="AA26" i="31"/>
  <c r="AB26" i="31"/>
  <c r="AC26" i="31"/>
  <c r="AD26" i="31"/>
  <c r="AE26" i="31"/>
  <c r="AF26" i="31"/>
  <c r="AG26" i="31"/>
  <c r="AH26" i="31"/>
  <c r="AI26" i="31"/>
  <c r="T29" i="31"/>
  <c r="X53" i="31"/>
  <c r="X40" i="31"/>
  <c r="Z36" i="31"/>
  <c r="Y38" i="31"/>
  <c r="H38" i="58"/>
  <c r="N38" i="58"/>
  <c r="P38" i="58"/>
  <c r="I38" i="58"/>
  <c r="AM18" i="25"/>
  <c r="N37" i="58"/>
  <c r="P37" i="58"/>
  <c r="R37" i="58"/>
  <c r="AJ25" i="31"/>
  <c r="Q70" i="30"/>
  <c r="AK4" i="31"/>
  <c r="AK25" i="31"/>
  <c r="AK29" i="31"/>
  <c r="AK40" i="31"/>
  <c r="P74" i="30"/>
  <c r="Q74" i="30"/>
  <c r="Q75" i="30"/>
  <c r="J37" i="58"/>
  <c r="P35" i="58"/>
  <c r="R35" i="58"/>
  <c r="Y53" i="31"/>
  <c r="Y40" i="31"/>
  <c r="T40" i="31"/>
  <c r="T41" i="31"/>
  <c r="U41" i="31"/>
  <c r="V41" i="31"/>
  <c r="W41" i="31"/>
  <c r="X41" i="31"/>
  <c r="T30" i="31"/>
  <c r="U30" i="31"/>
  <c r="V30" i="31"/>
  <c r="W30" i="31"/>
  <c r="X30" i="31"/>
  <c r="Y30" i="31"/>
  <c r="Z30" i="31"/>
  <c r="AA30" i="31"/>
  <c r="AB30" i="31"/>
  <c r="AC30" i="31"/>
  <c r="AD30" i="31"/>
  <c r="AE30" i="31"/>
  <c r="AF30" i="31"/>
  <c r="AG30" i="31"/>
  <c r="AH30" i="31"/>
  <c r="AI30" i="31"/>
  <c r="Z38" i="31"/>
  <c r="AA36" i="31"/>
  <c r="Q38" i="58"/>
  <c r="R38" i="58"/>
  <c r="J38" i="58"/>
  <c r="AN4" i="31"/>
  <c r="AJ29" i="31"/>
  <c r="AN25" i="31"/>
  <c r="AJ30" i="31"/>
  <c r="AK30" i="31"/>
  <c r="AL30" i="31"/>
  <c r="AM30" i="31"/>
  <c r="AN10" i="25"/>
  <c r="C13" i="25"/>
  <c r="AJ26" i="31"/>
  <c r="AK26" i="31"/>
  <c r="AL26" i="31"/>
  <c r="AM26" i="31"/>
  <c r="Y41" i="31"/>
  <c r="AA38" i="31"/>
  <c r="AN36" i="31"/>
  <c r="AO37" i="31"/>
  <c r="Z53" i="31"/>
  <c r="Z40" i="31"/>
  <c r="AN15" i="25"/>
  <c r="AN14" i="25"/>
  <c r="L17" i="24"/>
  <c r="C10" i="25"/>
  <c r="AJ40" i="31"/>
  <c r="AN29" i="31"/>
  <c r="J106" i="30"/>
  <c r="K106" i="30"/>
  <c r="H106" i="30"/>
  <c r="F17" i="24"/>
  <c r="D15" i="12"/>
  <c r="D38" i="12"/>
  <c r="Z41" i="31"/>
  <c r="AP37" i="31"/>
  <c r="AQ37" i="31"/>
  <c r="AA40" i="31"/>
  <c r="AN40" i="31"/>
  <c r="AA53" i="31"/>
  <c r="AN38" i="31"/>
  <c r="E23" i="25"/>
  <c r="BE23" i="25"/>
  <c r="AW23" i="25"/>
  <c r="AO23" i="25"/>
  <c r="AG23" i="25"/>
  <c r="Y23" i="25"/>
  <c r="Q23" i="25"/>
  <c r="D23" i="25"/>
  <c r="BD23" i="25"/>
  <c r="AV23" i="25"/>
  <c r="AF23" i="25"/>
  <c r="X23" i="25"/>
  <c r="P23" i="25"/>
  <c r="BK23" i="25"/>
  <c r="AU23" i="25"/>
  <c r="AE23" i="25"/>
  <c r="W23" i="25"/>
  <c r="BB23" i="25"/>
  <c r="AL23" i="25"/>
  <c r="V23" i="25"/>
  <c r="G23" i="25"/>
  <c r="BG23" i="25"/>
  <c r="AQ23" i="25"/>
  <c r="AI23" i="25"/>
  <c r="S23" i="25"/>
  <c r="F23" i="25"/>
  <c r="AP23" i="25"/>
  <c r="Z23" i="25"/>
  <c r="J23" i="25"/>
  <c r="AN23" i="25"/>
  <c r="BC23" i="25"/>
  <c r="AM23" i="25"/>
  <c r="O23" i="25"/>
  <c r="BJ23" i="25"/>
  <c r="AT23" i="25"/>
  <c r="AD23" i="25"/>
  <c r="N23" i="25"/>
  <c r="AY23" i="25"/>
  <c r="AA23" i="25"/>
  <c r="K23" i="25"/>
  <c r="BF23" i="25"/>
  <c r="AX23" i="25"/>
  <c r="AH23" i="25"/>
  <c r="R23" i="25"/>
  <c r="I23" i="25"/>
  <c r="BI23" i="25"/>
  <c r="BA23" i="25"/>
  <c r="AS23" i="25"/>
  <c r="AK23" i="25"/>
  <c r="AC23" i="25"/>
  <c r="U23" i="25"/>
  <c r="M23" i="25"/>
  <c r="H23" i="25"/>
  <c r="BH23" i="25"/>
  <c r="AZ23" i="25"/>
  <c r="AR23" i="25"/>
  <c r="AJ23" i="25"/>
  <c r="AB23" i="25"/>
  <c r="T23" i="25"/>
  <c r="L23" i="25"/>
  <c r="AN17" i="25"/>
  <c r="C14" i="25"/>
  <c r="L18" i="24"/>
  <c r="C15" i="25"/>
  <c r="L19" i="24"/>
  <c r="AP39" i="31"/>
  <c r="C54" i="31"/>
  <c r="AA41" i="31"/>
  <c r="B24" i="59"/>
  <c r="I24" i="24"/>
  <c r="I23" i="24"/>
  <c r="J102" i="30"/>
  <c r="C17" i="25"/>
  <c r="I26" i="24"/>
  <c r="L20" i="24"/>
  <c r="AN18" i="25"/>
  <c r="AO18" i="25"/>
  <c r="AP18" i="25"/>
  <c r="AQ18" i="25"/>
  <c r="AR18" i="25"/>
  <c r="AS18" i="25"/>
  <c r="AT18" i="25"/>
  <c r="AU18" i="25"/>
  <c r="AV18" i="25"/>
  <c r="AW18" i="25"/>
  <c r="AX18" i="25"/>
  <c r="AY18" i="25"/>
  <c r="AZ18" i="25"/>
  <c r="BA18" i="25"/>
  <c r="BB18" i="25"/>
  <c r="BC18" i="25"/>
  <c r="BD18" i="25"/>
  <c r="BE18" i="25"/>
  <c r="BF18" i="25"/>
  <c r="BG18" i="25"/>
  <c r="BH18" i="25"/>
  <c r="BI18" i="25"/>
  <c r="BJ18" i="25"/>
  <c r="BK18" i="25"/>
  <c r="I25" i="24"/>
  <c r="AA42" i="31"/>
  <c r="AA43" i="31"/>
  <c r="AA44" i="31"/>
  <c r="AB41" i="31"/>
  <c r="C62" i="31"/>
  <c r="C63" i="31"/>
  <c r="N90" i="30"/>
  <c r="N84" i="30"/>
  <c r="B25" i="59"/>
  <c r="C9" i="28"/>
  <c r="J87" i="30"/>
  <c r="J97" i="30"/>
  <c r="J104" i="30"/>
  <c r="L21" i="24"/>
  <c r="M21" i="24"/>
  <c r="N21" i="24"/>
  <c r="AH44" i="29"/>
  <c r="AH45" i="29"/>
  <c r="C8" i="60"/>
  <c r="K102" i="30"/>
  <c r="H102" i="30"/>
  <c r="AB42" i="31"/>
  <c r="AB43" i="31"/>
  <c r="AB44" i="31"/>
  <c r="AC41" i="31"/>
  <c r="AD41" i="31"/>
  <c r="AE41" i="31"/>
  <c r="AF41" i="31"/>
  <c r="AG41" i="31"/>
  <c r="AH41" i="31"/>
  <c r="AI41" i="31"/>
  <c r="AJ41" i="31"/>
  <c r="AK41" i="31"/>
  <c r="AL41" i="31"/>
  <c r="AM41" i="31"/>
  <c r="I39" i="58"/>
  <c r="H39" i="58"/>
  <c r="Q39" i="58"/>
  <c r="K104" i="30"/>
  <c r="H104" i="30"/>
  <c r="H108" i="30"/>
  <c r="J108" i="30"/>
  <c r="C5" i="60"/>
  <c r="T51" i="29"/>
  <c r="V51" i="29"/>
  <c r="X51" i="29"/>
  <c r="N39" i="58"/>
  <c r="P39" i="58"/>
  <c r="R39" i="58"/>
  <c r="J39" i="58"/>
  <c r="N51" i="29"/>
  <c r="S51" i="29"/>
  <c r="N52" i="29"/>
  <c r="S52" i="29"/>
  <c r="T52" i="29"/>
  <c r="V52" i="29"/>
  <c r="X52" i="29"/>
  <c r="Z50" i="29"/>
  <c r="T53" i="29"/>
  <c r="V53" i="29"/>
  <c r="X53" i="29"/>
  <c r="S53" i="29"/>
  <c r="N53" i="29"/>
  <c r="O50" i="29"/>
  <c r="N50" i="29"/>
  <c r="S50" i="29"/>
  <c r="T50" i="29"/>
  <c r="V50" i="29"/>
  <c r="X50" i="29"/>
  <c r="Z45" i="29"/>
  <c r="Z48" i="29"/>
  <c r="AH32" i="29"/>
  <c r="S46" i="29"/>
  <c r="AH29" i="29"/>
  <c r="AH24" i="29"/>
  <c r="T46" i="29"/>
  <c r="V46" i="29"/>
  <c r="X46" i="29"/>
  <c r="Z54" i="29"/>
  <c r="N46" i="29"/>
  <c r="W20" i="29"/>
  <c r="AH30" i="29"/>
  <c r="N45" i="29"/>
  <c r="O48" i="29"/>
  <c r="T48" i="29"/>
  <c r="V48" i="29"/>
  <c r="X48" i="29"/>
  <c r="T45" i="29"/>
  <c r="V45" i="29"/>
  <c r="X45" i="29"/>
  <c r="S45" i="29"/>
  <c r="O54" i="29"/>
  <c r="S54" i="29"/>
  <c r="N48" i="29"/>
  <c r="S48" i="29"/>
  <c r="N54" i="29"/>
  <c r="T54" i="29"/>
  <c r="V54" i="29"/>
  <c r="X54" i="29"/>
  <c r="AH31" i="29"/>
  <c r="AH33" i="29"/>
  <c r="AR12" i="28"/>
  <c r="F47" i="27"/>
  <c r="F48" i="27"/>
  <c r="F26" i="24"/>
  <c r="E22" i="24"/>
  <c r="F20" i="27"/>
  <c r="F21" i="27"/>
  <c r="F25" i="27"/>
  <c r="F32" i="27"/>
  <c r="F49" i="27"/>
  <c r="F50" i="27"/>
  <c r="C6" i="28"/>
  <c r="A9" i="28"/>
  <c r="A8" i="28"/>
  <c r="A10" i="28"/>
  <c r="F51" i="27"/>
  <c r="F52" i="27"/>
  <c r="Y12" i="28"/>
  <c r="AC12" i="28"/>
  <c r="AG12" i="28"/>
  <c r="AK12" i="28"/>
  <c r="T12" i="28"/>
  <c r="AB12" i="28"/>
  <c r="V12" i="28"/>
  <c r="AO12" i="28"/>
  <c r="AL12" i="28"/>
  <c r="Z12" i="28"/>
  <c r="AD12" i="28"/>
  <c r="AH12" i="28"/>
  <c r="AF12" i="28"/>
  <c r="AP12" i="28"/>
  <c r="AM12" i="28"/>
  <c r="W12" i="28"/>
  <c r="AA12" i="28"/>
  <c r="AE12" i="28"/>
  <c r="AI12" i="28"/>
  <c r="AJ12" i="28"/>
  <c r="AQ12" i="28"/>
  <c r="U12" i="28"/>
  <c r="AN12" i="28"/>
  <c r="X12" i="28"/>
  <c r="T13" i="28"/>
  <c r="F56" i="27"/>
  <c r="U13" i="28"/>
  <c r="F45" i="58"/>
  <c r="E54" i="58"/>
  <c r="E50" i="58"/>
  <c r="V13" i="28"/>
  <c r="G3" i="59"/>
  <c r="H3" i="59"/>
  <c r="L26" i="58"/>
  <c r="N26" i="58"/>
  <c r="P26" i="58"/>
  <c r="R26" i="58"/>
  <c r="L25" i="58"/>
  <c r="N25" i="58"/>
  <c r="P25" i="58"/>
  <c r="R25" i="58"/>
  <c r="E45" i="58"/>
  <c r="W13" i="28"/>
  <c r="L20" i="58"/>
  <c r="I27" i="58"/>
  <c r="H27" i="58"/>
  <c r="Q27" i="58"/>
  <c r="Q44" i="58"/>
  <c r="N44" i="58"/>
  <c r="P44" i="58"/>
  <c r="X13" i="28"/>
  <c r="N20" i="58"/>
  <c r="N27" i="58"/>
  <c r="P27" i="58"/>
  <c r="R27" i="58"/>
  <c r="J27" i="58"/>
  <c r="J17" i="58"/>
  <c r="R44" i="58"/>
  <c r="Y13" i="28"/>
  <c r="E55" i="58"/>
  <c r="E10" i="58"/>
  <c r="L29" i="58"/>
  <c r="N29" i="58"/>
  <c r="P29" i="58"/>
  <c r="R29" i="58"/>
  <c r="L28" i="58"/>
  <c r="N28" i="58"/>
  <c r="P28" i="58"/>
  <c r="R28" i="58"/>
  <c r="Z56" i="29"/>
  <c r="Z13" i="28"/>
  <c r="T56" i="29"/>
  <c r="V56" i="29"/>
  <c r="X56" i="29"/>
  <c r="N56" i="29"/>
  <c r="S56" i="29"/>
  <c r="AI48" i="29"/>
  <c r="AH56" i="29"/>
  <c r="AH57" i="29"/>
  <c r="Z55" i="29"/>
  <c r="Z57" i="29"/>
  <c r="Z62" i="29"/>
  <c r="AE56" i="29"/>
  <c r="AA13" i="28"/>
  <c r="N55" i="29"/>
  <c r="S55" i="29"/>
  <c r="T55" i="29"/>
  <c r="V55" i="29"/>
  <c r="X55" i="29"/>
  <c r="Z63" i="29"/>
  <c r="AE55" i="29"/>
  <c r="AB13" i="28"/>
  <c r="N57" i="29"/>
  <c r="S57" i="29"/>
  <c r="T57" i="29"/>
  <c r="V57" i="29"/>
  <c r="X57" i="29"/>
  <c r="AH55" i="29"/>
  <c r="T62" i="29"/>
  <c r="O109" i="30"/>
  <c r="N62" i="29"/>
  <c r="S62" i="29"/>
  <c r="AC13" i="28"/>
  <c r="AH35" i="29"/>
  <c r="S63" i="29"/>
  <c r="N63" i="29"/>
  <c r="O110" i="30"/>
  <c r="O111" i="30"/>
  <c r="T63" i="29"/>
  <c r="V62" i="29"/>
  <c r="AD13" i="28"/>
  <c r="O112" i="30"/>
  <c r="O113" i="30"/>
  <c r="O114" i="30"/>
  <c r="V63" i="29"/>
  <c r="X62" i="29"/>
  <c r="X63" i="29"/>
  <c r="AH39" i="29"/>
  <c r="AH42" i="29"/>
  <c r="AH43" i="29"/>
  <c r="C55" i="31"/>
  <c r="AH40" i="29"/>
  <c r="AH41" i="29"/>
  <c r="AE13" i="28"/>
  <c r="E52" i="31"/>
  <c r="D52" i="31"/>
  <c r="C52" i="31"/>
  <c r="N88" i="30"/>
  <c r="N91" i="30"/>
  <c r="AF13" i="28"/>
  <c r="N95" i="30"/>
  <c r="N97" i="30"/>
  <c r="AG13" i="28"/>
  <c r="AH13" i="28"/>
  <c r="AI13" i="28"/>
  <c r="AJ13" i="28"/>
  <c r="AK13" i="28"/>
  <c r="L41" i="58"/>
  <c r="N41" i="58"/>
  <c r="L40" i="58"/>
  <c r="N40" i="58"/>
  <c r="P40" i="58"/>
  <c r="R40" i="58"/>
  <c r="AL13" i="28"/>
  <c r="L14" i="58"/>
  <c r="L17" i="58"/>
  <c r="L12" i="58"/>
  <c r="AM13" i="28"/>
  <c r="P41" i="58"/>
  <c r="R41" i="58"/>
  <c r="R16" i="58"/>
  <c r="N17" i="58"/>
  <c r="N12" i="58"/>
  <c r="N14" i="58"/>
  <c r="AN13" i="28"/>
  <c r="AO13" i="28"/>
  <c r="G6" i="59"/>
  <c r="L10" i="58"/>
  <c r="G4" i="59"/>
  <c r="G5" i="59"/>
  <c r="AP13" i="28"/>
  <c r="AQ13" i="28"/>
  <c r="AR13" i="28"/>
  <c r="AS13" i="28"/>
  <c r="AT13" i="28"/>
  <c r="AU13" i="28"/>
  <c r="AV13" i="28"/>
  <c r="AW13" i="28"/>
  <c r="AX13" i="28"/>
  <c r="AY13" i="28"/>
  <c r="AZ13" i="28"/>
  <c r="BA13" i="28"/>
  <c r="BB13" i="28"/>
  <c r="BC13" i="28"/>
  <c r="BD13" i="28"/>
  <c r="BE13" i="28"/>
  <c r="BF13" i="28"/>
  <c r="BG13" i="28"/>
  <c r="BH13" i="28"/>
  <c r="BI13" i="28"/>
  <c r="BJ13" i="28"/>
  <c r="BK13" i="28"/>
  <c r="BL13" i="28"/>
  <c r="BM13" i="28"/>
  <c r="BN13" i="28"/>
  <c r="F55" i="2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LORRANE</author>
  </authors>
  <commentList>
    <comment ref="C14" authorId="0" shapeId="0" xr:uid="{2791616D-D3B4-418D-91A2-27A7A2AE6EDE}">
      <text>
        <r>
          <rPr>
            <b/>
            <sz val="9"/>
            <color indexed="81"/>
            <rFont val="Segoe UI"/>
            <family val="2"/>
          </rPr>
          <t>Edu:</t>
        </r>
        <r>
          <rPr>
            <sz val="9"/>
            <color indexed="81"/>
            <rFont val="Segoe UI"/>
            <family val="2"/>
          </rPr>
          <t xml:space="preserve">
Detalhado na Coluna P desta Planilha.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<sst xmlns="http://schemas.openxmlformats.org/spreadsheetml/2006/main" count="1518" uniqueCount="865">
  <si>
    <r>
      <t xml:space="preserve">• Essa planilha foi adquirida em </t>
    </r>
    <r>
      <rPr>
        <b/>
        <sz val="10"/>
        <color rgb="FF00B050"/>
        <rFont val="Calibri"/>
        <family val="2"/>
      </rPr>
      <t>www.eqdi.com.br</t>
    </r>
  </si>
  <si>
    <t>• A utilização é de inteira responsabilidade do usuário</t>
  </si>
  <si>
    <t>Total</t>
  </si>
  <si>
    <t>Data</t>
  </si>
  <si>
    <t>Fluxo de Caixa</t>
  </si>
  <si>
    <t>Lucro</t>
  </si>
  <si>
    <t>Margem</t>
  </si>
  <si>
    <t/>
  </si>
  <si>
    <t>EQuação.com.br</t>
  </si>
  <si>
    <r>
      <t xml:space="preserve">• Essa planilha foi adquirida em </t>
    </r>
    <r>
      <rPr>
        <b/>
        <sz val="10"/>
        <color theme="9" tint="-0.249977111117893"/>
        <rFont val="Calibri"/>
        <family val="2"/>
      </rPr>
      <t>www.eqdi.com.br</t>
    </r>
  </si>
  <si>
    <t xml:space="preserve"> </t>
  </si>
  <si>
    <t>Instruções:</t>
  </si>
  <si>
    <r>
      <t xml:space="preserve">• Leia os passos abaixo </t>
    </r>
    <r>
      <rPr>
        <u/>
        <sz val="10"/>
        <color theme="1" tint="0.499984740745262"/>
        <rFont val="Calibri"/>
        <family val="2"/>
      </rPr>
      <t>preenchendo somente</t>
    </r>
    <r>
      <rPr>
        <sz val="10"/>
        <color theme="1" tint="0.499984740745262"/>
        <rFont val="Calibri"/>
        <family val="2"/>
      </rPr>
      <t xml:space="preserve"> as células </t>
    </r>
    <r>
      <rPr>
        <b/>
        <sz val="10"/>
        <color rgb="FF0000FF"/>
        <rFont val="Calibri"/>
        <family val="2"/>
      </rPr>
      <t>azuis</t>
    </r>
  </si>
  <si>
    <t>• Siga as orientações em: www.eqdi.com.br/estruturacao</t>
  </si>
  <si>
    <t>Premissas do investimento</t>
  </si>
  <si>
    <t>Índices Econômicos</t>
  </si>
  <si>
    <t>Custos de Aquisição</t>
  </si>
  <si>
    <t>INCC</t>
  </si>
  <si>
    <t>ITBI</t>
  </si>
  <si>
    <t>IGP-M</t>
  </si>
  <si>
    <t>Escritura</t>
  </si>
  <si>
    <t>CDI</t>
  </si>
  <si>
    <t>Prazo de Habite-se e Escritura</t>
  </si>
  <si>
    <t>IR sobre CDI (mais de 36 meses)</t>
  </si>
  <si>
    <t>Data de Pgto de ITBI e Escritura</t>
  </si>
  <si>
    <t>CDI líquido</t>
  </si>
  <si>
    <t>Premissas de Venda</t>
  </si>
  <si>
    <t>Valor e Formas de Pagamento do Investimento</t>
  </si>
  <si>
    <t>Valor de Venda</t>
  </si>
  <si>
    <t>Valor de Aquisição</t>
  </si>
  <si>
    <t>Correção de preço</t>
  </si>
  <si>
    <t>Número de Parcelas de Entrada</t>
  </si>
  <si>
    <t>Valor da Parcela da Entrada</t>
  </si>
  <si>
    <t>Sinal</t>
  </si>
  <si>
    <t>Data de Entrada</t>
  </si>
  <si>
    <t>Repasse de Financiamento</t>
  </si>
  <si>
    <t>Fim do Pgto da Entrada</t>
  </si>
  <si>
    <t>Prazo de liberação do financiamento</t>
  </si>
  <si>
    <t>Número de Parcelas de Obra</t>
  </si>
  <si>
    <t>Taxa de Condomínio</t>
  </si>
  <si>
    <t>Valor da Parcela de Obra</t>
  </si>
  <si>
    <t>Prazo para Venda</t>
  </si>
  <si>
    <t>Período de atualização das parcelas pelo INCC</t>
  </si>
  <si>
    <t>Data de Início da Taxa de Condomínio</t>
  </si>
  <si>
    <t>Início de Pagamento das Parcelas de Obra</t>
  </si>
  <si>
    <t>Data do Fim da Taxa de Condomínio</t>
  </si>
  <si>
    <t>Fim do Pgto das Parcelas</t>
  </si>
  <si>
    <t>Imposto de Renda sobre Ganho de Capital</t>
  </si>
  <si>
    <t>Aditivo de Obra</t>
  </si>
  <si>
    <t>Comissão na venda</t>
  </si>
  <si>
    <t>Atraso de Obra</t>
  </si>
  <si>
    <t>Resultados</t>
  </si>
  <si>
    <t>Resumo</t>
  </si>
  <si>
    <t>Indicadores</t>
  </si>
  <si>
    <t>Receita Líquida</t>
  </si>
  <si>
    <t>Taxa Interna de Retorno (TIR nominal)</t>
  </si>
  <si>
    <t>Resumo anual</t>
  </si>
  <si>
    <t>(+) Valor de Venda (Sinal e Repasse)</t>
  </si>
  <si>
    <t>Taxa Interna de Retorno (TIR real acima do IGP-M)</t>
  </si>
  <si>
    <t>Valor e Formas de Pagamento</t>
  </si>
  <si>
    <t>(-) Comissão na venda</t>
  </si>
  <si>
    <t>Múltiplo CDI nominal</t>
  </si>
  <si>
    <t>Entrada</t>
  </si>
  <si>
    <t>(-) Imposto de Renda sobre Ganho de Capital</t>
  </si>
  <si>
    <t>Múltiplo nominal</t>
  </si>
  <si>
    <t>Valor da Parcela</t>
  </si>
  <si>
    <t>Investimento total</t>
  </si>
  <si>
    <t>Múltiplo real</t>
  </si>
  <si>
    <t>(-) Entrada</t>
  </si>
  <si>
    <t>Exposição nominal</t>
  </si>
  <si>
    <t>ITBI e Escritura</t>
  </si>
  <si>
    <t>(-) Parcelas de Obra</t>
  </si>
  <si>
    <t>Exposição real</t>
  </si>
  <si>
    <t>Condomínio</t>
  </si>
  <si>
    <t>(-) Aditivo de Obra</t>
  </si>
  <si>
    <t>VPL a CDI  nominal líquido</t>
  </si>
  <si>
    <t>(-) ITBI e Escritura</t>
  </si>
  <si>
    <t>VPL a CDI  real líquido</t>
  </si>
  <si>
    <t>(-) Condomínio</t>
  </si>
  <si>
    <t>Resultado líquido</t>
  </si>
  <si>
    <t>Fluxo Mensal</t>
  </si>
  <si>
    <t>Gráfico (waterfall)</t>
  </si>
  <si>
    <t>Fluxo Mensal @IGP-M</t>
  </si>
  <si>
    <t>Fluxo Acumulado</t>
  </si>
  <si>
    <t>Fluxo Acumulado @IGP-M</t>
  </si>
  <si>
    <t>IR sobre CDI</t>
  </si>
  <si>
    <t>CDI líquido de IR</t>
  </si>
  <si>
    <t>TIR nominal do negócio</t>
  </si>
  <si>
    <t>Inflação (IGP-M)</t>
  </si>
  <si>
    <t>Inflação IGP-M</t>
  </si>
  <si>
    <t>Atualização IGP-M</t>
  </si>
  <si>
    <t>meses</t>
  </si>
  <si>
    <t>Inflação INCC</t>
  </si>
  <si>
    <t>Atualização INCC</t>
  </si>
  <si>
    <t>Exposição</t>
  </si>
  <si>
    <t>VPL</t>
  </si>
  <si>
    <t>TIR</t>
  </si>
  <si>
    <t>Resultado</t>
  </si>
  <si>
    <t>Modelo Financeiro de Estruturação a Preço de Custo</t>
  </si>
  <si>
    <t>• Siga as orientações em: www.eqdi.com.br/viabilidade-economica-financeira</t>
  </si>
  <si>
    <t>Características do Edifício</t>
  </si>
  <si>
    <t>Pavimentos</t>
  </si>
  <si>
    <t>Total de unidades</t>
  </si>
  <si>
    <t>Permuta oferecida pelo terreno</t>
  </si>
  <si>
    <t>Total de unidades disponíveis</t>
  </si>
  <si>
    <t>Características da Obra</t>
  </si>
  <si>
    <t>Área privativa total</t>
  </si>
  <si>
    <t>Área Equivalente de Construção</t>
  </si>
  <si>
    <t>Projetos detalhados</t>
  </si>
  <si>
    <t>CUB</t>
  </si>
  <si>
    <t>Custos extras</t>
  </si>
  <si>
    <t>Custo dos Indiretos</t>
  </si>
  <si>
    <t>Taxa de Administração</t>
  </si>
  <si>
    <t>Custo total da construção</t>
  </si>
  <si>
    <t>Custo unitário</t>
  </si>
  <si>
    <t>Meses de construção</t>
  </si>
  <si>
    <t>Parcela estimada</t>
  </si>
  <si>
    <t>Custos Iniciais do Empreendedor</t>
  </si>
  <si>
    <t>Comissões</t>
  </si>
  <si>
    <t>Custo com aprovação de projetos</t>
  </si>
  <si>
    <t>Registro em cartório</t>
  </si>
  <si>
    <t>Custos inicias totais</t>
  </si>
  <si>
    <t>Mensal</t>
  </si>
  <si>
    <t>Anual</t>
  </si>
  <si>
    <t>Terreno</t>
  </si>
  <si>
    <t>Sim</t>
  </si>
  <si>
    <t>Inflação</t>
  </si>
  <si>
    <t>Construção</t>
  </si>
  <si>
    <t>Comissão</t>
  </si>
  <si>
    <t>Impostos</t>
  </si>
  <si>
    <t>Prazo</t>
  </si>
  <si>
    <t>X</t>
  </si>
  <si>
    <t>Aquisição</t>
  </si>
  <si>
    <t>EQxperts eqdi.com.br</t>
  </si>
  <si>
    <t>v1.0 - 20161204</t>
  </si>
  <si>
    <t>Permuta Imobiliária</t>
  </si>
  <si>
    <t>• Coloque os custos de terreno, construção e receitas.</t>
  </si>
  <si>
    <t>01 Aquisição do terreno</t>
  </si>
  <si>
    <t>Quadro Resumo - Fluxo de Caixa</t>
  </si>
  <si>
    <t>Preço</t>
  </si>
  <si>
    <t>Aquisição do terreno</t>
  </si>
  <si>
    <t>Registro</t>
  </si>
  <si>
    <t>Aprovação de projetos</t>
  </si>
  <si>
    <t>Marketing</t>
  </si>
  <si>
    <t>Custo total do terreno</t>
  </si>
  <si>
    <t>Custos com obras</t>
  </si>
  <si>
    <t>Permuta (nº de unidades)</t>
  </si>
  <si>
    <t>Vendas</t>
  </si>
  <si>
    <t>Corretagem</t>
  </si>
  <si>
    <t>02 Aprovação de projetos</t>
  </si>
  <si>
    <t>Área do terreno</t>
  </si>
  <si>
    <t>Fluxo acumulado</t>
  </si>
  <si>
    <t>Coeficiente de aproveitamento</t>
  </si>
  <si>
    <t>Área da unidade</t>
  </si>
  <si>
    <t>Taxa de Retorno (TIR)</t>
  </si>
  <si>
    <t>Margem s/ investimento</t>
  </si>
  <si>
    <t>Total área privativa (AP)</t>
  </si>
  <si>
    <t>Capital necessário</t>
  </si>
  <si>
    <t>Áreas comuns (térreo, circulação, portaria...)</t>
  </si>
  <si>
    <t>Resultado Líquido</t>
  </si>
  <si>
    <t>Custo unitário com projetos, registros e aprovações (R$/m² de AP)</t>
  </si>
  <si>
    <t>Custo de oportunidade</t>
  </si>
  <si>
    <t>Total de custos com projetos, registros e aprovações</t>
  </si>
  <si>
    <t>Taxa Selic</t>
  </si>
  <si>
    <t>Tributação - Renda Fixa</t>
  </si>
  <si>
    <t>03 Custos com obras</t>
  </si>
  <si>
    <t>Renda fixa (Rend. Líq.)</t>
  </si>
  <si>
    <t>BDI</t>
  </si>
  <si>
    <t>Gerenciamento</t>
  </si>
  <si>
    <t>Total com obras</t>
  </si>
  <si>
    <t>04 Vendas</t>
  </si>
  <si>
    <t>Preço do m² de venda (R$/m² de AP)</t>
  </si>
  <si>
    <t>% recebida no sinal</t>
  </si>
  <si>
    <t>Valor Geral de Vendas (VGV)</t>
  </si>
  <si>
    <t>Publicidade e Marketing (%VGV)</t>
  </si>
  <si>
    <t>Corretagem (%VGV)</t>
  </si>
  <si>
    <t>Impostos (%VGV)</t>
  </si>
  <si>
    <t>05 Cronograma</t>
  </si>
  <si>
    <t>Início</t>
  </si>
  <si>
    <t>Prazo (meses)</t>
  </si>
  <si>
    <t>Percentual de vendas</t>
  </si>
  <si>
    <t>Negociação do terreno</t>
  </si>
  <si>
    <t>-</t>
  </si>
  <si>
    <t>Aprovação dos projetos</t>
  </si>
  <si>
    <t>Lançamento</t>
  </si>
  <si>
    <t>Obras</t>
  </si>
  <si>
    <t>Entrega das Chaves</t>
  </si>
  <si>
    <t>Subtotais</t>
  </si>
  <si>
    <t>Receita Bruta</t>
  </si>
  <si>
    <t>v1 - 161121</t>
  </si>
  <si>
    <t>Investimento em Construção de Casas</t>
  </si>
  <si>
    <r>
      <t xml:space="preserve">• Essa planilha foi adquirida em </t>
    </r>
    <r>
      <rPr>
        <b/>
        <sz val="10"/>
        <color rgb="FF008000"/>
        <rFont val="Calibri"/>
        <family val="2"/>
      </rPr>
      <t>www.eqdi.com.br</t>
    </r>
  </si>
  <si>
    <t>1.</t>
  </si>
  <si>
    <t>Custos Relacionados com a Aquisição do Terreno</t>
  </si>
  <si>
    <t>Valor de aquisição</t>
  </si>
  <si>
    <t>← Preço que você pagou pelo imóvel</t>
  </si>
  <si>
    <t>← Alíquota do Imposto sobre Transferência de Bens Imóveis, varia de município para município</t>
  </si>
  <si>
    <t>← Custo do registro da escritura no cartório de imóveis</t>
  </si>
  <si>
    <t>Certidões, cópias e autenticações</t>
  </si>
  <si>
    <t>← Custos de emissão de certidões e despachantes para registrar a escritura</t>
  </si>
  <si>
    <t>Advogado</t>
  </si>
  <si>
    <t>← Custos de honorários de um advogado para auxiliar sua aquisição</t>
  </si>
  <si>
    <t>2.</t>
  </si>
  <si>
    <t>Custos de Construção</t>
  </si>
  <si>
    <t>← Verifique no projeto ou com o técnico responsável.</t>
  </si>
  <si>
    <t>Custo de projetos por metro quadrado</t>
  </si>
  <si>
    <t>← Valor pago para um projetista desenvolver e aprovar os projetos de arquitetura, estrutural, elétrico, hidráulico...</t>
  </si>
  <si>
    <t>← Visite o site do Sinduscon do seu Estado e digite abaixo o valor do CUB do mês mais recente para o tipo de obra e padrão de acabamento definidos.</t>
  </si>
  <si>
    <t>Custos Extras</t>
  </si>
  <si>
    <t>← Inclua sua melhor estimativa de custo com fundações,terraplenagem, paisagismo, muros.</t>
  </si>
  <si>
    <t>Benefícios e despesas indiretas da Construtora</t>
  </si>
  <si>
    <t>← É o percentual aplicado por uma construtora para cobrir despesas com a equipe técnica, cópias, escritório central, impostos e, claro, o lucro.</t>
  </si>
  <si>
    <t>Custo Total com Obras e Projetos</t>
  </si>
  <si>
    <t>3.</t>
  </si>
  <si>
    <t>Venda</t>
  </si>
  <si>
    <t>Valor de venda</t>
  </si>
  <si>
    <t>← Preço de venda de uma casa semelhante no mercado.</t>
  </si>
  <si>
    <t>Custos com marketing</t>
  </si>
  <si>
    <t>← Estime o quanto pretende gastar com placas, anúncios, sites de imóveis...</t>
  </si>
  <si>
    <t>Comissão do Corretor de Imóveis</t>
  </si>
  <si>
    <t>Como você recolherá os impostos?</t>
  </si>
  <si>
    <t>Pessoa física (PF)</t>
  </si>
  <si>
    <t>← 15% é a alíquota básica do imposto de renda para o lucro imobiliário inferiores a R$ 1 milhão.</t>
  </si>
  <si>
    <t>← Inclui 0,65% de PIS, 3,0% de COFINs, 25,0% de IR para um lucro presumido de 8% da Receita Bruta  e 9,0% de CSLL para 12%.</t>
  </si>
  <si>
    <t>4.</t>
  </si>
  <si>
    <t>Prazos</t>
  </si>
  <si>
    <t>Data de início</t>
  </si>
  <si>
    <t>Parcelas</t>
  </si>
  <si>
    <t>Chaves</t>
  </si>
  <si>
    <t>5.</t>
  </si>
  <si>
    <t>Indicadores de Desempenho</t>
  </si>
  <si>
    <t>Receita Bruta: Valor de venda</t>
  </si>
  <si>
    <t>(-) Despesas com vendas</t>
  </si>
  <si>
    <t>(=) Receita líquida</t>
  </si>
  <si>
    <t>(-) Custos com terreno e construção</t>
  </si>
  <si>
    <t>(=) Resultado (lucro ou prejuízo)</t>
  </si>
  <si>
    <t>Margem sobre investimento</t>
  </si>
  <si>
    <t>Multiplo sobre investimento</t>
  </si>
  <si>
    <t>6.</t>
  </si>
  <si>
    <t>Indicadores Avançados!</t>
  </si>
  <si>
    <t>Exposição de Caixa</t>
  </si>
  <si>
    <t>← Quanto de dinheiro você precisa para realizar o negócio.</t>
  </si>
  <si>
    <t>Taxa de Retorno (a.a.)</t>
  </si>
  <si>
    <t>← Por quanto seu dinheiro renderá no negócio.</t>
  </si>
  <si>
    <t>Payback</t>
  </si>
  <si>
    <t>← Em quanto tempo você recupera o que investiu.</t>
  </si>
  <si>
    <t>Valor</t>
  </si>
  <si>
    <t>Fluxo de Caixa Acumulado</t>
  </si>
  <si>
    <t>PREVISÃO DE RESULTADOS</t>
  </si>
  <si>
    <t>DESCRIÇÃO DO EMPREENDIMENTO - 100% VENDA</t>
  </si>
  <si>
    <t>APPROVAL</t>
  </si>
  <si>
    <t>Área Privativa Média</t>
  </si>
  <si>
    <t>x</t>
  </si>
  <si>
    <t>Preço Médio/m²</t>
  </si>
  <si>
    <t>=</t>
  </si>
  <si>
    <t>Preço de Venda Médio</t>
  </si>
  <si>
    <t>Unid. Estoque</t>
  </si>
  <si>
    <t>+</t>
  </si>
  <si>
    <t>Vagas Extras</t>
  </si>
  <si>
    <t>VGV Estoque (Sem Juros)</t>
  </si>
  <si>
    <t>Área Privativa Total</t>
  </si>
  <si>
    <t>Área Construída (Equiv.)</t>
  </si>
  <si>
    <t>Custo / m² Construído</t>
  </si>
  <si>
    <t>Taxa Adm. + Eventuais</t>
  </si>
  <si>
    <t>Produto</t>
  </si>
  <si>
    <t>Inteligência de Mercado (BI)</t>
  </si>
  <si>
    <t>Sobre</t>
  </si>
  <si>
    <t>Custo de Obra Raso</t>
  </si>
  <si>
    <t>Custo de Construção Total</t>
  </si>
  <si>
    <t>Área Construída (Equiv)</t>
  </si>
  <si>
    <t>Custo / m² Privativo</t>
  </si>
  <si>
    <t>Custos Adic. Área Priv.</t>
  </si>
  <si>
    <t>Engenharia</t>
  </si>
  <si>
    <t>Planejamento e Controle</t>
  </si>
  <si>
    <t>Unidades</t>
  </si>
  <si>
    <t>Permutas</t>
  </si>
  <si>
    <t>Outras Permutas</t>
  </si>
  <si>
    <t>Permuta</t>
  </si>
  <si>
    <t>Área Permutada</t>
  </si>
  <si>
    <t>Área do Terreno (Total)</t>
  </si>
  <si>
    <t>Preço / m² (Área Total)</t>
  </si>
  <si>
    <t>Custo Efetivo do Terreno</t>
  </si>
  <si>
    <t>Obra</t>
  </si>
  <si>
    <t>Vagas Permuta</t>
  </si>
  <si>
    <t>Financeira</t>
  </si>
  <si>
    <t>Física</t>
  </si>
  <si>
    <t>Área do Terreno (Líquida)</t>
  </si>
  <si>
    <t>Preço / m² (Área Líquida)</t>
  </si>
  <si>
    <t>Desenvolvimento / Diretoria</t>
  </si>
  <si>
    <t>Presidência</t>
  </si>
  <si>
    <t>RESUMO DAS CONTAS - MODELO Padrão DRE</t>
  </si>
  <si>
    <t>$/1000</t>
  </si>
  <si>
    <t>RESULTADO</t>
  </si>
  <si>
    <t>Data Base: Agosto /2020</t>
  </si>
  <si>
    <t>Realizado</t>
  </si>
  <si>
    <t>Encargos</t>
  </si>
  <si>
    <t>%</t>
  </si>
  <si>
    <t>A Realizar</t>
  </si>
  <si>
    <t>Total Nominal</t>
  </si>
  <si>
    <t>Total Indexado</t>
  </si>
  <si>
    <t>Total VP</t>
  </si>
  <si>
    <t>% VGV</t>
  </si>
  <si>
    <t>Venda de Unidades</t>
  </si>
  <si>
    <t>Participação</t>
  </si>
  <si>
    <t>Receita c/ Vendas</t>
  </si>
  <si>
    <t>Custo Raso da Unidade</t>
  </si>
  <si>
    <t>Períodos de Venda (meses)</t>
  </si>
  <si>
    <t>Valor Pago no Terreno</t>
  </si>
  <si>
    <t>Custo Efetivo Terreno (Obra)</t>
  </si>
  <si>
    <t>Custo Efetivo Terreno (Venda)</t>
  </si>
  <si>
    <t>=EVTE!K42+EVTE!K46</t>
  </si>
  <si>
    <t>Investimento Máximo (Saldo)</t>
  </si>
  <si>
    <t>Investimento Total (Saldo)</t>
  </si>
  <si>
    <t>EBITDA</t>
  </si>
  <si>
    <t>Margem Resultado Bruto</t>
  </si>
  <si>
    <t>Comissão s/ Venda</t>
  </si>
  <si>
    <t>Margem EBITDA</t>
  </si>
  <si>
    <t>Saldo</t>
  </si>
  <si>
    <t>VPL  (0,00%)</t>
  </si>
  <si>
    <t>LandBank</t>
  </si>
  <si>
    <t>VPL / Receita</t>
  </si>
  <si>
    <t>Taxa Administração Obra</t>
  </si>
  <si>
    <t>VPL / Terreno</t>
  </si>
  <si>
    <t>Custos Eventuais Obra</t>
  </si>
  <si>
    <t>VPL / Exp. Máxima</t>
  </si>
  <si>
    <t>VPL / Inv. Máximo</t>
  </si>
  <si>
    <t>Gestão Imobiliária</t>
  </si>
  <si>
    <t>VPL / Inv. Total</t>
  </si>
  <si>
    <t>Taxa Desenvolvimento imobi</t>
  </si>
  <si>
    <t>TIR Inv. x Ret. (a.a.)</t>
  </si>
  <si>
    <t>Incorporação</t>
  </si>
  <si>
    <t>TIR Inv. x Ret. (a.m.)</t>
  </si>
  <si>
    <t>Taxa de Administração s/ Carteira</t>
  </si>
  <si>
    <t xml:space="preserve">Pay-Back  </t>
  </si>
  <si>
    <t>Arquitetura e Engenharia</t>
  </si>
  <si>
    <t>Resultado Bruto</t>
  </si>
  <si>
    <t>% taxa de juros do Fundo</t>
  </si>
  <si>
    <t>Ganho do Terrenista</t>
  </si>
  <si>
    <t>Despesas Comerciais</t>
  </si>
  <si>
    <t>Ganho do Investidor Terreno</t>
  </si>
  <si>
    <t>Propaganda (% Propaganda)</t>
  </si>
  <si>
    <t>Funding</t>
  </si>
  <si>
    <t>Resultado Operacional</t>
  </si>
  <si>
    <t>Saldo pós-Juros</t>
  </si>
  <si>
    <t>ESTUDO DE VIABILIDADE ECONOMICO-FINANCEIRA</t>
  </si>
  <si>
    <t>DATA:</t>
  </si>
  <si>
    <t>U$:</t>
  </si>
  <si>
    <t>EMPREENDEDOR</t>
  </si>
  <si>
    <t xml:space="preserve">Watz S.A. </t>
  </si>
  <si>
    <t xml:space="preserve">Apartamentos Duplex </t>
  </si>
  <si>
    <t>EMPREENDIMENTO</t>
  </si>
  <si>
    <t xml:space="preserve">Mona Lisa </t>
  </si>
  <si>
    <t>INTERMED.</t>
  </si>
  <si>
    <t>Hause</t>
  </si>
  <si>
    <t>Pavimento Térreo</t>
  </si>
  <si>
    <t>IPCA + 4%</t>
  </si>
  <si>
    <t xml:space="preserve">LOCALIZAÇÃO </t>
  </si>
  <si>
    <t>Av. Lopes de Azevedo, 829</t>
  </si>
  <si>
    <t>BAIRRO</t>
  </si>
  <si>
    <t>Cidade Jardim</t>
  </si>
  <si>
    <t>Terreno - Casa</t>
  </si>
  <si>
    <t>m²</t>
  </si>
  <si>
    <t xml:space="preserve">Primeiro Pavimento </t>
  </si>
  <si>
    <t>IPCA + 5%</t>
  </si>
  <si>
    <t>CIDADE</t>
  </si>
  <si>
    <t>São Paulo</t>
  </si>
  <si>
    <t>ESTADO</t>
  </si>
  <si>
    <t xml:space="preserve">Segundo Pavimento </t>
  </si>
  <si>
    <t>IPCA + 6%</t>
  </si>
  <si>
    <t>OBSERVAÇÕES</t>
  </si>
  <si>
    <t>R$</t>
  </si>
  <si>
    <t>U$</t>
  </si>
  <si>
    <t>Variáveis</t>
  </si>
  <si>
    <t>Insira os valores</t>
  </si>
  <si>
    <t>Coef. Equiv.</t>
  </si>
  <si>
    <t>UH</t>
  </si>
  <si>
    <t>Área da unid.</t>
  </si>
  <si>
    <t>Fração Ideal</t>
  </si>
  <si>
    <t xml:space="preserve">Terceiro Pavimento </t>
  </si>
  <si>
    <t>IPCA + 7%</t>
  </si>
  <si>
    <t xml:space="preserve">TOTAL DE UNIDADES </t>
  </si>
  <si>
    <t>/UNID &gt;</t>
  </si>
  <si>
    <t>Área - Terreno/Casa</t>
  </si>
  <si>
    <t>Terraço</t>
  </si>
  <si>
    <t>IPCA + 8%</t>
  </si>
  <si>
    <t>Apto. Duplex Térreo</t>
  </si>
  <si>
    <t>Sub-solo</t>
  </si>
  <si>
    <t>IPCA + 9%</t>
  </si>
  <si>
    <t xml:space="preserve">Apto. Duplex Cobertura </t>
  </si>
  <si>
    <t>Cobertura</t>
  </si>
  <si>
    <t>IPCA + 10%</t>
  </si>
  <si>
    <t>Loja</t>
  </si>
  <si>
    <t>IPCA + 11%</t>
  </si>
  <si>
    <t>IPCA + 12%</t>
  </si>
  <si>
    <t>A.U. Apto. Duplex Térreo</t>
  </si>
  <si>
    <t>/M2</t>
  </si>
  <si>
    <t>IGP-M + 4%</t>
  </si>
  <si>
    <t xml:space="preserve">A.U. Apto. Duplex Cobert. </t>
  </si>
  <si>
    <t>IGP-M + 5%</t>
  </si>
  <si>
    <t>IGP-M + 6%</t>
  </si>
  <si>
    <t>IGP-M + 7%</t>
  </si>
  <si>
    <t xml:space="preserve">ÁREA TOTAL CONST. </t>
  </si>
  <si>
    <t>Área Total Construída</t>
  </si>
  <si>
    <t>IGP-M + 8%</t>
  </si>
  <si>
    <t xml:space="preserve">ÁREA DO TERRENO </t>
  </si>
  <si>
    <t>IGP-M + 9%</t>
  </si>
  <si>
    <t>ITENS</t>
  </si>
  <si>
    <t>IGP-M + 10%</t>
  </si>
  <si>
    <t>CUSTO DA OBRA</t>
  </si>
  <si>
    <t>IGP-M + 11%</t>
  </si>
  <si>
    <t>Fonte:</t>
  </si>
  <si>
    <t>https://sincomavi.org.br/</t>
  </si>
  <si>
    <t>MO</t>
  </si>
  <si>
    <t>PROJETOS 2% CO</t>
  </si>
  <si>
    <t>Preço de Aquisição</t>
  </si>
  <si>
    <t>% s/Valor Propriet.</t>
  </si>
  <si>
    <t xml:space="preserve">Tabela de Vendas </t>
  </si>
  <si>
    <t>Plano de Parcelam.</t>
  </si>
  <si>
    <t>Valor da UH Média</t>
  </si>
  <si>
    <t xml:space="preserve">N. de Parc. </t>
  </si>
  <si>
    <t xml:space="preserve">Valor da Parcela </t>
  </si>
  <si>
    <t>IGP-M + 12%</t>
  </si>
  <si>
    <t>MAT</t>
  </si>
  <si>
    <t>PROJ. COMPLEM.(1%)</t>
  </si>
  <si>
    <t>Proprietário</t>
  </si>
  <si>
    <t>NTN - D</t>
  </si>
  <si>
    <t xml:space="preserve">DEMOLIÇÃO </t>
  </si>
  <si>
    <t>IPTU Parcela</t>
  </si>
  <si>
    <t xml:space="preserve">Entrada = </t>
  </si>
  <si>
    <t>NTN - D +2%</t>
  </si>
  <si>
    <t>https://www.habitissimo.com.br/orcamentos/demolicoes</t>
  </si>
  <si>
    <t>TERRENO:</t>
  </si>
  <si>
    <t>IBTI</t>
  </si>
  <si>
    <t xml:space="preserve">Intermediárias = </t>
  </si>
  <si>
    <t>100% do CDI</t>
  </si>
  <si>
    <t>CORRETAGEM - 4,0%</t>
  </si>
  <si>
    <t xml:space="preserve">Saldo = </t>
  </si>
  <si>
    <t>PUBLICIDADE - 2%</t>
  </si>
  <si>
    <t>ADM. IMOB. - 2%</t>
  </si>
  <si>
    <t>Iptu (Obra)</t>
  </si>
  <si>
    <t>TAXAS - 8%</t>
  </si>
  <si>
    <t xml:space="preserve">CUSTO TOTAL </t>
  </si>
  <si>
    <t>Diversos</t>
  </si>
  <si>
    <t>LUCRO</t>
  </si>
  <si>
    <t>....</t>
  </si>
  <si>
    <t>TOTAL VGV</t>
  </si>
  <si>
    <t>VGV</t>
  </si>
  <si>
    <t>RENTABILIDADE</t>
  </si>
  <si>
    <t>OBS.:</t>
  </si>
  <si>
    <t>ÁREA&gt;</t>
  </si>
  <si>
    <t>m2</t>
  </si>
  <si>
    <t>Valores</t>
  </si>
  <si>
    <t>Cronograma de Vendas - Antecipação de Recebíveis</t>
  </si>
  <si>
    <t>ZONEAMENTO&gt;</t>
  </si>
  <si>
    <t>Meses</t>
  </si>
  <si>
    <t>Intermediárias</t>
  </si>
  <si>
    <t>Total Mensal</t>
  </si>
  <si>
    <t>TX. OCUPAÇÃO&gt;</t>
  </si>
  <si>
    <t>R$ / M² - Venda</t>
  </si>
  <si>
    <t>COEF. APROV.&gt;.</t>
  </si>
  <si>
    <t>1,0X</t>
  </si>
  <si>
    <t>PREÇO:</t>
  </si>
  <si>
    <t>PROPRIETÁRIO&gt;</t>
  </si>
  <si>
    <t xml:space="preserve">Obra </t>
  </si>
  <si>
    <t>Indicadores/Val.</t>
  </si>
  <si>
    <t>ITBI&gt;</t>
  </si>
  <si>
    <t>R$/m²</t>
  </si>
  <si>
    <t>ESCRITURA&gt;</t>
  </si>
  <si>
    <t>REGISTRO&gt;</t>
  </si>
  <si>
    <t>Custo</t>
  </si>
  <si>
    <t>IPTU (OBRA)&gt;</t>
  </si>
  <si>
    <t>Projeto Arq.</t>
  </si>
  <si>
    <t>ADVOGADO&gt;</t>
  </si>
  <si>
    <t>Projeto Complem.</t>
  </si>
  <si>
    <t>TOTAL&gt;&gt;&gt;&gt;&gt;&gt;&gt;&gt;&gt;</t>
  </si>
  <si>
    <t>Demolição</t>
  </si>
  <si>
    <t>Produto:</t>
  </si>
  <si>
    <t>QUARTOS&gt;</t>
  </si>
  <si>
    <t>ELEVADOR&gt;</t>
  </si>
  <si>
    <t>SUITES MASTER &gt;</t>
  </si>
  <si>
    <t>VAGA/UNID&gt;</t>
  </si>
  <si>
    <t>ÁREA ÚTIL / MÉDIA&gt;</t>
  </si>
  <si>
    <t>UIND./PAV&gt;</t>
  </si>
  <si>
    <t>Publicidade</t>
  </si>
  <si>
    <t>ÁREA CONSTR.:</t>
  </si>
  <si>
    <t>REAL UNITÁRIA</t>
  </si>
  <si>
    <t>TOTAIS</t>
  </si>
  <si>
    <t>COEFIC.</t>
  </si>
  <si>
    <t>EQUIVAL.</t>
  </si>
  <si>
    <t>Adm. Imobiliária</t>
  </si>
  <si>
    <t>Taxas</t>
  </si>
  <si>
    <t>4.1</t>
  </si>
  <si>
    <t>Indicad. de Custo/Venda</t>
  </si>
  <si>
    <t>TOTAIS&gt;&gt;&gt;&gt;&gt;&gt;&gt;&gt;</t>
  </si>
  <si>
    <t>&gt;&gt;&gt;&gt;&gt;&gt;&gt;&gt;&gt;&gt;&gt;&gt;&gt;&gt;&gt;&gt;&gt;&gt;</t>
  </si>
  <si>
    <t>&gt;&gt;&gt;&gt;&gt;&gt;&gt;&gt;&gt;</t>
  </si>
  <si>
    <t>Terreno - R$/m²</t>
  </si>
  <si>
    <t>CALCULO VGV:</t>
  </si>
  <si>
    <t>UNIDADE</t>
  </si>
  <si>
    <t>A. ÚTIL</t>
  </si>
  <si>
    <t>Edific. - R$/m²</t>
  </si>
  <si>
    <t>Duplex Térreo</t>
  </si>
  <si>
    <t>Investim. Total</t>
  </si>
  <si>
    <t>Terr.+Edific. R$/m²</t>
  </si>
  <si>
    <t xml:space="preserve">Duplex Cobertura </t>
  </si>
  <si>
    <t>Custo Total</t>
  </si>
  <si>
    <t>R$ /m²</t>
  </si>
  <si>
    <t>Custo por Unidade</t>
  </si>
  <si>
    <t>R$ / Unid.Habit.</t>
  </si>
  <si>
    <t>TOTAIS&gt;</t>
  </si>
  <si>
    <t>Preço de Venda</t>
  </si>
  <si>
    <t>Casa/Edific.</t>
  </si>
  <si>
    <t>ELABORADO POR</t>
  </si>
  <si>
    <t>NOME &gt;</t>
  </si>
  <si>
    <t>ASSINATURA &gt;</t>
  </si>
  <si>
    <t>OBSERVAÇÕES:</t>
  </si>
  <si>
    <t>1) Preço do Terreno por m2</t>
  </si>
  <si>
    <t>Cotação Dólar Paralelo</t>
  </si>
  <si>
    <t>2) Preço de Venda da Unidade por m2 de AU.</t>
  </si>
  <si>
    <t>7. Business Plan - Visão Investidor - Análise do Retorno</t>
  </si>
  <si>
    <t>8. Taxas e Dividendos</t>
  </si>
  <si>
    <t>3) Àreas em cinza contém fórmulas)</t>
  </si>
  <si>
    <t>Base</t>
  </si>
  <si>
    <t>4) Projeto - Duda Porto Arquitetura</t>
  </si>
  <si>
    <t>Fluxo</t>
  </si>
  <si>
    <t>Sazonalidade</t>
  </si>
  <si>
    <t>Durante a Obra:</t>
  </si>
  <si>
    <t>Após a Obra:</t>
  </si>
  <si>
    <t>Prazo (meses):</t>
  </si>
  <si>
    <t>Taxa Md. Mens.Br.</t>
  </si>
  <si>
    <t>Financials do Projeto</t>
  </si>
  <si>
    <t>Visão Investidor</t>
  </si>
  <si>
    <t>Valor da Cota</t>
  </si>
  <si>
    <t>Valor Financiado</t>
  </si>
  <si>
    <t>Retorno Bruto</t>
  </si>
  <si>
    <t>VP</t>
  </si>
  <si>
    <t>PARECER:</t>
  </si>
  <si>
    <t>Consumo Interno</t>
  </si>
  <si>
    <t>Cota Mínima</t>
  </si>
  <si>
    <t>Equity Mín.</t>
  </si>
  <si>
    <t>Cota Máxima</t>
  </si>
  <si>
    <t>Equity Máx.</t>
  </si>
  <si>
    <t>9. Fluxo de Caixa</t>
  </si>
  <si>
    <t xml:space="preserve">TMR </t>
  </si>
  <si>
    <t>Necessidade. Cx</t>
  </si>
  <si>
    <t>Mínimo</t>
  </si>
  <si>
    <t>Ajustado</t>
  </si>
  <si>
    <t>Máximo</t>
  </si>
  <si>
    <t>Lucro Previsto</t>
  </si>
  <si>
    <t>10. Resultado Esperado - WATZ</t>
  </si>
  <si>
    <t>Projeto</t>
  </si>
  <si>
    <t>DRE - 25 meses</t>
  </si>
  <si>
    <t>Receita</t>
  </si>
  <si>
    <t>Despesa</t>
  </si>
  <si>
    <t>TMR - Taxa Minima de Retorno</t>
  </si>
  <si>
    <t xml:space="preserve">TIR - Taxa Interna de Retorno </t>
  </si>
  <si>
    <t>Resultado a Distrib.</t>
  </si>
  <si>
    <t>25 meses</t>
  </si>
  <si>
    <t>VPL - Valor Presente Liquido</t>
  </si>
  <si>
    <t>IPTU</t>
  </si>
  <si>
    <t>18X</t>
  </si>
  <si>
    <t>Aquis + Som. Obra</t>
  </si>
  <si>
    <t>Período de Obras</t>
  </si>
  <si>
    <t>Mês 0</t>
  </si>
  <si>
    <t>Mês 1</t>
  </si>
  <si>
    <t>Mês 2</t>
  </si>
  <si>
    <t>Mês 3</t>
  </si>
  <si>
    <t>Mês 4</t>
  </si>
  <si>
    <t>Mês 5</t>
  </si>
  <si>
    <t>Mês 6</t>
  </si>
  <si>
    <t>Mês 7</t>
  </si>
  <si>
    <t>Mês 8</t>
  </si>
  <si>
    <t>Mês 9</t>
  </si>
  <si>
    <t>Mês 10</t>
  </si>
  <si>
    <t>Mês 11</t>
  </si>
  <si>
    <t>Mês 12</t>
  </si>
  <si>
    <t>Mês 13</t>
  </si>
  <si>
    <t>Mês 14</t>
  </si>
  <si>
    <t>Mês 15</t>
  </si>
  <si>
    <t>Mês 16</t>
  </si>
  <si>
    <t>Mês 17</t>
  </si>
  <si>
    <t>Mês 18</t>
  </si>
  <si>
    <t>Mês 19</t>
  </si>
  <si>
    <t>Mês 20</t>
  </si>
  <si>
    <t>Mês 21</t>
  </si>
  <si>
    <t>Mês 22</t>
  </si>
  <si>
    <t>Mês 23</t>
  </si>
  <si>
    <t>Mês 24</t>
  </si>
  <si>
    <t>Mês 25</t>
  </si>
  <si>
    <t>Mês 26</t>
  </si>
  <si>
    <t>Mês 27</t>
  </si>
  <si>
    <t>Mês 28</t>
  </si>
  <si>
    <t>Mês 29</t>
  </si>
  <si>
    <t>Mês 30</t>
  </si>
  <si>
    <t>Mês 31</t>
  </si>
  <si>
    <t>Mês 32</t>
  </si>
  <si>
    <t>Mês 33</t>
  </si>
  <si>
    <t>Mês 34</t>
  </si>
  <si>
    <t>Mês 35</t>
  </si>
  <si>
    <t>Mês 36</t>
  </si>
  <si>
    <t>(+) Entradas</t>
  </si>
  <si>
    <t>(-) Oper.+Imp.</t>
  </si>
  <si>
    <t>(=) Ent. Líq.</t>
  </si>
  <si>
    <t>(-) Custo Parcial</t>
  </si>
  <si>
    <t>Entrada + IPTU</t>
  </si>
  <si>
    <t>em 10x</t>
  </si>
  <si>
    <t>em 90 dias</t>
  </si>
  <si>
    <t>no 10º mês, em 3x</t>
  </si>
  <si>
    <t>Projetos</t>
  </si>
  <si>
    <t>Publicidade,Mkt</t>
  </si>
  <si>
    <t>Adm. Imob.</t>
  </si>
  <si>
    <t>Diversos/BDI</t>
  </si>
  <si>
    <t>Fluxo de Caixa sem captação/com venda</t>
  </si>
  <si>
    <t>Necessidade de Captação</t>
  </si>
  <si>
    <t>Fluxo de Caixa com captação/com venda</t>
  </si>
  <si>
    <t>Rendimento Investidor</t>
  </si>
  <si>
    <t>Durante as obras - INCC</t>
  </si>
  <si>
    <t>14,62% ult. 12 meses</t>
  </si>
  <si>
    <t>Pós término das obras</t>
  </si>
  <si>
    <t>Principal</t>
  </si>
  <si>
    <t>Fluxo de Caixa Final</t>
  </si>
  <si>
    <t xml:space="preserve">Instrumento de Dívida </t>
  </si>
  <si>
    <t>Mútuo Conversível em Ações</t>
  </si>
  <si>
    <t>Prazo:</t>
  </si>
  <si>
    <t>24 meses</t>
  </si>
  <si>
    <t>Garantia:</t>
  </si>
  <si>
    <t>Terreno + Obras</t>
  </si>
  <si>
    <t>Cédula de Crédito Bancário</t>
  </si>
  <si>
    <t>36 meses/24 meses (tribut.)</t>
  </si>
  <si>
    <t>Imóvel + LFT (Parte Banco)</t>
  </si>
  <si>
    <t>Risco 3 - ANBIMA (1 a 5)</t>
  </si>
  <si>
    <t>Mínima</t>
  </si>
  <si>
    <t>Máxima</t>
  </si>
  <si>
    <t>Valor da Cota (R$ 10 mil)</t>
  </si>
  <si>
    <t>Mercado Financeiro</t>
  </si>
  <si>
    <t>Retorno (Jan a Julho 2021)</t>
  </si>
  <si>
    <t>Risco</t>
  </si>
  <si>
    <t>Tendência</t>
  </si>
  <si>
    <t>Baixo</t>
  </si>
  <si>
    <t>Alta</t>
  </si>
  <si>
    <t>Bolsa</t>
  </si>
  <si>
    <t>Alto</t>
  </si>
  <si>
    <t>ATUALIZAR</t>
  </si>
  <si>
    <t>Dólar</t>
  </si>
  <si>
    <t>Mod. - Baixo</t>
  </si>
  <si>
    <t>Baixa</t>
  </si>
  <si>
    <t>Kallas + Equação</t>
  </si>
  <si>
    <t>Fonte: Banco Central e ValorInveste</t>
  </si>
  <si>
    <t>* Projeção</t>
  </si>
  <si>
    <t>Estes termos de serviço regulam o uso deste site.</t>
  </si>
  <si>
    <t>Ao acessá-lo você concorda com estes termos.</t>
  </si>
  <si>
    <t>Por favor, consulte regularmente os nossos termos de serviço.</t>
  </si>
  <si>
    <t>Acesso ao site</t>
  </si>
  <si>
    <t>Para acessar o conteúdo deste site poder ser solicitado ao usuário algumas informações pessoais como nome, e-mail e outros. Se acharmos que as informações são incorretas ou falsas, temos o direito de recusar e/ou cancelar o acesso a qualquer tempo, sem notificação prévia.</t>
  </si>
  <si>
    <t>Restrições ao uso</t>
  </si>
  <si>
    <t>Você só poderá usar este site para propósitos autorizados pelos Autores. Você não poderá usá-lo em qualquer outro objetivo, especialmente comercial, sem o consentimento e autorização prévia por escrito dos Autores. Não associe nossas marcas a nenhuma outra. Não exponha nosso nome, logotipo, logomarca entre outros, indevidamente e de forma a causar confusão.</t>
  </si>
  <si>
    <t>Propriedade da informação</t>
  </si>
  <si>
    <t>O conteúdo do site não pode ser copiado, distribuído, publicado, carregado, postado ou transmitido por qualquer outro meio sem o consentimento prévio e por escrito dos Autores. A citação e referência ao conteúdo deste site com a finalidade exclusiva de divulgação é autorizada contanto que a fonte seja claramente citada no artigo ou no local onde a citação foi publicada.</t>
  </si>
  <si>
    <t>Hyperlinks</t>
  </si>
  <si>
    <t>Este site pode conter links para outros websites que não são mantidos ou relacionados por EQDI e seus Autores não tem nenhuma responsabilidade por estes conteúdos. O usuário assume completamente o risco ao acessar estes hyperlinks.</t>
  </si>
  <si>
    <t>Comentários</t>
  </si>
  <si>
    <t>Ao postar algum comentário ou depoimento em nosso site ou enviado por e-mail, você autoriza a publicação do mesmo em qualquer lugar que os Autores de EQDI desejarem, a fim de cooperar com a divulgação de produtos.</t>
  </si>
  <si>
    <t>Aviso Gerais</t>
  </si>
  <si>
    <t>Consulte também nosso Aviso Legal: http://eqdi.com.br/aviso-legal/ .</t>
  </si>
  <si>
    <t>As informações obtidas ao usar este site não são completas e não cobrem todas as questões, tópicos ou fatos que possam ser relevantes para seus objetivos. O uso deste site é de sua total responsabilidade. O conteúdo é oferecido como está e sem garantias de qualquer tipo, expressas ou implícitas. O conteúdo deste site não é palavra final sobre qualquer assunto, e podemos fazer melhorias a qualquer momento.</t>
  </si>
  <si>
    <t>Você entende que o site não pode garantir que arquivos disponíveis para download da Internet estejam livres de vírus, worms, cavalos de Tróia ou outro código que possa manifestar propriedades contaminadoras ou destrutivas ao seu aparelho eletrônico (computados, tablet, celular e afins).</t>
  </si>
  <si>
    <t>Você assume o custo de qualquer serviço, reparo ou correção necessários no caso de qualquer perda ou dano consequente do uso deste site ou seu conteúdo.</t>
  </si>
  <si>
    <t>Limitação de responsabilidade</t>
  </si>
  <si>
    <r>
      <t>O SITE EQDIXPERTS, SEUS AUTORES, AFILIADOS, LICENCIANTES, PROVEDORES DE SERVIÇO, PROVEDORES DE CONTEÚDO E EMPREGADOS </t>
    </r>
    <r>
      <rPr>
        <u/>
        <sz val="11"/>
        <color rgb="FF666666"/>
        <rFont val="Arial"/>
        <family val="2"/>
      </rPr>
      <t>NÃO</t>
    </r>
    <r>
      <rPr>
        <sz val="11"/>
        <color rgb="FF666666"/>
        <rFont val="Arial"/>
        <family val="2"/>
      </rPr>
      <t> SERÃO RESPONSÁVEIS POR QUALQUER DANO EVENTUAL, DIRETO, INDIRETO, PUNITIVO, REAL, CONSEQUENTE, ESPECIAL, EXEMPLAR OU DE QUALQUER OUTRO TIPO, INCLUINDO PERDA DE RECEITA OU RENDA, DOR E SOFRIMENTO, ESTRESSE EMOCIONAL OU SIMILARES MESMO QUE O SITE REXPERTS TENHA ACONSELHADO SOBRE A POSSIBILIDADE DE TAIS DANOS.</t>
    </r>
  </si>
  <si>
    <t>Indenização</t>
  </si>
  <si>
    <t>Qualquer violação desse Termo de Uso por você, incluindo o uso do Conteúdo diferente do expresso aqui, fará com que você indenize e isente o RExperts, seu Autores, afiliados, licenciantes, provedores de serviço, provedores de conteúdo, empregados, agentes, administradores e diretores (referidas agora como Partes Isentas). Você concorda que as Partes Isentas não têm responsabilidade ou conexão com qualquer violação ou uso não autorizado e você concorda em remediar toda e qualquer perda, dano, julgamento, prêmios, custo, despesas e honorários advogatícios das Partes Isentas ligadas a violação. Você também indenizará e isentará as Partes Isentas de qualquer reivindicação de terceiros resultante do uso da informação contida neste site.</t>
  </si>
  <si>
    <t>Marcas registradas</t>
  </si>
  <si>
    <t>Marcas e logos presentes neste site são propriedade dos seus Autores ou da parte que as disponibilizaram para o site EQDIxperts.</t>
  </si>
  <si>
    <t>Segurança</t>
  </si>
  <si>
    <t>Toda senha usada para este site é somente para uso individual. Você é responsável pela segurança de sua senha. O site EQDIxperts tem o direito de monitorar a segurança de sua senha e ao seu critério pode pedir que você a mude. Se você usar qualquer senha que o site considere insegura, o site tem o direito de requisitar que a senha seja modificada e/ou cancelar a sua conta.</t>
  </si>
  <si>
    <t>É proibido usar qualquer serviço ou ferramenta conectada a este site para comprometer a segurança ou mexer com os recursos do sistema e/ou contas. O uso ou distribuição de ferramentas destinadas para comprometer a segurança (ex: programas para descobrir senha, ferramentas de crack ou de sondagem da rede) são estritamente proibidos. Se você estiver envolvido em qualquer violação da segurança do sistema, o site se reserva o direito de fornecer suas informações para os administradores de sistema de outros sites para ajudá-los a resolver incidentes de segurança. O site RExperts se reserva o direito de investigar potenciais violações a esse Termo de Uso.</t>
  </si>
  <si>
    <t>O site RExperts se reserva o direito de cooperar totalmente com as autoridades competentes ou pedidos da justiça para que revele a identidade de qualquer pessoa que publique e-mail, mensagem ou disponibilize qualquer material que possa violar esse Termo de Uso.</t>
  </si>
  <si>
    <t>AO ACEITAR ESSE ACORDO VOCÊ ISENTA O SITE REXPERTS E SEUS AUTORES DE QUALQUER CONSEQUÊNCIA RESULTANTE DE QUALQUER AÇÃO DO SITE DURANTE OU COMO RESULTADO DE SUAS INVESTIGAÇÕES E/OU DE AÇÕES TOMADAS RESULTANTES DE INVESTIGAÇÕES TANTO DO SITE REXPERTS QUANTO DAS AUTORIDADES DE JUSTIÇA COMPETENTES</t>
  </si>
  <si>
    <t>Autores: Eduardo Nascimento &amp; Lorrane Oliveira</t>
  </si>
  <si>
    <t>EQxperts – Consultoria e Inteligência em Real Estate</t>
  </si>
  <si>
    <t>http://www.eqdi.com.br</t>
  </si>
  <si>
    <t>Copyright © Todos os direitos reservados</t>
  </si>
  <si>
    <t>Pessoa jurídica</t>
  </si>
  <si>
    <t>Casa Modelo In House</t>
  </si>
  <si>
    <t>RET (4%)</t>
  </si>
  <si>
    <t>Modelo Financeiro de Investimento em Casas na Planta - Preço de Custo</t>
  </si>
  <si>
    <t>Casas Lotes</t>
  </si>
  <si>
    <t>Área das Casas</t>
  </si>
  <si>
    <t>Custos por Casa</t>
  </si>
  <si>
    <t>Marketing, Publicidade, Evento Exc. de vendas</t>
  </si>
  <si>
    <t>Custos inicias por Casa</t>
  </si>
  <si>
    <t>Exposição Média  (16º meses)</t>
  </si>
  <si>
    <t>EQDI.com.br</t>
  </si>
  <si>
    <t>Escritura + Adv. + Outros</t>
  </si>
  <si>
    <t>Registro + Adv. + Certidões + Comissão Terr. + Outros</t>
  </si>
  <si>
    <t>Pagamento á Vista Terreno Cidade Jardim</t>
  </si>
  <si>
    <t>Equação</t>
  </si>
  <si>
    <t>Funding Asset</t>
  </si>
  <si>
    <t>14</t>
  </si>
  <si>
    <t>10. Resultado Esperado - EQUAÇÃO</t>
  </si>
  <si>
    <t>24 x</t>
  </si>
  <si>
    <t>28 meses</t>
  </si>
  <si>
    <t>Quadro de Áreas Paineiras</t>
  </si>
  <si>
    <t>Área (m²)</t>
  </si>
  <si>
    <t>Preço de Venda Por Casa</t>
  </si>
  <si>
    <t>PAINEIRAS</t>
  </si>
  <si>
    <t>Coberto</t>
  </si>
  <si>
    <t>Jardim</t>
  </si>
  <si>
    <t>Custo de Construção</t>
  </si>
  <si>
    <t>Custo Jardim</t>
  </si>
  <si>
    <t>Área Coberta</t>
  </si>
  <si>
    <t>Jardim (Fração Terreno)</t>
  </si>
  <si>
    <t>Subsolo</t>
  </si>
  <si>
    <t>Térreo</t>
  </si>
  <si>
    <t>1º Andar</t>
  </si>
  <si>
    <t>Rooftop</t>
  </si>
  <si>
    <t>Total / Casa</t>
  </si>
  <si>
    <t>Custo Área Total/ Casa</t>
  </si>
  <si>
    <t>Custo de Casa/m²</t>
  </si>
  <si>
    <t>Terreno Total</t>
  </si>
  <si>
    <t>Custo Área Privativa/ Casa</t>
  </si>
  <si>
    <t>Custo de Casa/Área Privativa</t>
  </si>
  <si>
    <t>Total de Casas</t>
  </si>
  <si>
    <t>Terreno/Casa</t>
  </si>
  <si>
    <t>OBRA:</t>
  </si>
  <si>
    <t>Paineiras</t>
  </si>
  <si>
    <t>ORÇAMENTO:</t>
  </si>
  <si>
    <t>R$ Mensal</t>
  </si>
  <si>
    <t>R$ Acumulado</t>
  </si>
  <si>
    <t>% Mensal</t>
  </si>
  <si>
    <t>% Acumulada</t>
  </si>
  <si>
    <t>Gráfico - Desembolso</t>
  </si>
  <si>
    <t>SCP - FECHAMENTO PROJETO (VALOR DE DESÁGIO COM 12000/M²)</t>
  </si>
  <si>
    <t>SCP / PRÉ-LANÇAMENTO (VALOR DE DESÁGIO COM 14400 / M²)</t>
  </si>
  <si>
    <t>LANÇAMENTO (15.000 /M² INDO A 16.500)</t>
  </si>
  <si>
    <t>IPCA + 11,5%</t>
  </si>
  <si>
    <t>% Permuta Funding</t>
  </si>
  <si>
    <t>Imposto</t>
  </si>
  <si>
    <t>VGV líquido de corretagem</t>
  </si>
  <si>
    <t>Fee de estruturação</t>
  </si>
  <si>
    <t>Financiamento Bancário</t>
  </si>
  <si>
    <t>VGV Repasse</t>
  </si>
  <si>
    <t>VGV ex Financiamento</t>
  </si>
  <si>
    <t>Double-check</t>
  </si>
  <si>
    <r>
      <t xml:space="preserve">Já considera </t>
    </r>
    <r>
      <rPr>
        <b/>
        <i/>
        <sz val="9.5"/>
        <rFont val="Trebuchet MS"/>
        <family val="2"/>
      </rPr>
      <t>performance.</t>
    </r>
  </si>
  <si>
    <t>goal-seek 1</t>
  </si>
  <si>
    <t>Cálculo por goal-seek → VPL = 0 variando TIR</t>
  </si>
  <si>
    <t>goal-seek 2</t>
  </si>
  <si>
    <t>VGV Base Perf</t>
  </si>
  <si>
    <t>Taxa de Perf</t>
  </si>
  <si>
    <t>Margem líquida</t>
  </si>
  <si>
    <t>Taxa de Perf Funding</t>
  </si>
  <si>
    <r>
      <t xml:space="preserve">Permuta (s/ </t>
    </r>
    <r>
      <rPr>
        <i/>
        <sz val="9.5"/>
        <rFont val="Trebuchet MS"/>
        <family val="2"/>
      </rPr>
      <t>performance</t>
    </r>
    <r>
      <rPr>
        <sz val="9.5"/>
        <rFont val="Trebuchet MS"/>
        <family val="2"/>
      </rPr>
      <t>)</t>
    </r>
  </si>
  <si>
    <t>[Por fora]</t>
  </si>
  <si>
    <t>Receita prevista (M+1)</t>
  </si>
  <si>
    <t>Receita prevista repasse ajustado (M+1)</t>
  </si>
  <si>
    <t>Receita Funding
(x %Permuta)</t>
  </si>
  <si>
    <t>Fluxo da Permuta Financeira Funding</t>
  </si>
  <si>
    <r>
      <t xml:space="preserve">Fluxo Incorporação </t>
    </r>
    <r>
      <rPr>
        <b/>
        <sz val="9.5"/>
        <color theme="0"/>
        <rFont val="Trebuchet MS"/>
        <family val="2"/>
      </rPr>
      <t>Sem</t>
    </r>
    <r>
      <rPr>
        <sz val="9.5"/>
        <color theme="0"/>
        <rFont val="Trebuchet MS"/>
        <family val="2"/>
      </rPr>
      <t xml:space="preserve"> Permuta Financeira</t>
    </r>
  </si>
  <si>
    <t>Custos operação de permuta (flat + gerenciadora mensal)</t>
  </si>
  <si>
    <r>
      <t xml:space="preserve">Fluxo Incorporação </t>
    </r>
    <r>
      <rPr>
        <b/>
        <sz val="9.5"/>
        <color theme="0"/>
        <rFont val="Trebuchet MS"/>
        <family val="2"/>
      </rPr>
      <t>Com</t>
    </r>
    <r>
      <rPr>
        <sz val="9.5"/>
        <color theme="0"/>
        <rFont val="Trebuchet MS"/>
        <family val="2"/>
      </rPr>
      <t xml:space="preserve"> Permuta Financeira</t>
    </r>
  </si>
  <si>
    <t>Check 1</t>
  </si>
  <si>
    <t>Check 2</t>
  </si>
  <si>
    <t>Check 3</t>
  </si>
  <si>
    <t>F1 - Entrega das Chaves</t>
  </si>
  <si>
    <t>Repasse</t>
  </si>
  <si>
    <t>Valor da operação</t>
  </si>
  <si>
    <t>Valor da operação % do VGV</t>
  </si>
  <si>
    <t>Total recebido Fund TIR Alvo</t>
  </si>
  <si>
    <t>Total recebido Fund Pfee</t>
  </si>
  <si>
    <t>Receita total Funding</t>
  </si>
  <si>
    <t>% Funding Total</t>
  </si>
  <si>
    <t>Receita líquida de comissão @ 5,0%</t>
  </si>
  <si>
    <t>Cash Flow</t>
  </si>
  <si>
    <t>Evolução de obras</t>
  </si>
  <si>
    <t>Total VGV (liq de comissão)</t>
  </si>
  <si>
    <t xml:space="preserve">Total Cash Flow </t>
  </si>
  <si>
    <t>IRR</t>
  </si>
  <si>
    <t>Projeto Cidade Jardim - Paineiras</t>
  </si>
  <si>
    <t>Exposição Máxima  (14º mês)</t>
  </si>
  <si>
    <t>Valor Presente Líquido</t>
  </si>
  <si>
    <t>Análise do Fluxo de Caixa Econômico</t>
  </si>
  <si>
    <t>Taxa Interna de Retorno (TIR)</t>
  </si>
  <si>
    <t>Payback Descontado</t>
  </si>
  <si>
    <t>Análise de Retorno</t>
  </si>
  <si>
    <t>Ponto de Equilíbrio</t>
  </si>
  <si>
    <t>Análise de Investimentos</t>
  </si>
  <si>
    <t>Item</t>
  </si>
  <si>
    <t>Ano 0</t>
  </si>
  <si>
    <t>Ano 1</t>
  </si>
  <si>
    <t>Ano 2</t>
  </si>
  <si>
    <t>Ano 3</t>
  </si>
  <si>
    <t>Investimentos</t>
  </si>
  <si>
    <t>Análise</t>
  </si>
  <si>
    <t>Ranking de Receitas</t>
  </si>
  <si>
    <t>Ranking de Despesas</t>
  </si>
  <si>
    <t>Ranking de Lucro Livre</t>
  </si>
  <si>
    <t>Ano 4</t>
  </si>
  <si>
    <t>Ano 5</t>
  </si>
  <si>
    <t>Capital Disponível</t>
  </si>
  <si>
    <t>Investimento Inicial</t>
  </si>
  <si>
    <t>Pior saldo de caixa</t>
  </si>
  <si>
    <t>Meses sem capital</t>
  </si>
  <si>
    <t>Disponibilidade Financeira</t>
  </si>
  <si>
    <t>Vínculo do BOX</t>
  </si>
  <si>
    <t>Total de Despesas</t>
  </si>
  <si>
    <t>Lucro Livre</t>
  </si>
  <si>
    <t>Lucratividade</t>
  </si>
  <si>
    <t>Comparação EBITDA x Lucro Livre</t>
  </si>
  <si>
    <t>Análise dos Gastos</t>
  </si>
  <si>
    <t>Lucro Livre ao longo dos Anos</t>
  </si>
  <si>
    <t>Total de despesas</t>
  </si>
  <si>
    <t>a</t>
  </si>
  <si>
    <t>Cenários</t>
  </si>
  <si>
    <t>Pessimista</t>
  </si>
  <si>
    <t>Projetado</t>
  </si>
  <si>
    <t>Otimista</t>
  </si>
  <si>
    <t>Comparação do fluxo de caixa acumulado por cenário</t>
  </si>
  <si>
    <t xml:space="preserve">Ano 0 </t>
  </si>
  <si>
    <t>Variação nas receitas</t>
  </si>
  <si>
    <t>Cenário Otimista</t>
  </si>
  <si>
    <t>Variação nas despesas</t>
  </si>
  <si>
    <t>Cenário Projetado</t>
  </si>
  <si>
    <t>Variação nos investimentos</t>
  </si>
  <si>
    <t>Cenário Pessimista</t>
  </si>
  <si>
    <t>Receitas  Projetadas</t>
  </si>
  <si>
    <t>Despesas Projetadas</t>
  </si>
  <si>
    <t>Lucro Livre Projetado</t>
  </si>
  <si>
    <t>Lucratividade Projetada</t>
  </si>
  <si>
    <t>Comparação das Receitas x Despesas</t>
  </si>
  <si>
    <t>Margem de Contribuição x Custos Fixos</t>
  </si>
  <si>
    <t>Margem de Contribuição</t>
  </si>
  <si>
    <t>Custos Fixos</t>
  </si>
  <si>
    <t>Anos</t>
  </si>
  <si>
    <t>OK</t>
  </si>
  <si>
    <t>Escritura + Comissão Terreno + IPTU Atrasado</t>
  </si>
  <si>
    <t>Rentabilidade Funding @ 30%</t>
  </si>
  <si>
    <t>Quitar Funding @ 30%</t>
  </si>
  <si>
    <t>10 meses</t>
  </si>
  <si>
    <t>Advogados</t>
  </si>
  <si>
    <t>Certidões</t>
  </si>
  <si>
    <t>Comissão Terreno</t>
  </si>
  <si>
    <t>Retorno Funding (Juros)</t>
  </si>
  <si>
    <t>18º Mês (Fev/24)</t>
  </si>
  <si>
    <t>Ano 2020</t>
  </si>
  <si>
    <t>Ano 2021</t>
  </si>
  <si>
    <t>Ano 2022</t>
  </si>
  <si>
    <t>Sub-Total:</t>
  </si>
  <si>
    <t>Total:</t>
  </si>
  <si>
    <t>Débitos em IPTU e Encargos</t>
  </si>
  <si>
    <t>terreno</t>
  </si>
  <si>
    <t>projetos, registros e aprovações</t>
  </si>
  <si>
    <t>revisar</t>
  </si>
  <si>
    <t>tabela de vendas</t>
  </si>
  <si>
    <t>REVISADO</t>
  </si>
  <si>
    <t>CÁLCULO INICIAL PARA PERMUTA FÍSICA</t>
  </si>
  <si>
    <t>Custo Unitário Básico (CUB) por metro quadrado (R$/m²) - SEM BDI</t>
  </si>
  <si>
    <t>Pessoa jurídica (RET)</t>
  </si>
  <si>
    <t>Tabela de Comissão</t>
  </si>
  <si>
    <t>Rosseti</t>
  </si>
  <si>
    <t>Dezoitão</t>
  </si>
  <si>
    <t>Gamma</t>
  </si>
  <si>
    <t>Caio</t>
  </si>
  <si>
    <t>E</t>
  </si>
  <si>
    <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</si>
</sst>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0">
    <numFmt numFmtId="6" formatCode="&quot;R$&quot;\ #,##0;[Red]\-&quot;R$&quot;\ #,##0"/>
    <numFmt numFmtId="7" formatCode="&quot;R$&quot;\ #,##0.00;\-&quot;R$&quot;\ #,##0.00"/>
    <numFmt numFmtId="8" formatCode="&quot;R$&quot;\ #,##0.00;[Red]\-&quot;R$&quot;\ #,##0.00"/>
    <numFmt numFmtId="44" formatCode="_-&quot;R$&quot;\ * #,##0.00_-;\-&quot;R$&quot;\ * #,##0.00_-;_-&quot;R$&quot;\ * &quot;-&quot;??_-;_-@_-"/>
    <numFmt numFmtId="43" formatCode="_-* #,##0.00_-;\-* #,##0.00_-;_-* &quot;-&quot;??_-;_-@_-"/>
    <numFmt numFmtId="164" formatCode="_(&quot;$&quot;* #,##0.00_);_(&quot;$&quot;* \(#,##0.00\);_(&quot;$&quot;* &quot;-&quot;??_);_(@_)"/>
    <numFmt numFmtId="165" formatCode="_(* #,##0.00_);_(* \(#,##0.00\);_(* &quot;-&quot;??_);_(@_)"/>
    <numFmt numFmtId="166" formatCode="0.0%"/>
    <numFmt numFmtId="167" formatCode="#,##0&quot; meses&quot;"/>
    <numFmt numFmtId="168" formatCode="0&quot; meses&quot;"/>
    <numFmt numFmtId="169" formatCode="_-&quot;R$&quot;* #,##0.00_-;\-&quot;R$&quot;* #,##0.00_-;_-&quot;R$&quot;* &quot;-&quot;??_-;_-@_-"/>
    <numFmt numFmtId="170" formatCode="0&quot; x&quot;"/>
    <numFmt numFmtId="171" formatCode="#,##0;\(#,##0\);\-"/>
    <numFmt numFmtId="172" formatCode="#,##0.0;\(#,##0.0\);\-"/>
    <numFmt numFmtId="173" formatCode="[$-416]mmm\-yy;@"/>
    <numFmt numFmtId="174" formatCode="_-* #,##0.000_-;\-* #,##0.000_-;_-* &quot;-&quot;??_-;_-@_-"/>
    <numFmt numFmtId="175" formatCode="0.0"/>
    <numFmt numFmtId="176" formatCode="#,##0.00&quot; m²&quot;"/>
    <numFmt numFmtId="177" formatCode="_-&quot;R$&quot;\ * #,##0.00_-&quot;/m²&quot;;\-&quot;R$&quot;\ * #,##0.00_-;_-&quot;R$&quot;\ * &quot;-&quot;??_-;_-@_-"/>
    <numFmt numFmtId="178" formatCode="_-* #,##0_-;\-* #,##0_-;_-* &quot;-&quot;??_-;_-@_-"/>
    <numFmt numFmtId="179" formatCode="&quot;R$&quot;\ #,##0.00"/>
    <numFmt numFmtId="180" formatCode="_(* #,##0_);_(* \(#,##0\);_(* &quot;-&quot;??_);_(@_)"/>
    <numFmt numFmtId="181" formatCode="#,##0.000"/>
    <numFmt numFmtId="182" formatCode="0.0&quot; un.&quot;"/>
    <numFmt numFmtId="183" formatCode="#,##0.0&quot;x&quot;"/>
    <numFmt numFmtId="184" formatCode="0.0%&quot; a.a.&quot;"/>
    <numFmt numFmtId="185" formatCode="_-&quot;R$&quot;\ * #,##0_-;\-&quot;R$&quot;\ * #,##0_-;_-&quot;R$&quot;\ * &quot;-&quot;??_-;_-@_-"/>
    <numFmt numFmtId="186" formatCode="#,##0.0"/>
    <numFmt numFmtId="187" formatCode="_-[$R$-416]\ * #,##0.00_-;\-[$R$-416]\ * #,##0.00_-;_-[$R$-416]\ * &quot;-&quot;??_-;_-@_-"/>
    <numFmt numFmtId="188" formatCode="#,##0.0&quot; x&quot;"/>
    <numFmt numFmtId="189" formatCode="#,##0_);\(#,##0\);\-"/>
    <numFmt numFmtId="190" formatCode="#,##0.00\ &quot;m²&quot;"/>
    <numFmt numFmtId="191" formatCode="[$-416]mmm/yy;@"/>
    <numFmt numFmtId="192" formatCode="&quot;Participação: &quot;\ 0.00%;_(* &quot;&quot;_);_(* &quot;&quot;_);_(@_)"/>
    <numFmt numFmtId="193" formatCode="&quot;Total VP - &quot;0.00%"/>
    <numFmt numFmtId="194" formatCode="&quot;@&quot;\ 0.0%;&quot;@&quot;\ \(0.0%\);_(* &quot;&quot;_);_(@_)"/>
    <numFmt numFmtId="195" formatCode="_-* #,##0_-;* \-#,##0_-;_-* &quot;-&quot;_-;_-@_-"/>
    <numFmt numFmtId="196" formatCode="0.0%;\-0.0%;&quot;&quot;"/>
    <numFmt numFmtId="197" formatCode="_-0.0%;0.0%;&quot;&quot;"/>
    <numFmt numFmtId="198" formatCode="&quot;Ganho XP&quot;\ &quot; &quot;0.00%"/>
    <numFmt numFmtId="199" formatCode="&quot;Ganho SPE&quot;\ &quot; &quot;0.00%"/>
    <numFmt numFmtId="200" formatCode="&quot;R$&quot;#,##0"/>
    <numFmt numFmtId="201" formatCode="&quot;R$&quot;#,##0.00"/>
    <numFmt numFmtId="202" formatCode="_(&quot;R$ &quot;* #,##0.00_);_(&quot;R$ &quot;* \(#,##0.00\);_(&quot;R$ &quot;* &quot;-&quot;??_);_(@_)"/>
    <numFmt numFmtId="203" formatCode="&quot;R$&quot;\ #,##0"/>
    <numFmt numFmtId="204" formatCode="&quot;R$ &quot;#,##0.00"/>
    <numFmt numFmtId="205" formatCode="_(&quot;R$&quot;* #,##0.00_);_(&quot;R$&quot;* \(#,##0.00\);_(&quot;R$&quot;* &quot;-&quot;??_);_(@_)"/>
    <numFmt numFmtId="206" formatCode="_(&quot;R$&quot;* #,##0_);_(&quot;R$&quot;* \(#,##0\);_(&quot;R$&quot;* &quot;-&quot;??_);_(@_)"/>
    <numFmt numFmtId="207" formatCode="&quot;R$&quot;\ #,##0.00;[Red]&quot;R$&quot;\ #,##0.00"/>
    <numFmt numFmtId="208" formatCode="0.000%"/>
    <numFmt numFmtId="209" formatCode="0.000000%"/>
    <numFmt numFmtId="210" formatCode="0.0000"/>
    <numFmt numFmtId="211" formatCode="&quot;Ponto de Equilíbrio (&quot;0&quot; Unid.)&quot;\ "/>
    <numFmt numFmtId="212" formatCode="#,##0.00\ &quot;m²&quot;;\-#,##0.00\ &quot;m²&quot;"/>
    <numFmt numFmtId="213" formatCode="#,##0.000000"/>
    <numFmt numFmtId="214" formatCode="#,##0.000000_ ;[Red]\-#,##0.000000\ "/>
    <numFmt numFmtId="215" formatCode="0.0000%"/>
    <numFmt numFmtId="216" formatCode="&quot;R$&quot;#,##0.00_);[Red]\(&quot;R$&quot;#,##0.00\)"/>
    <numFmt numFmtId="217" formatCode="[$-416]mmmm\-yy;@"/>
    <numFmt numFmtId="218" formatCode="0.00000000"/>
  </numFmts>
  <fonts count="123">
    <font>
      <sz val="11"/>
      <color theme="1"/>
      <name val="Calibri"/>
      <family val="2"/>
      <scheme val="minor"/>
    </font>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
      <b/>
      <i/>
      <sz val="10"/>
      <color theme="1" tint="0.499984740745262"/>
      <name val="Calibri"/>
      <family val="2"/>
      <scheme val="minor"/>
    </font>
    <font>
      <i/>
      <sz val="11"/>
      <color rgb="FF0000FF"/>
      <name val="Calibri"/>
      <family val="2"/>
      <scheme val="minor"/>
    </font>
    <font>
      <sz val="10"/>
      <color theme="1" tint="0.499984740745262"/>
      <name val="Calibri"/>
      <family val="2"/>
    </font>
    <font>
      <b/>
      <sz val="10"/>
      <color rgb="FF00B050"/>
      <name val="Calibri"/>
      <family val="2"/>
    </font>
    <font>
      <sz val="11"/>
      <name val="Calibri"/>
      <family val="2"/>
      <scheme val="minor"/>
    </font>
    <font>
      <b/>
      <sz val="11"/>
      <name val="Calibri"/>
      <family val="2"/>
      <scheme val="minor"/>
    </font>
    <font>
      <sz val="11"/>
      <color rgb="FF0000FF"/>
      <name val="Calibri"/>
      <family val="2"/>
      <scheme val="minor"/>
    </font>
    <font>
      <i/>
      <sz val="11"/>
      <color theme="1"/>
      <name val="Calibri"/>
      <family val="2"/>
      <scheme val="minor"/>
    </font>
    <font>
      <i/>
      <sz val="11"/>
      <color theme="0" tint="-0.34998626667073579"/>
      <name val="Calibri"/>
      <family val="2"/>
      <scheme val="minor"/>
    </font>
    <font>
      <sz val="10"/>
      <name val="Arial"/>
      <family val="2"/>
    </font>
    <font>
      <b/>
      <sz val="10"/>
      <color theme="9" tint="-0.249977111117893"/>
      <name val="Calibri"/>
      <family val="2"/>
    </font>
    <font>
      <b/>
      <sz val="10"/>
      <name val="Arial"/>
      <family val="2"/>
    </font>
    <font>
      <u/>
      <sz val="11"/>
      <color theme="10"/>
      <name val="Calibri"/>
      <family val="2"/>
      <scheme val="minor"/>
    </font>
    <font>
      <b/>
      <sz val="18"/>
      <color theme="0"/>
      <name val="Arial Black"/>
      <family val="2"/>
    </font>
    <font>
      <sz val="15"/>
      <color theme="0"/>
      <name val="Calibri"/>
      <family val="2"/>
      <scheme val="minor"/>
    </font>
    <font>
      <u/>
      <sz val="10"/>
      <color theme="1" tint="0.499984740745262"/>
      <name val="Calibri"/>
      <family val="2"/>
    </font>
    <font>
      <b/>
      <sz val="10"/>
      <color rgb="FF0000FF"/>
      <name val="Calibri"/>
      <family val="2"/>
    </font>
    <font>
      <u/>
      <sz val="10"/>
      <color theme="10"/>
      <name val="Calibri"/>
      <family val="2"/>
      <scheme val="minor"/>
    </font>
    <font>
      <i/>
      <sz val="11"/>
      <color theme="0" tint="-0.14999847407452621"/>
      <name val="Calibri"/>
      <family val="2"/>
      <scheme val="minor"/>
    </font>
    <font>
      <sz val="11"/>
      <color rgb="FF006600"/>
      <name val="Calibri"/>
      <family val="2"/>
      <scheme val="minor"/>
    </font>
    <font>
      <i/>
      <sz val="11"/>
      <color theme="1" tint="0.499984740745262"/>
      <name val="Calibri"/>
      <family val="2"/>
      <scheme val="minor"/>
    </font>
    <font>
      <sz val="11"/>
      <color theme="1" tint="0.499984740745262"/>
      <name val="Calibri"/>
      <family val="2"/>
      <scheme val="minor"/>
    </font>
    <font>
      <i/>
      <sz val="11"/>
      <color rgb="FF006600"/>
      <name val="Calibri"/>
      <family val="2"/>
      <scheme val="minor"/>
    </font>
    <font>
      <i/>
      <sz val="11"/>
      <color rgb="FF7030A0"/>
      <name val="Calibri"/>
      <family val="2"/>
      <scheme val="minor"/>
    </font>
    <font>
      <b/>
      <i/>
      <sz val="11"/>
      <name val="Calibri"/>
      <family val="2"/>
      <scheme val="minor"/>
    </font>
    <font>
      <i/>
      <sz val="11"/>
      <color theme="1" tint="0.34998626667073579"/>
      <name val="Calibri"/>
      <family val="2"/>
      <scheme val="minor"/>
    </font>
    <font>
      <sz val="10"/>
      <name val="Calibri"/>
      <family val="2"/>
    </font>
    <font>
      <i/>
      <sz val="11"/>
      <color theme="0"/>
      <name val="Calibri"/>
      <family val="2"/>
      <scheme val="minor"/>
    </font>
    <font>
      <b/>
      <sz val="10"/>
      <color rgb="FF008000"/>
      <name val="Calibri"/>
      <family val="2"/>
    </font>
    <font>
      <b/>
      <sz val="8"/>
      <color theme="1"/>
      <name val="Calibri"/>
      <family val="2"/>
      <scheme val="minor"/>
    </font>
    <font>
      <i/>
      <sz val="11"/>
      <color theme="1" tint="0.499984740745262"/>
      <name val="Calibri"/>
      <family val="2"/>
    </font>
    <font>
      <b/>
      <i/>
      <sz val="11"/>
      <color theme="1" tint="0.34998626667073579"/>
      <name val="Calibri"/>
      <family val="2"/>
      <scheme val="minor"/>
    </font>
    <font>
      <b/>
      <i/>
      <u/>
      <sz val="11"/>
      <color theme="1"/>
      <name val="Calibri"/>
      <family val="2"/>
      <scheme val="minor"/>
    </font>
    <font>
      <b/>
      <u/>
      <sz val="11"/>
      <color theme="1"/>
      <name val="Calibri"/>
      <family val="2"/>
      <scheme val="minor"/>
    </font>
    <font>
      <b/>
      <sz val="11"/>
      <color rgb="FF006600"/>
      <name val="Calibri"/>
      <family val="2"/>
      <scheme val="minor"/>
    </font>
    <font>
      <sz val="10"/>
      <name val="Times New Roman"/>
      <family val="1"/>
    </font>
    <font>
      <b/>
      <sz val="14"/>
      <name val="Arial"/>
      <family val="2"/>
    </font>
    <font>
      <b/>
      <sz val="9"/>
      <name val="Arial"/>
      <family val="2"/>
    </font>
    <font>
      <b/>
      <sz val="11"/>
      <name val="Arial"/>
      <family val="2"/>
    </font>
    <font>
      <sz val="10"/>
      <color rgb="FFFF0000"/>
      <name val="Arial"/>
      <family val="2"/>
    </font>
    <font>
      <sz val="8"/>
      <name val="Arial"/>
      <family val="2"/>
    </font>
    <font>
      <sz val="12"/>
      <color theme="1"/>
      <name val="Calibri"/>
      <family val="2"/>
      <scheme val="minor"/>
    </font>
    <font>
      <b/>
      <sz val="13"/>
      <color theme="0"/>
      <name val="Arial"/>
      <family val="2"/>
    </font>
    <font>
      <sz val="12"/>
      <name val="Arial"/>
      <family val="2"/>
    </font>
    <font>
      <b/>
      <sz val="12"/>
      <name val="Arial"/>
      <family val="2"/>
    </font>
    <font>
      <sz val="12"/>
      <color theme="0"/>
      <name val="Arial"/>
      <family val="2"/>
    </font>
    <font>
      <b/>
      <sz val="10"/>
      <color rgb="FFFF0000"/>
      <name val="Arial"/>
      <family val="2"/>
    </font>
    <font>
      <sz val="10"/>
      <color theme="0"/>
      <name val="Arial"/>
      <family val="2"/>
    </font>
    <font>
      <sz val="8"/>
      <color theme="0"/>
      <name val="Arial"/>
      <family val="2"/>
    </font>
    <font>
      <b/>
      <sz val="8"/>
      <color theme="0"/>
      <name val="Arial"/>
      <family val="2"/>
    </font>
    <font>
      <b/>
      <sz val="8"/>
      <name val="Arial"/>
      <family val="2"/>
    </font>
    <font>
      <sz val="7"/>
      <name val="Arial"/>
      <family val="2"/>
    </font>
    <font>
      <sz val="11"/>
      <name val="Arial"/>
      <family val="2"/>
    </font>
    <font>
      <sz val="9"/>
      <name val="Arial"/>
      <family val="2"/>
    </font>
    <font>
      <b/>
      <sz val="9"/>
      <color rgb="FF008000"/>
      <name val="Arial"/>
      <family val="2"/>
    </font>
    <font>
      <sz val="9"/>
      <color theme="0"/>
      <name val="Arial"/>
      <family val="2"/>
    </font>
    <font>
      <sz val="12"/>
      <color rgb="FFFF0000"/>
      <name val="Arial"/>
      <family val="2"/>
    </font>
    <font>
      <sz val="12"/>
      <color rgb="FF0070C0"/>
      <name val="Arial"/>
      <family val="2"/>
    </font>
    <font>
      <b/>
      <sz val="5"/>
      <name val="Arial"/>
      <family val="2"/>
    </font>
    <font>
      <b/>
      <sz val="9"/>
      <name val="Trebuchet MS"/>
      <family val="2"/>
    </font>
    <font>
      <sz val="9"/>
      <name val="Trebuchet MS"/>
      <family val="2"/>
    </font>
    <font>
      <u/>
      <sz val="10"/>
      <color theme="10"/>
      <name val="Arial"/>
      <family val="2"/>
    </font>
    <font>
      <u/>
      <sz val="9"/>
      <color theme="10"/>
      <name val="Trebuchet MS"/>
      <family val="2"/>
    </font>
    <font>
      <b/>
      <sz val="7"/>
      <name val="Trebuchet MS"/>
      <family val="2"/>
    </font>
    <font>
      <b/>
      <sz val="9"/>
      <color theme="1"/>
      <name val="Trebuchet MS"/>
      <family val="2"/>
    </font>
    <font>
      <b/>
      <sz val="9"/>
      <color theme="3" tint="-0.249977111117893"/>
      <name val="Trebuchet MS"/>
      <family val="2"/>
    </font>
    <font>
      <b/>
      <u/>
      <sz val="9"/>
      <name val="Trebuchet MS"/>
      <family val="2"/>
    </font>
    <font>
      <b/>
      <sz val="9"/>
      <color rgb="FFFF0000"/>
      <name val="Trebuchet MS"/>
      <family val="2"/>
    </font>
    <font>
      <b/>
      <sz val="6"/>
      <name val="Trebuchet MS"/>
      <family val="2"/>
    </font>
    <font>
      <sz val="8"/>
      <name val="Trebuchet MS"/>
      <family val="2"/>
    </font>
    <font>
      <sz val="8"/>
      <color theme="0"/>
      <name val="Trebuchet MS"/>
      <family val="2"/>
    </font>
    <font>
      <sz val="9"/>
      <color theme="0"/>
      <name val="Trebuchet MS"/>
      <family val="2"/>
    </font>
    <font>
      <sz val="9"/>
      <color theme="4" tint="-0.499984740745262"/>
      <name val="Trebuchet MS"/>
      <family val="2"/>
    </font>
    <font>
      <b/>
      <sz val="9"/>
      <color theme="4" tint="-0.499984740745262"/>
      <name val="Trebuchet MS"/>
      <family val="2"/>
    </font>
    <font>
      <b/>
      <sz val="8"/>
      <name val="Trebuchet MS"/>
      <family val="2"/>
    </font>
    <font>
      <sz val="8"/>
      <color theme="3" tint="-0.499984740745262"/>
      <name val="Trebuchet MS"/>
      <family val="2"/>
    </font>
    <font>
      <sz val="11"/>
      <color rgb="FF666666"/>
      <name val="Arial"/>
      <family val="2"/>
    </font>
    <font>
      <b/>
      <u/>
      <sz val="11"/>
      <color rgb="FF666666"/>
      <name val="Arial"/>
      <family val="2"/>
    </font>
    <font>
      <b/>
      <sz val="11"/>
      <color rgb="FF666666"/>
      <name val="Arial"/>
      <family val="2"/>
    </font>
    <font>
      <u/>
      <sz val="11"/>
      <color rgb="FF666666"/>
      <name val="Arial"/>
      <family val="2"/>
    </font>
    <font>
      <sz val="10"/>
      <color rgb="FF000000"/>
      <name val="Arial"/>
      <family val="2"/>
    </font>
    <font>
      <b/>
      <sz val="12"/>
      <color rgb="FFFF0000"/>
      <name val="Arial"/>
      <family val="2"/>
    </font>
    <font>
      <sz val="12"/>
      <color theme="3"/>
      <name val="Arial"/>
      <family val="2"/>
    </font>
    <font>
      <b/>
      <sz val="12"/>
      <color theme="1"/>
      <name val="Calibri"/>
      <family val="2"/>
      <scheme val="minor"/>
    </font>
    <font>
      <sz val="9.5"/>
      <name val="Trebuchet MS"/>
      <family val="2"/>
    </font>
    <font>
      <sz val="9.5"/>
      <color rgb="FF0070C0"/>
      <name val="Trebuchet MS"/>
      <family val="2"/>
    </font>
    <font>
      <sz val="9.5"/>
      <color theme="1" tint="4.9989318521683403E-2"/>
      <name val="Trebuchet MS"/>
      <family val="2"/>
    </font>
    <font>
      <i/>
      <sz val="9.5"/>
      <name val="Trebuchet MS"/>
      <family val="2"/>
    </font>
    <font>
      <b/>
      <sz val="9.5"/>
      <name val="Trebuchet MS"/>
      <family val="2"/>
    </font>
    <font>
      <b/>
      <i/>
      <sz val="9.5"/>
      <name val="Trebuchet MS"/>
      <family val="2"/>
    </font>
    <font>
      <i/>
      <sz val="10"/>
      <name val="Arial"/>
      <family val="2"/>
    </font>
    <font>
      <sz val="9.5"/>
      <color theme="0"/>
      <name val="Trebuchet MS"/>
      <family val="2"/>
    </font>
    <font>
      <b/>
      <sz val="9.5"/>
      <color theme="0"/>
      <name val="Trebuchet MS"/>
      <family val="2"/>
    </font>
    <font>
      <sz val="9.5"/>
      <color rgb="FF0000FF"/>
      <name val="Trebuchet MS"/>
      <family val="2"/>
    </font>
    <font>
      <b/>
      <sz val="10"/>
      <name val="Trebuchet MS"/>
      <family val="2"/>
    </font>
    <font>
      <sz val="10"/>
      <color rgb="FF0000FF"/>
      <name val="Arial"/>
      <family val="2"/>
    </font>
    <font>
      <sz val="12"/>
      <color theme="0"/>
      <name val="Calibri"/>
      <family val="2"/>
      <scheme val="minor"/>
    </font>
    <font>
      <sz val="12"/>
      <color theme="1" tint="0.249977111117893"/>
      <name val="Calibri"/>
      <family val="2"/>
      <scheme val="minor"/>
    </font>
    <font>
      <sz val="10"/>
      <color theme="1"/>
      <name val="Calibri"/>
      <family val="2"/>
      <scheme val="minor"/>
    </font>
    <font>
      <b/>
      <sz val="14"/>
      <color theme="1"/>
      <name val="Calibri"/>
      <family val="2"/>
      <scheme val="minor"/>
    </font>
    <font>
      <sz val="10"/>
      <color theme="0"/>
      <name val="Calibri"/>
      <family val="2"/>
      <scheme val="minor"/>
    </font>
    <font>
      <b/>
      <sz val="10"/>
      <color theme="1"/>
      <name val="Calibri"/>
      <family val="2"/>
      <scheme val="minor"/>
    </font>
    <font>
      <sz val="10"/>
      <color theme="1" tint="0.249977111117893"/>
      <name val="Calibri"/>
      <family val="2"/>
      <scheme val="minor"/>
    </font>
    <font>
      <b/>
      <sz val="32"/>
      <color theme="1" tint="0.249977111117893"/>
      <name val="Calibri"/>
      <family val="2"/>
      <scheme val="minor"/>
    </font>
    <font>
      <b/>
      <sz val="26"/>
      <color theme="1" tint="0.249977111117893"/>
      <name val="Calibri"/>
      <family val="2"/>
      <scheme val="minor"/>
    </font>
    <font>
      <b/>
      <sz val="32"/>
      <color theme="0"/>
      <name val="Calibri"/>
      <family val="2"/>
      <scheme val="minor"/>
    </font>
    <font>
      <sz val="12"/>
      <color rgb="FFF0462E"/>
      <name val="Calibri"/>
      <family val="2"/>
      <scheme val="minor"/>
    </font>
    <font>
      <sz val="10"/>
      <name val="Calibri"/>
      <family val="2"/>
      <scheme val="minor"/>
    </font>
    <font>
      <sz val="10"/>
      <color rgb="FFF0462E"/>
      <name val="Calibri"/>
      <family val="2"/>
      <scheme val="minor"/>
    </font>
    <font>
      <sz val="12"/>
      <color rgb="FFFF0000"/>
      <name val="Calibri"/>
      <family val="2"/>
      <scheme val="minor"/>
    </font>
    <font>
      <b/>
      <sz val="32"/>
      <color rgb="FFF0462E"/>
      <name val="Calibri"/>
      <family val="2"/>
      <scheme val="minor"/>
    </font>
    <font>
      <b/>
      <sz val="28"/>
      <color theme="1" tint="0.249977111117893"/>
      <name val="Calibri"/>
      <family val="2"/>
      <scheme val="minor"/>
    </font>
    <font>
      <sz val="9"/>
      <color indexed="81"/>
      <name val="Segoe UI"/>
      <family val="2"/>
    </font>
    <font>
      <b/>
      <sz val="9"/>
      <color indexed="81"/>
      <name val="Segoe UI"/>
      <family val="2"/>
    </font>
    <font>
      <sz val="11"/>
      <color theme="5"/>
      <name val="Calibri"/>
      <family val="2"/>
      <scheme val="minor"/>
    </font>
    <font>
      <b/>
      <sz val="16"/>
      <color theme="1"/>
      <name val="Calibri"/>
      <family val="2"/>
      <scheme val="minor"/>
    </font>
  </fonts>
  <fills count="47">
    <fill>
      <patternFill patternType="none"/>
    </fill>
    <fill>
      <patternFill patternType="gray125"/>
    </fill>
    <fill>
      <patternFill patternType="solid">
        <fgColor rgb="FF00B050"/>
        <bgColor indexed="64"/>
      </patternFill>
    </fill>
    <fill>
      <patternFill patternType="solid">
        <fgColor theme="0" tint="-0.14999847407452621"/>
        <bgColor indexed="64"/>
      </patternFill>
    </fill>
    <fill>
      <patternFill patternType="solid">
        <fgColor rgb="FFFFFF00"/>
        <bgColor indexed="64"/>
      </patternFill>
    </fill>
    <fill>
      <patternFill patternType="solid">
        <fgColor rgb="FFC00000"/>
        <bgColor indexed="64"/>
      </patternFill>
    </fill>
    <fill>
      <patternFill patternType="solid">
        <fgColor theme="0" tint="-0.249977111117893"/>
        <bgColor indexed="64"/>
      </patternFill>
    </fill>
    <fill>
      <patternFill patternType="solid">
        <fgColor theme="9" tint="-0.249977111117893"/>
        <bgColor indexed="64"/>
      </patternFill>
    </fill>
    <fill>
      <patternFill patternType="solid">
        <fgColor theme="1" tint="4.9989318521683403E-2"/>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0" tint="-0.499984740745262"/>
        <bgColor indexed="64"/>
      </patternFill>
    </fill>
    <fill>
      <patternFill patternType="solid">
        <fgColor theme="0"/>
        <bgColor indexed="64"/>
      </patternFill>
    </fill>
    <fill>
      <patternFill patternType="solid">
        <fgColor indexed="9"/>
        <bgColor indexed="64"/>
      </patternFill>
    </fill>
    <fill>
      <patternFill patternType="solid">
        <fgColor theme="0" tint="-0.34998626667073579"/>
        <bgColor indexed="64"/>
      </patternFill>
    </fill>
    <fill>
      <patternFill patternType="solid">
        <fgColor theme="6" tint="-0.249977111117893"/>
        <bgColor indexed="64"/>
      </patternFill>
    </fill>
    <fill>
      <patternFill patternType="solid">
        <fgColor theme="1" tint="0.34998626667073579"/>
        <bgColor indexed="64"/>
      </patternFill>
    </fill>
    <fill>
      <patternFill patternType="solid">
        <fgColor theme="1"/>
        <bgColor indexed="64"/>
      </patternFill>
    </fill>
    <fill>
      <patternFill patternType="solid">
        <fgColor rgb="FFFF0000"/>
        <bgColor indexed="64"/>
      </patternFill>
    </fill>
    <fill>
      <patternFill patternType="solid">
        <fgColor theme="1" tint="0.499984740745262"/>
        <bgColor indexed="64"/>
      </patternFill>
    </fill>
    <fill>
      <patternFill patternType="solid">
        <fgColor rgb="FF006600"/>
        <bgColor indexed="64"/>
      </patternFill>
    </fill>
    <fill>
      <patternFill patternType="solid">
        <fgColor rgb="FF002060"/>
        <bgColor indexed="64"/>
      </patternFill>
    </fill>
    <fill>
      <patternFill patternType="solid">
        <fgColor indexed="8"/>
        <bgColor indexed="64"/>
      </patternFill>
    </fill>
    <fill>
      <patternFill patternType="solid">
        <fgColor theme="7" tint="0.79998168889431442"/>
        <bgColor indexed="64"/>
      </patternFill>
    </fill>
    <fill>
      <patternFill patternType="solid">
        <fgColor rgb="FFE0FEB8"/>
        <bgColor indexed="64"/>
      </patternFill>
    </fill>
    <fill>
      <patternFill patternType="solid">
        <fgColor rgb="FFFFFFFF"/>
        <bgColor indexed="64"/>
      </patternFill>
    </fill>
    <fill>
      <patternFill patternType="solid">
        <fgColor rgb="FFEBEBEB"/>
        <bgColor indexed="64"/>
      </patternFill>
    </fill>
    <fill>
      <patternFill patternType="solid">
        <fgColor rgb="FFD2F0D3"/>
        <bgColor indexed="64"/>
      </patternFill>
    </fill>
    <fill>
      <patternFill patternType="solid">
        <fgColor rgb="FFFFC000"/>
        <bgColor indexed="64"/>
      </patternFill>
    </fill>
    <fill>
      <patternFill patternType="solid">
        <fgColor theme="2"/>
        <bgColor indexed="64"/>
      </patternFill>
    </fill>
    <fill>
      <patternFill patternType="solid">
        <fgColor theme="1" tint="0.14999847407452621"/>
        <bgColor indexed="64"/>
      </patternFill>
    </fill>
    <fill>
      <patternFill patternType="solid">
        <fgColor theme="2" tint="-9.9978637043366805E-2"/>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rgb="FFEAEAEA"/>
        <bgColor indexed="64"/>
      </patternFill>
    </fill>
    <fill>
      <patternFill patternType="solid">
        <fgColor theme="6" tint="0.79998168889431442"/>
        <bgColor indexed="64"/>
      </patternFill>
    </fill>
    <fill>
      <patternFill patternType="solid">
        <fgColor theme="2" tint="-0.89999084444715716"/>
        <bgColor indexed="64"/>
      </patternFill>
    </fill>
    <fill>
      <patternFill patternType="solid">
        <fgColor rgb="FFFFFFCC"/>
        <bgColor indexed="64"/>
      </patternFill>
    </fill>
    <fill>
      <patternFill patternType="solid">
        <fgColor theme="1" tint="0.249977111117893"/>
        <bgColor indexed="64"/>
      </patternFill>
    </fill>
    <fill>
      <patternFill patternType="solid">
        <fgColor rgb="FF92BA19"/>
        <bgColor indexed="64"/>
      </patternFill>
    </fill>
    <fill>
      <patternFill patternType="solid">
        <fgColor rgb="FF55B03E"/>
        <bgColor indexed="64"/>
      </patternFill>
    </fill>
    <fill>
      <patternFill patternType="solid">
        <fgColor rgb="FFF0462E"/>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rgb="FF7030A0"/>
        <bgColor indexed="64"/>
      </patternFill>
    </fill>
    <fill>
      <patternFill patternType="solid">
        <fgColor theme="9" tint="-0.499984740745262"/>
        <bgColor indexed="64"/>
      </patternFill>
    </fill>
    <fill>
      <patternFill patternType="solid">
        <fgColor theme="9" tint="0.59999389629810485"/>
        <bgColor indexed="64"/>
      </patternFill>
    </fill>
  </fills>
  <borders count="77">
    <border>
      <left/>
      <right/>
      <top/>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right/>
      <top style="thin">
        <color indexed="64"/>
      </top>
      <bottom/>
      <diagonal/>
    </border>
    <border>
      <left/>
      <right style="thin">
        <color indexed="64"/>
      </right>
      <top style="thin">
        <color indexed="64"/>
      </top>
      <bottom/>
      <diagonal/>
    </border>
    <border>
      <left/>
      <right/>
      <top/>
      <bottom style="hair">
        <color auto="1"/>
      </bottom>
      <diagonal/>
    </border>
    <border>
      <left/>
      <right/>
      <top style="hair">
        <color auto="1"/>
      </top>
      <bottom/>
      <diagonal/>
    </border>
    <border>
      <left/>
      <right/>
      <top style="thin">
        <color indexed="64"/>
      </top>
      <bottom style="medium">
        <color indexed="64"/>
      </bottom>
      <diagonal/>
    </border>
    <border>
      <left/>
      <right/>
      <top/>
      <bottom style="medium">
        <color indexed="64"/>
      </bottom>
      <diagonal/>
    </border>
    <border>
      <left/>
      <right/>
      <top style="hair">
        <color auto="1"/>
      </top>
      <bottom style="hair">
        <color auto="1"/>
      </bottom>
      <diagonal/>
    </border>
    <border>
      <left/>
      <right/>
      <top style="thin">
        <color indexed="64"/>
      </top>
      <bottom style="double">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hair">
        <color auto="1"/>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hair">
        <color indexed="64"/>
      </right>
      <top style="thin">
        <color indexed="64"/>
      </top>
      <bottom/>
      <diagonal/>
    </border>
    <border>
      <left style="hair">
        <color indexed="64"/>
      </left>
      <right/>
      <top style="thin">
        <color indexed="64"/>
      </top>
      <bottom/>
      <diagonal/>
    </border>
    <border>
      <left style="hair">
        <color indexed="64"/>
      </left>
      <right style="thin">
        <color indexed="64"/>
      </right>
      <top style="thin">
        <color indexed="64"/>
      </top>
      <bottom/>
      <diagonal/>
    </border>
    <border>
      <left/>
      <right style="hair">
        <color indexed="64"/>
      </right>
      <top/>
      <bottom/>
      <diagonal/>
    </border>
    <border>
      <left style="hair">
        <color indexed="64"/>
      </left>
      <right/>
      <top/>
      <bottom/>
      <diagonal/>
    </border>
    <border>
      <left style="hair">
        <color indexed="64"/>
      </left>
      <right style="thin">
        <color indexed="64"/>
      </right>
      <top/>
      <bottom/>
      <diagonal/>
    </border>
    <border>
      <left style="thin">
        <color indexed="64"/>
      </left>
      <right style="hair">
        <color indexed="64"/>
      </right>
      <top/>
      <bottom/>
      <diagonal/>
    </border>
    <border>
      <left style="hair">
        <color indexed="64"/>
      </left>
      <right style="hair">
        <color indexed="64"/>
      </right>
      <top/>
      <bottom/>
      <diagonal/>
    </border>
    <border>
      <left style="thin">
        <color indexed="64"/>
      </left>
      <right style="hair">
        <color indexed="64"/>
      </right>
      <top/>
      <bottom style="thin">
        <color indexed="64"/>
      </bottom>
      <diagonal/>
    </border>
    <border>
      <left style="hair">
        <color indexed="64"/>
      </left>
      <right style="hair">
        <color indexed="64"/>
      </right>
      <top/>
      <bottom style="thin">
        <color indexed="64"/>
      </bottom>
      <diagonal/>
    </border>
    <border>
      <left style="hair">
        <color indexed="64"/>
      </left>
      <right style="thin">
        <color indexed="64"/>
      </right>
      <top/>
      <bottom style="thin">
        <color indexed="64"/>
      </bottom>
      <diagonal/>
    </border>
    <border>
      <left style="medium">
        <color indexed="64"/>
      </left>
      <right style="medium">
        <color indexed="64"/>
      </right>
      <top style="medium">
        <color indexed="64"/>
      </top>
      <bottom/>
      <diagonal/>
    </border>
    <border>
      <left/>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diagonal/>
    </border>
    <border>
      <left style="medium">
        <color indexed="64"/>
      </left>
      <right style="medium">
        <color indexed="64"/>
      </right>
      <top style="medium">
        <color indexed="64"/>
      </top>
      <bottom style="medium">
        <color indexed="64"/>
      </bottom>
      <diagonal/>
    </border>
    <border>
      <left/>
      <right style="hair">
        <color theme="1" tint="0.499984740745262"/>
      </right>
      <top/>
      <bottom/>
      <diagonal/>
    </border>
    <border>
      <left style="thin">
        <color theme="0"/>
      </left>
      <right/>
      <top style="thin">
        <color theme="0"/>
      </top>
      <bottom style="thin">
        <color theme="0"/>
      </bottom>
      <diagonal/>
    </border>
    <border>
      <left/>
      <right/>
      <top style="thin">
        <color theme="0"/>
      </top>
      <bottom/>
      <diagonal/>
    </border>
    <border>
      <left/>
      <right style="thin">
        <color theme="0"/>
      </right>
      <top style="thin">
        <color theme="0"/>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top style="thin">
        <color indexed="64"/>
      </top>
      <bottom style="thin">
        <color theme="0"/>
      </bottom>
      <diagonal/>
    </border>
    <border>
      <left/>
      <right/>
      <top style="thin">
        <color indexed="64"/>
      </top>
      <bottom style="thin">
        <color theme="0"/>
      </bottom>
      <diagonal/>
    </border>
    <border>
      <left/>
      <right style="thin">
        <color theme="0"/>
      </right>
      <top style="thin">
        <color indexed="64"/>
      </top>
      <bottom style="thin">
        <color theme="0"/>
      </bottom>
      <diagonal/>
    </border>
    <border>
      <left style="thin">
        <color theme="0"/>
      </left>
      <right style="thin">
        <color theme="0"/>
      </right>
      <top/>
      <bottom style="thin">
        <color theme="0"/>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bottom style="thin">
        <color theme="0" tint="-0.14999847407452621"/>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7">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6" fillId="0" borderId="0"/>
    <xf numFmtId="0" fontId="19" fillId="0" borderId="0" applyNumberFormat="0" applyFill="0" applyBorder="0" applyAlignment="0" applyProtection="0"/>
    <xf numFmtId="43" fontId="1" fillId="0" borderId="0" applyFont="0" applyFill="0" applyBorder="0" applyAlignment="0" applyProtection="0"/>
    <xf numFmtId="165" fontId="33" fillId="0" borderId="0" applyFont="0" applyFill="0" applyBorder="0" applyAlignment="0" applyProtection="0"/>
    <xf numFmtId="0" fontId="16" fillId="0" borderId="0"/>
    <xf numFmtId="9" fontId="16" fillId="0" borderId="0" applyFont="0" applyFill="0" applyBorder="0" applyAlignment="0" applyProtection="0"/>
    <xf numFmtId="165" fontId="16" fillId="0" borderId="0" applyFont="0" applyFill="0" applyBorder="0" applyAlignment="0" applyProtection="0"/>
    <xf numFmtId="164" fontId="1" fillId="0" borderId="0" applyFont="0" applyFill="0" applyBorder="0" applyAlignment="0" applyProtection="0"/>
    <xf numFmtId="0" fontId="16" fillId="0" borderId="0"/>
    <xf numFmtId="9" fontId="16" fillId="0" borderId="0" applyFont="0" applyFill="0" applyBorder="0" applyAlignment="0" applyProtection="0"/>
    <xf numFmtId="0" fontId="48" fillId="0" borderId="0"/>
    <xf numFmtId="165" fontId="16" fillId="0" borderId="0" applyFont="0" applyFill="0" applyBorder="0" applyAlignment="0" applyProtection="0"/>
    <xf numFmtId="169" fontId="48" fillId="0" borderId="0" applyFont="0" applyFill="0" applyBorder="0" applyAlignment="0" applyProtection="0"/>
    <xf numFmtId="9" fontId="48" fillId="0" borderId="0" applyFont="0" applyFill="0" applyBorder="0" applyAlignment="0" applyProtection="0"/>
    <xf numFmtId="0" fontId="68" fillId="0" borderId="0" applyNumberFormat="0" applyFill="0" applyBorder="0" applyAlignment="0" applyProtection="0"/>
    <xf numFmtId="205" fontId="16" fillId="0" borderId="0" applyFont="0" applyFill="0" applyBorder="0" applyAlignment="0" applyProtection="0"/>
    <xf numFmtId="165" fontId="1" fillId="0" borderId="0" applyFont="0" applyFill="0" applyBorder="0" applyAlignment="0" applyProtection="0"/>
    <xf numFmtId="0" fontId="87" fillId="0" borderId="0"/>
    <xf numFmtId="43" fontId="48"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1219">
    <xf numFmtId="0" fontId="0" fillId="0" borderId="0" xfId="0"/>
    <xf numFmtId="0" fontId="6" fillId="0" borderId="0" xfId="0" applyFont="1"/>
    <xf numFmtId="0" fontId="2" fillId="2" borderId="0" xfId="0" applyFont="1" applyFill="1"/>
    <xf numFmtId="0" fontId="4" fillId="0" borderId="4" xfId="0" applyFont="1" applyBorder="1"/>
    <xf numFmtId="0" fontId="0" fillId="0" borderId="4" xfId="0" applyBorder="1"/>
    <xf numFmtId="0" fontId="4" fillId="0" borderId="0" xfId="0" applyFont="1"/>
    <xf numFmtId="10" fontId="4" fillId="0" borderId="0" xfId="0" applyNumberFormat="1" applyFont="1"/>
    <xf numFmtId="4" fontId="0" fillId="0" borderId="0" xfId="0" applyNumberFormat="1"/>
    <xf numFmtId="0" fontId="14" fillId="0" borderId="0" xfId="0" applyFont="1"/>
    <xf numFmtId="0" fontId="2" fillId="5" borderId="0" xfId="0" applyFont="1" applyFill="1"/>
    <xf numFmtId="10" fontId="0" fillId="0" borderId="0" xfId="0" applyNumberFormat="1"/>
    <xf numFmtId="0" fontId="4" fillId="3" borderId="1" xfId="0" applyFont="1" applyFill="1" applyBorder="1"/>
    <xf numFmtId="0" fontId="20" fillId="7" borderId="0" xfId="0" applyFont="1" applyFill="1" applyAlignment="1" applyProtection="1">
      <alignment horizontal="left"/>
      <protection hidden="1"/>
    </xf>
    <xf numFmtId="0" fontId="21" fillId="7" borderId="0" xfId="0" applyFont="1" applyFill="1"/>
    <xf numFmtId="0" fontId="21" fillId="7" borderId="0" xfId="0" applyFont="1" applyFill="1" applyAlignment="1">
      <alignment horizontal="right"/>
    </xf>
    <xf numFmtId="0" fontId="2" fillId="8" borderId="0" xfId="0" applyFont="1" applyFill="1"/>
    <xf numFmtId="0" fontId="0" fillId="8" borderId="0" xfId="0" applyFill="1"/>
    <xf numFmtId="0" fontId="7" fillId="0" borderId="0" xfId="0" applyFont="1" applyProtection="1">
      <protection hidden="1"/>
    </xf>
    <xf numFmtId="0" fontId="0" fillId="0" borderId="0" xfId="0" applyProtection="1">
      <protection hidden="1"/>
    </xf>
    <xf numFmtId="0" fontId="9" fillId="0" borderId="0" xfId="0" applyFont="1" applyProtection="1">
      <protection hidden="1"/>
    </xf>
    <xf numFmtId="0" fontId="19" fillId="0" borderId="0" xfId="5" applyProtection="1">
      <protection hidden="1"/>
    </xf>
    <xf numFmtId="0" fontId="24" fillId="0" borderId="0" xfId="5" applyFont="1" applyProtection="1">
      <protection hidden="1"/>
    </xf>
    <xf numFmtId="0" fontId="0" fillId="3" borderId="1" xfId="0" applyFill="1" applyBorder="1"/>
    <xf numFmtId="0" fontId="4" fillId="9" borderId="1" xfId="0" applyFont="1" applyFill="1" applyBorder="1"/>
    <xf numFmtId="0" fontId="0" fillId="9" borderId="1" xfId="0" applyFill="1" applyBorder="1"/>
    <xf numFmtId="10" fontId="13" fillId="10" borderId="0" xfId="0" applyNumberFormat="1" applyFont="1" applyFill="1" applyProtection="1">
      <protection locked="0"/>
    </xf>
    <xf numFmtId="168" fontId="13" fillId="10" borderId="0" xfId="0" applyNumberFormat="1" applyFont="1" applyFill="1" applyProtection="1">
      <protection locked="0"/>
    </xf>
    <xf numFmtId="0" fontId="14" fillId="0" borderId="0" xfId="0" applyFont="1" applyAlignment="1">
      <alignment horizontal="left" indent="1"/>
    </xf>
    <xf numFmtId="0" fontId="0" fillId="0" borderId="6" xfId="0" applyBorder="1"/>
    <xf numFmtId="15" fontId="0" fillId="0" borderId="6" xfId="0" applyNumberFormat="1" applyBorder="1" applyProtection="1">
      <protection hidden="1"/>
    </xf>
    <xf numFmtId="0" fontId="14" fillId="0" borderId="6" xfId="0" applyFont="1" applyBorder="1" applyAlignment="1">
      <alignment horizontal="left" indent="1"/>
    </xf>
    <xf numFmtId="10" fontId="11" fillId="0" borderId="6" xfId="0" applyNumberFormat="1" applyFont="1" applyBorder="1" applyProtection="1">
      <protection hidden="1"/>
    </xf>
    <xf numFmtId="169" fontId="13" fillId="10" borderId="0" xfId="0" applyNumberFormat="1" applyFont="1" applyFill="1" applyAlignment="1" applyProtection="1">
      <alignment horizontal="center"/>
      <protection locked="0"/>
    </xf>
    <xf numFmtId="44" fontId="0" fillId="0" borderId="0" xfId="0" applyNumberFormat="1"/>
    <xf numFmtId="169" fontId="11" fillId="0" borderId="0" xfId="0" applyNumberFormat="1" applyFont="1" applyProtection="1">
      <protection hidden="1"/>
    </xf>
    <xf numFmtId="15" fontId="15" fillId="0" borderId="0" xfId="0" applyNumberFormat="1" applyFont="1"/>
    <xf numFmtId="170" fontId="13" fillId="10" borderId="0" xfId="0" applyNumberFormat="1" applyFont="1" applyFill="1" applyProtection="1">
      <protection locked="0"/>
    </xf>
    <xf numFmtId="169" fontId="11" fillId="0" borderId="0" xfId="0" applyNumberFormat="1" applyFont="1" applyAlignment="1" applyProtection="1">
      <alignment horizontal="center"/>
      <protection hidden="1"/>
    </xf>
    <xf numFmtId="169" fontId="13" fillId="10" borderId="0" xfId="0" applyNumberFormat="1" applyFont="1" applyFill="1" applyProtection="1">
      <protection locked="0"/>
    </xf>
    <xf numFmtId="9" fontId="13" fillId="10" borderId="0" xfId="0" applyNumberFormat="1" applyFont="1" applyFill="1" applyProtection="1">
      <protection locked="0"/>
    </xf>
    <xf numFmtId="170" fontId="13" fillId="10" borderId="0" xfId="0" applyNumberFormat="1" applyFont="1" applyFill="1" applyAlignment="1" applyProtection="1">
      <alignment horizontal="right"/>
      <protection locked="0"/>
    </xf>
    <xf numFmtId="169" fontId="0" fillId="0" borderId="0" xfId="0" applyNumberFormat="1" applyProtection="1">
      <protection hidden="1"/>
    </xf>
    <xf numFmtId="15" fontId="13" fillId="10" borderId="0" xfId="0" applyNumberFormat="1" applyFont="1" applyFill="1" applyProtection="1">
      <protection locked="0"/>
    </xf>
    <xf numFmtId="15" fontId="25" fillId="0" borderId="0" xfId="0" applyNumberFormat="1" applyFont="1" applyProtection="1">
      <protection hidden="1"/>
    </xf>
    <xf numFmtId="9" fontId="11" fillId="0" borderId="0" xfId="0" applyNumberFormat="1" applyFont="1" applyProtection="1">
      <protection hidden="1"/>
    </xf>
    <xf numFmtId="15" fontId="11" fillId="0" borderId="0" xfId="0" applyNumberFormat="1" applyFont="1" applyProtection="1">
      <protection hidden="1"/>
    </xf>
    <xf numFmtId="15" fontId="25" fillId="0" borderId="0" xfId="0" applyNumberFormat="1" applyFont="1"/>
    <xf numFmtId="0" fontId="0" fillId="0" borderId="7" xfId="0" applyBorder="1"/>
    <xf numFmtId="168" fontId="13" fillId="10" borderId="7" xfId="0" applyNumberFormat="1" applyFont="1" applyFill="1" applyBorder="1" applyProtection="1">
      <protection locked="0"/>
    </xf>
    <xf numFmtId="0" fontId="25" fillId="0" borderId="0" xfId="0" applyFont="1"/>
    <xf numFmtId="15" fontId="0" fillId="0" borderId="0" xfId="0" applyNumberFormat="1" applyProtection="1">
      <protection hidden="1"/>
    </xf>
    <xf numFmtId="166" fontId="13" fillId="10" borderId="0" xfId="0" applyNumberFormat="1" applyFont="1" applyFill="1" applyProtection="1">
      <protection locked="0"/>
    </xf>
    <xf numFmtId="170" fontId="13" fillId="10" borderId="6" xfId="0" applyNumberFormat="1" applyFont="1" applyFill="1" applyBorder="1" applyAlignment="1" applyProtection="1">
      <alignment horizontal="right"/>
      <protection locked="0"/>
    </xf>
    <xf numFmtId="166" fontId="13" fillId="10" borderId="6" xfId="0" applyNumberFormat="1" applyFont="1" applyFill="1" applyBorder="1" applyProtection="1">
      <protection locked="0"/>
    </xf>
    <xf numFmtId="168" fontId="13" fillId="10" borderId="6" xfId="0" applyNumberFormat="1" applyFont="1" applyFill="1" applyBorder="1" applyProtection="1">
      <protection locked="0"/>
    </xf>
    <xf numFmtId="0" fontId="4" fillId="0" borderId="1" xfId="0" applyFont="1" applyBorder="1"/>
    <xf numFmtId="0" fontId="0" fillId="0" borderId="1" xfId="0" applyBorder="1"/>
    <xf numFmtId="0" fontId="0" fillId="0" borderId="0" xfId="0" applyAlignment="1">
      <alignment horizontal="left"/>
    </xf>
    <xf numFmtId="171" fontId="0" fillId="0" borderId="0" xfId="0" applyNumberFormat="1"/>
    <xf numFmtId="10" fontId="0" fillId="0" borderId="0" xfId="0" applyNumberFormat="1" applyProtection="1">
      <protection hidden="1"/>
    </xf>
    <xf numFmtId="0" fontId="2" fillId="5" borderId="0" xfId="0" applyFont="1" applyFill="1" applyAlignment="1">
      <alignment horizontal="left"/>
    </xf>
    <xf numFmtId="1" fontId="12" fillId="3" borderId="0" xfId="0" applyNumberFormat="1" applyFont="1" applyFill="1" applyAlignment="1" applyProtection="1">
      <alignment horizontal="center"/>
      <protection hidden="1"/>
    </xf>
    <xf numFmtId="171" fontId="0" fillId="0" borderId="0" xfId="0" applyNumberFormat="1" applyProtection="1">
      <protection hidden="1"/>
    </xf>
    <xf numFmtId="0" fontId="14" fillId="0" borderId="7" xfId="0" applyFont="1" applyBorder="1" applyAlignment="1">
      <alignment horizontal="left" indent="1"/>
    </xf>
    <xf numFmtId="9" fontId="0" fillId="0" borderId="7" xfId="3" applyFont="1" applyBorder="1" applyProtection="1">
      <protection hidden="1"/>
    </xf>
    <xf numFmtId="0" fontId="0" fillId="0" borderId="0" xfId="0" applyAlignment="1">
      <alignment horizontal="left" indent="1"/>
    </xf>
    <xf numFmtId="171" fontId="26" fillId="0" borderId="0" xfId="0" applyNumberFormat="1" applyFont="1" applyProtection="1">
      <protection hidden="1"/>
    </xf>
    <xf numFmtId="2" fontId="0" fillId="0" borderId="7" xfId="0" applyNumberFormat="1" applyBorder="1" applyProtection="1">
      <protection hidden="1"/>
    </xf>
    <xf numFmtId="2" fontId="0" fillId="0" borderId="6" xfId="0" applyNumberFormat="1" applyBorder="1" applyProtection="1">
      <protection hidden="1"/>
    </xf>
    <xf numFmtId="171" fontId="0" fillId="0" borderId="7" xfId="0" applyNumberFormat="1" applyBorder="1" applyProtection="1">
      <protection hidden="1"/>
    </xf>
    <xf numFmtId="171" fontId="0" fillId="0" borderId="6" xfId="0" applyNumberFormat="1" applyBorder="1" applyProtection="1">
      <protection hidden="1"/>
    </xf>
    <xf numFmtId="0" fontId="4" fillId="0" borderId="8" xfId="0" applyFont="1" applyBorder="1" applyAlignment="1">
      <alignment horizontal="left"/>
    </xf>
    <xf numFmtId="0" fontId="4" fillId="0" borderId="8" xfId="0" applyFont="1" applyBorder="1"/>
    <xf numFmtId="171" fontId="4" fillId="0" borderId="8" xfId="0" applyNumberFormat="1" applyFont="1" applyBorder="1" applyProtection="1">
      <protection hidden="1"/>
    </xf>
    <xf numFmtId="171" fontId="4" fillId="0" borderId="4" xfId="0" applyNumberFormat="1" applyFont="1" applyBorder="1" applyProtection="1">
      <protection hidden="1"/>
    </xf>
    <xf numFmtId="0" fontId="27" fillId="0" borderId="0" xfId="0" applyFont="1" applyAlignment="1">
      <alignment horizontal="left"/>
    </xf>
    <xf numFmtId="0" fontId="28" fillId="0" borderId="0" xfId="0" applyFont="1"/>
    <xf numFmtId="171" fontId="4" fillId="0" borderId="1" xfId="0" applyNumberFormat="1" applyFont="1" applyBorder="1" applyProtection="1">
      <protection hidden="1"/>
    </xf>
    <xf numFmtId="0" fontId="28" fillId="0" borderId="0" xfId="0" applyFont="1" applyAlignment="1">
      <alignment horizontal="left" indent="1"/>
    </xf>
    <xf numFmtId="171" fontId="28" fillId="0" borderId="0" xfId="0" applyNumberFormat="1" applyFont="1"/>
    <xf numFmtId="172" fontId="28" fillId="0" borderId="0" xfId="0" applyNumberFormat="1" applyFont="1"/>
    <xf numFmtId="0" fontId="4" fillId="0" borderId="9" xfId="0" applyFont="1" applyBorder="1"/>
    <xf numFmtId="171" fontId="4" fillId="0" borderId="9" xfId="0" applyNumberFormat="1" applyFont="1" applyBorder="1" applyProtection="1">
      <protection hidden="1"/>
    </xf>
    <xf numFmtId="0" fontId="27" fillId="0" borderId="0" xfId="0" applyFont="1" applyAlignment="1" applyProtection="1">
      <alignment horizontal="center"/>
      <protection hidden="1"/>
    </xf>
    <xf numFmtId="0" fontId="2" fillId="5" borderId="0" xfId="0" applyFont="1" applyFill="1" applyAlignment="1" applyProtection="1">
      <alignment horizontal="center"/>
      <protection hidden="1"/>
    </xf>
    <xf numFmtId="173" fontId="12" fillId="3" borderId="0" xfId="0" applyNumberFormat="1" applyFont="1" applyFill="1" applyAlignment="1" applyProtection="1">
      <alignment horizontal="center"/>
      <protection hidden="1"/>
    </xf>
    <xf numFmtId="0" fontId="27" fillId="0" borderId="0" xfId="0" applyFont="1" applyProtection="1">
      <protection hidden="1"/>
    </xf>
    <xf numFmtId="10" fontId="29" fillId="0" borderId="0" xfId="0" applyNumberFormat="1" applyFont="1" applyProtection="1">
      <protection hidden="1"/>
    </xf>
    <xf numFmtId="174" fontId="30" fillId="0" borderId="0" xfId="1" applyNumberFormat="1" applyFont="1" applyProtection="1">
      <protection hidden="1"/>
    </xf>
    <xf numFmtId="174" fontId="15" fillId="0" borderId="0" xfId="1" applyNumberFormat="1" applyFont="1" applyProtection="1">
      <protection hidden="1"/>
    </xf>
    <xf numFmtId="175" fontId="8" fillId="0" borderId="0" xfId="0" applyNumberFormat="1" applyFont="1" applyProtection="1">
      <protection hidden="1"/>
    </xf>
    <xf numFmtId="0" fontId="29" fillId="0" borderId="0" xfId="0" applyFont="1" applyProtection="1">
      <protection hidden="1"/>
    </xf>
    <xf numFmtId="175" fontId="29" fillId="0" borderId="0" xfId="0" applyNumberFormat="1" applyFont="1" applyProtection="1">
      <protection hidden="1"/>
    </xf>
    <xf numFmtId="0" fontId="6" fillId="0" borderId="0" xfId="0" applyFont="1" applyProtection="1">
      <protection hidden="1"/>
    </xf>
    <xf numFmtId="3" fontId="0" fillId="0" borderId="0" xfId="0" applyNumberFormat="1" applyProtection="1">
      <protection hidden="1"/>
    </xf>
    <xf numFmtId="0" fontId="0" fillId="0" borderId="0" xfId="0" applyAlignment="1" applyProtection="1">
      <alignment horizontal="left" indent="1"/>
      <protection hidden="1"/>
    </xf>
    <xf numFmtId="171" fontId="29" fillId="0" borderId="0" xfId="0" applyNumberFormat="1" applyFont="1" applyProtection="1">
      <protection hidden="1"/>
    </xf>
    <xf numFmtId="173" fontId="29" fillId="0" borderId="0" xfId="0" applyNumberFormat="1" applyFont="1" applyProtection="1">
      <protection hidden="1"/>
    </xf>
    <xf numFmtId="175" fontId="30" fillId="0" borderId="0" xfId="0" applyNumberFormat="1" applyFont="1" applyProtection="1">
      <protection hidden="1"/>
    </xf>
    <xf numFmtId="0" fontId="14" fillId="0" borderId="0" xfId="0" applyFont="1" applyAlignment="1" applyProtection="1">
      <alignment horizontal="center"/>
      <protection hidden="1"/>
    </xf>
    <xf numFmtId="0" fontId="4" fillId="0" borderId="4" xfId="0" applyFont="1" applyBorder="1" applyProtection="1">
      <protection hidden="1"/>
    </xf>
    <xf numFmtId="10" fontId="31" fillId="0" borderId="4" xfId="0" applyNumberFormat="1" applyFont="1" applyBorder="1" applyProtection="1">
      <protection hidden="1"/>
    </xf>
    <xf numFmtId="0" fontId="4" fillId="0" borderId="1" xfId="0" applyFont="1" applyBorder="1" applyProtection="1">
      <protection hidden="1"/>
    </xf>
    <xf numFmtId="10" fontId="31" fillId="0" borderId="1" xfId="0" applyNumberFormat="1" applyFont="1" applyBorder="1" applyProtection="1">
      <protection hidden="1"/>
    </xf>
    <xf numFmtId="0" fontId="4" fillId="0" borderId="9" xfId="0" applyFont="1" applyBorder="1" applyProtection="1">
      <protection hidden="1"/>
    </xf>
    <xf numFmtId="0" fontId="13" fillId="10" borderId="6" xfId="0" applyFont="1" applyFill="1" applyBorder="1" applyProtection="1">
      <protection locked="0"/>
    </xf>
    <xf numFmtId="0" fontId="0" fillId="0" borderId="10" xfId="0" applyBorder="1"/>
    <xf numFmtId="0" fontId="13" fillId="10" borderId="10" xfId="0" applyFont="1" applyFill="1" applyBorder="1" applyProtection="1">
      <protection locked="0"/>
    </xf>
    <xf numFmtId="0" fontId="0" fillId="0" borderId="10" xfId="0" applyBorder="1" applyProtection="1">
      <protection hidden="1"/>
    </xf>
    <xf numFmtId="176" fontId="13" fillId="10" borderId="6" xfId="0" applyNumberFormat="1" applyFont="1" applyFill="1" applyBorder="1" applyProtection="1">
      <protection locked="0"/>
    </xf>
    <xf numFmtId="176" fontId="13" fillId="10" borderId="10" xfId="0" applyNumberFormat="1" applyFont="1" applyFill="1" applyBorder="1" applyProtection="1">
      <protection locked="0"/>
    </xf>
    <xf numFmtId="177" fontId="13" fillId="10" borderId="10" xfId="0" applyNumberFormat="1" applyFont="1" applyFill="1" applyBorder="1" applyProtection="1">
      <protection locked="0"/>
    </xf>
    <xf numFmtId="44" fontId="11" fillId="0" borderId="10" xfId="2" applyFont="1" applyBorder="1" applyProtection="1">
      <protection hidden="1"/>
    </xf>
    <xf numFmtId="44" fontId="13" fillId="10" borderId="10" xfId="2" applyFont="1" applyFill="1" applyBorder="1" applyProtection="1">
      <protection locked="0"/>
    </xf>
    <xf numFmtId="166" fontId="13" fillId="10" borderId="10" xfId="3" applyNumberFormat="1" applyFont="1" applyFill="1" applyBorder="1" applyProtection="1">
      <protection locked="0"/>
    </xf>
    <xf numFmtId="166" fontId="13" fillId="10" borderId="7" xfId="3" applyNumberFormat="1" applyFont="1" applyFill="1" applyBorder="1" applyProtection="1">
      <protection locked="0"/>
    </xf>
    <xf numFmtId="0" fontId="0" fillId="0" borderId="11" xfId="0" applyBorder="1"/>
    <xf numFmtId="44" fontId="11" fillId="0" borderId="11" xfId="2" applyFont="1" applyBorder="1" applyProtection="1">
      <protection hidden="1"/>
    </xf>
    <xf numFmtId="44" fontId="0" fillId="0" borderId="6" xfId="0" applyNumberFormat="1" applyBorder="1" applyProtection="1">
      <protection hidden="1"/>
    </xf>
    <xf numFmtId="0" fontId="32" fillId="0" borderId="10" xfId="0" applyFont="1" applyBorder="1"/>
    <xf numFmtId="177" fontId="32" fillId="0" borderId="10" xfId="0" applyNumberFormat="1" applyFont="1" applyBorder="1" applyProtection="1">
      <protection hidden="1"/>
    </xf>
    <xf numFmtId="178" fontId="13" fillId="10" borderId="0" xfId="1" applyNumberFormat="1" applyFont="1" applyFill="1" applyProtection="1">
      <protection locked="0"/>
    </xf>
    <xf numFmtId="0" fontId="4" fillId="0" borderId="12" xfId="0" applyFont="1" applyBorder="1"/>
    <xf numFmtId="0" fontId="6" fillId="0" borderId="13" xfId="0" applyFont="1" applyBorder="1"/>
    <xf numFmtId="44" fontId="6" fillId="0" borderId="14" xfId="2" applyFont="1" applyBorder="1" applyProtection="1">
      <protection hidden="1"/>
    </xf>
    <xf numFmtId="10" fontId="13" fillId="10" borderId="6" xfId="0" applyNumberFormat="1" applyFont="1" applyFill="1" applyBorder="1" applyProtection="1">
      <protection locked="0"/>
    </xf>
    <xf numFmtId="44" fontId="13" fillId="10" borderId="6" xfId="2" applyFont="1" applyFill="1" applyBorder="1" applyProtection="1">
      <protection locked="0"/>
    </xf>
    <xf numFmtId="10" fontId="13" fillId="10" borderId="10" xfId="0" applyNumberFormat="1" applyFont="1" applyFill="1" applyBorder="1" applyProtection="1">
      <protection locked="0"/>
    </xf>
    <xf numFmtId="0" fontId="0" fillId="0" borderId="15" xfId="0" applyBorder="1"/>
    <xf numFmtId="10" fontId="13" fillId="10" borderId="15" xfId="0" applyNumberFormat="1" applyFont="1" applyFill="1" applyBorder="1" applyProtection="1">
      <protection locked="0"/>
    </xf>
    <xf numFmtId="44" fontId="0" fillId="0" borderId="4" xfId="0" applyNumberFormat="1" applyBorder="1" applyProtection="1">
      <protection hidden="1"/>
    </xf>
    <xf numFmtId="0" fontId="4" fillId="0" borderId="13" xfId="0" applyFont="1" applyBorder="1"/>
    <xf numFmtId="44" fontId="4" fillId="0" borderId="14" xfId="0" applyNumberFormat="1" applyFont="1" applyBorder="1" applyProtection="1">
      <protection hidden="1"/>
    </xf>
    <xf numFmtId="0" fontId="4" fillId="0" borderId="6" xfId="0" applyFont="1" applyBorder="1"/>
    <xf numFmtId="9" fontId="0" fillId="0" borderId="0" xfId="0" applyNumberFormat="1"/>
    <xf numFmtId="0" fontId="20" fillId="2" borderId="0" xfId="0" applyFont="1" applyFill="1" applyAlignment="1" applyProtection="1">
      <alignment horizontal="left"/>
      <protection hidden="1"/>
    </xf>
    <xf numFmtId="0" fontId="0" fillId="2" borderId="0" xfId="0" applyFill="1" applyProtection="1">
      <protection hidden="1"/>
    </xf>
    <xf numFmtId="0" fontId="3" fillId="2" borderId="0" xfId="0" applyFont="1" applyFill="1" applyAlignment="1" applyProtection="1">
      <alignment horizontal="right"/>
      <protection hidden="1"/>
    </xf>
    <xf numFmtId="0" fontId="2" fillId="2" borderId="0" xfId="0" applyFont="1" applyFill="1" applyAlignment="1" applyProtection="1">
      <alignment horizontal="right"/>
      <protection hidden="1"/>
    </xf>
    <xf numFmtId="0" fontId="2" fillId="17" borderId="0" xfId="0" applyFont="1" applyFill="1" applyAlignment="1" applyProtection="1">
      <alignment horizontal="left"/>
      <protection hidden="1"/>
    </xf>
    <xf numFmtId="0" fontId="5" fillId="17" borderId="0" xfId="0" applyFont="1" applyFill="1" applyProtection="1">
      <protection hidden="1"/>
    </xf>
    <xf numFmtId="0" fontId="4" fillId="0" borderId="0" xfId="0" applyFont="1" applyProtection="1">
      <protection hidden="1"/>
    </xf>
    <xf numFmtId="0" fontId="5" fillId="2" borderId="0" xfId="0" applyFont="1" applyFill="1"/>
    <xf numFmtId="0" fontId="2" fillId="18" borderId="0" xfId="0" applyFont="1" applyFill="1"/>
    <xf numFmtId="0" fontId="2" fillId="17" borderId="0" xfId="0" applyFont="1" applyFill="1"/>
    <xf numFmtId="0" fontId="2" fillId="17" borderId="0" xfId="0" applyFont="1" applyFill="1" applyAlignment="1">
      <alignment horizontal="center"/>
    </xf>
    <xf numFmtId="173" fontId="0" fillId="0" borderId="0" xfId="0" applyNumberFormat="1"/>
    <xf numFmtId="0" fontId="2" fillId="19" borderId="0" xfId="0" applyFont="1" applyFill="1"/>
    <xf numFmtId="44" fontId="0" fillId="0" borderId="10" xfId="2" applyFont="1" applyBorder="1"/>
    <xf numFmtId="9" fontId="13" fillId="10" borderId="10" xfId="0" applyNumberFormat="1" applyFont="1" applyFill="1" applyBorder="1" applyProtection="1">
      <protection locked="0"/>
    </xf>
    <xf numFmtId="9" fontId="13" fillId="10" borderId="10" xfId="0" applyNumberFormat="1" applyFont="1" applyFill="1" applyBorder="1" applyAlignment="1" applyProtection="1">
      <alignment horizontal="center"/>
      <protection locked="0"/>
    </xf>
    <xf numFmtId="182" fontId="13" fillId="10" borderId="10" xfId="0" applyNumberFormat="1" applyFont="1" applyFill="1" applyBorder="1" applyProtection="1">
      <protection locked="0"/>
    </xf>
    <xf numFmtId="44" fontId="0" fillId="0" borderId="0" xfId="2" applyFont="1"/>
    <xf numFmtId="0" fontId="2" fillId="19" borderId="0" xfId="0" applyFont="1" applyFill="1" applyAlignment="1">
      <alignment horizontal="left"/>
    </xf>
    <xf numFmtId="0" fontId="2" fillId="19" borderId="4" xfId="0" applyFont="1" applyFill="1" applyBorder="1"/>
    <xf numFmtId="0" fontId="5" fillId="19" borderId="9" xfId="0" applyFont="1" applyFill="1" applyBorder="1"/>
    <xf numFmtId="171" fontId="0" fillId="0" borderId="9" xfId="0" applyNumberFormat="1" applyBorder="1" applyProtection="1">
      <protection hidden="1"/>
    </xf>
    <xf numFmtId="183" fontId="13" fillId="10" borderId="10" xfId="0" applyNumberFormat="1" applyFont="1" applyFill="1" applyBorder="1" applyProtection="1">
      <protection locked="0"/>
    </xf>
    <xf numFmtId="176" fontId="0" fillId="0" borderId="10" xfId="0" applyNumberFormat="1" applyBorder="1"/>
    <xf numFmtId="0" fontId="4" fillId="0" borderId="26" xfId="0" applyFont="1" applyBorder="1"/>
    <xf numFmtId="184" fontId="4" fillId="0" borderId="27" xfId="3" applyNumberFormat="1" applyFont="1" applyBorder="1"/>
    <xf numFmtId="175" fontId="0" fillId="0" borderId="10" xfId="0" applyNumberFormat="1" applyBorder="1"/>
    <xf numFmtId="175" fontId="13" fillId="10" borderId="10" xfId="0" applyNumberFormat="1" applyFont="1" applyFill="1" applyBorder="1" applyProtection="1">
      <protection locked="0"/>
    </xf>
    <xf numFmtId="0" fontId="4" fillId="0" borderId="28" xfId="0" applyFont="1" applyBorder="1"/>
    <xf numFmtId="166" fontId="4" fillId="0" borderId="29" xfId="3" applyNumberFormat="1" applyFont="1" applyBorder="1"/>
    <xf numFmtId="4" fontId="0" fillId="0" borderId="10" xfId="0" applyNumberFormat="1" applyBorder="1"/>
    <xf numFmtId="185" fontId="4" fillId="0" borderId="29" xfId="2" applyNumberFormat="1" applyFont="1" applyBorder="1"/>
    <xf numFmtId="183" fontId="0" fillId="0" borderId="10" xfId="0" applyNumberFormat="1" applyBorder="1"/>
    <xf numFmtId="176" fontId="11" fillId="0" borderId="10" xfId="0" applyNumberFormat="1" applyFont="1" applyBorder="1"/>
    <xf numFmtId="0" fontId="4" fillId="0" borderId="30" xfId="0" applyFont="1" applyBorder="1"/>
    <xf numFmtId="185" fontId="4" fillId="0" borderId="31" xfId="2" applyNumberFormat="1" applyFont="1" applyBorder="1"/>
    <xf numFmtId="0" fontId="4" fillId="0" borderId="15" xfId="0" applyFont="1" applyBorder="1"/>
    <xf numFmtId="185" fontId="4" fillId="0" borderId="15" xfId="0" applyNumberFormat="1" applyFont="1" applyBorder="1"/>
    <xf numFmtId="0" fontId="5" fillId="18" borderId="0" xfId="0" applyFont="1" applyFill="1"/>
    <xf numFmtId="166" fontId="13" fillId="10" borderId="6" xfId="2" applyNumberFormat="1" applyFont="1" applyFill="1" applyBorder="1" applyProtection="1">
      <protection locked="0"/>
    </xf>
    <xf numFmtId="185" fontId="0" fillId="0" borderId="10" xfId="0" applyNumberFormat="1" applyBorder="1"/>
    <xf numFmtId="0" fontId="5" fillId="5" borderId="0" xfId="0" applyFont="1" applyFill="1"/>
    <xf numFmtId="0" fontId="4" fillId="0" borderId="1" xfId="0" applyFont="1" applyBorder="1" applyAlignment="1">
      <alignment horizontal="center"/>
    </xf>
    <xf numFmtId="0" fontId="6" fillId="0" borderId="6" xfId="0" applyFont="1" applyBorder="1"/>
    <xf numFmtId="173" fontId="13" fillId="10" borderId="6" xfId="0" applyNumberFormat="1" applyFont="1" applyFill="1" applyBorder="1" applyAlignment="1" applyProtection="1">
      <alignment horizontal="center"/>
      <protection locked="0"/>
    </xf>
    <xf numFmtId="186" fontId="0" fillId="0" borderId="6" xfId="1" applyNumberFormat="1" applyFont="1" applyBorder="1" applyAlignment="1">
      <alignment horizontal="center"/>
    </xf>
    <xf numFmtId="0" fontId="0" fillId="0" borderId="6" xfId="0" applyBorder="1" applyAlignment="1">
      <alignment horizontal="center"/>
    </xf>
    <xf numFmtId="0" fontId="6" fillId="0" borderId="10" xfId="0" applyFont="1" applyBorder="1"/>
    <xf numFmtId="186" fontId="13" fillId="10" borderId="10" xfId="0" applyNumberFormat="1" applyFont="1" applyFill="1" applyBorder="1" applyAlignment="1" applyProtection="1">
      <alignment horizontal="center"/>
      <protection locked="0"/>
    </xf>
    <xf numFmtId="0" fontId="0" fillId="0" borderId="10" xfId="0" applyBorder="1" applyAlignment="1">
      <alignment horizontal="center"/>
    </xf>
    <xf numFmtId="166" fontId="13" fillId="10" borderId="10" xfId="0" applyNumberFormat="1" applyFont="1" applyFill="1" applyBorder="1" applyAlignment="1" applyProtection="1">
      <alignment horizontal="center"/>
      <protection locked="0"/>
    </xf>
    <xf numFmtId="186" fontId="0" fillId="0" borderId="10" xfId="1" applyNumberFormat="1" applyFont="1" applyBorder="1" applyAlignment="1">
      <alignment horizontal="center"/>
    </xf>
    <xf numFmtId="166" fontId="0" fillId="0" borderId="10" xfId="0" applyNumberFormat="1" applyBorder="1" applyAlignment="1">
      <alignment horizontal="center"/>
    </xf>
    <xf numFmtId="0" fontId="25" fillId="0" borderId="0" xfId="0" applyFont="1" applyAlignment="1">
      <alignment horizontal="center"/>
    </xf>
    <xf numFmtId="0" fontId="2" fillId="16" borderId="0" xfId="0" applyFont="1" applyFill="1"/>
    <xf numFmtId="173" fontId="2" fillId="5" borderId="0" xfId="0" applyNumberFormat="1" applyFont="1" applyFill="1"/>
    <xf numFmtId="171" fontId="0" fillId="9" borderId="0" xfId="0" applyNumberFormat="1" applyFill="1" applyProtection="1">
      <protection hidden="1"/>
    </xf>
    <xf numFmtId="0" fontId="34" fillId="19" borderId="0" xfId="0" applyFont="1" applyFill="1" applyAlignment="1">
      <alignment horizontal="left" indent="1"/>
    </xf>
    <xf numFmtId="171" fontId="27" fillId="9" borderId="0" xfId="0" applyNumberFormat="1" applyFont="1" applyFill="1" applyProtection="1">
      <protection hidden="1"/>
    </xf>
    <xf numFmtId="171" fontId="27" fillId="0" borderId="0" xfId="0" applyNumberFormat="1" applyFont="1" applyProtection="1">
      <protection hidden="1"/>
    </xf>
    <xf numFmtId="171" fontId="0" fillId="9" borderId="4" xfId="0" applyNumberFormat="1" applyFill="1" applyBorder="1" applyProtection="1">
      <protection hidden="1"/>
    </xf>
    <xf numFmtId="171" fontId="0" fillId="9" borderId="9" xfId="0" applyNumberFormat="1" applyFill="1" applyBorder="1" applyProtection="1">
      <protection hidden="1"/>
    </xf>
    <xf numFmtId="0" fontId="20" fillId="15" borderId="0" xfId="0" applyFont="1" applyFill="1" applyAlignment="1" applyProtection="1">
      <alignment horizontal="left"/>
      <protection hidden="1"/>
    </xf>
    <xf numFmtId="0" fontId="0" fillId="15" borderId="0" xfId="0" applyFill="1" applyProtection="1">
      <protection hidden="1"/>
    </xf>
    <xf numFmtId="187" fontId="0" fillId="0" borderId="0" xfId="0" applyNumberFormat="1" applyProtection="1">
      <protection hidden="1"/>
    </xf>
    <xf numFmtId="0" fontId="4" fillId="0" borderId="1" xfId="0" applyFont="1" applyBorder="1" applyAlignment="1" applyProtection="1">
      <alignment horizontal="center"/>
      <protection hidden="1"/>
    </xf>
    <xf numFmtId="0" fontId="36" fillId="0" borderId="1" xfId="0" applyFont="1" applyBorder="1" applyAlignment="1" applyProtection="1">
      <alignment horizontal="center"/>
      <protection hidden="1"/>
    </xf>
    <xf numFmtId="0" fontId="0" fillId="0" borderId="0" xfId="0" applyAlignment="1" applyProtection="1">
      <alignment horizontal="center"/>
      <protection hidden="1"/>
    </xf>
    <xf numFmtId="187" fontId="13" fillId="10" borderId="0" xfId="11" applyNumberFormat="1" applyFont="1" applyFill="1" applyProtection="1">
      <protection locked="0"/>
    </xf>
    <xf numFmtId="0" fontId="37" fillId="0" borderId="0" xfId="0" applyFont="1" applyProtection="1">
      <protection hidden="1"/>
    </xf>
    <xf numFmtId="166" fontId="13" fillId="10" borderId="0" xfId="3" applyNumberFormat="1" applyFont="1" applyFill="1" applyAlignment="1" applyProtection="1">
      <alignment horizontal="center"/>
      <protection locked="0"/>
    </xf>
    <xf numFmtId="0" fontId="38" fillId="0" borderId="8" xfId="0" applyFont="1" applyBorder="1" applyAlignment="1" applyProtection="1">
      <alignment horizontal="left" indent="1"/>
      <protection hidden="1"/>
    </xf>
    <xf numFmtId="0" fontId="38" fillId="0" borderId="8" xfId="0" applyFont="1" applyBorder="1" applyProtection="1">
      <protection hidden="1"/>
    </xf>
    <xf numFmtId="187" fontId="38" fillId="0" borderId="8" xfId="0" applyNumberFormat="1" applyFont="1" applyBorder="1" applyProtection="1">
      <protection hidden="1"/>
    </xf>
    <xf numFmtId="166" fontId="13" fillId="0" borderId="0" xfId="3" applyNumberFormat="1" applyFont="1" applyFill="1" applyAlignment="1" applyProtection="1">
      <alignment horizontal="center"/>
      <protection hidden="1"/>
    </xf>
    <xf numFmtId="176" fontId="13" fillId="10" borderId="0" xfId="11" applyNumberFormat="1" applyFont="1" applyFill="1" applyProtection="1">
      <protection locked="0"/>
    </xf>
    <xf numFmtId="166" fontId="13" fillId="10" borderId="0" xfId="3" applyNumberFormat="1" applyFont="1" applyFill="1" applyAlignment="1" applyProtection="1">
      <alignment horizontal="right"/>
      <protection locked="0"/>
    </xf>
    <xf numFmtId="0" fontId="38" fillId="0" borderId="8" xfId="0" applyFont="1" applyBorder="1" applyAlignment="1" applyProtection="1">
      <alignment horizontal="left"/>
      <protection hidden="1"/>
    </xf>
    <xf numFmtId="166" fontId="11" fillId="0" borderId="0" xfId="3" applyNumberFormat="1" applyFont="1" applyFill="1" applyAlignment="1" applyProtection="1">
      <alignment horizontal="center"/>
      <protection hidden="1"/>
    </xf>
    <xf numFmtId="10" fontId="11" fillId="0" borderId="0" xfId="3" applyNumberFormat="1" applyFont="1" applyFill="1" applyAlignment="1" applyProtection="1">
      <alignment horizontal="center"/>
      <protection hidden="1"/>
    </xf>
    <xf numFmtId="0" fontId="39" fillId="0" borderId="0" xfId="0" applyFont="1" applyAlignment="1" applyProtection="1">
      <alignment horizontal="center"/>
      <protection hidden="1"/>
    </xf>
    <xf numFmtId="15" fontId="13" fillId="10" borderId="0" xfId="3" applyNumberFormat="1" applyFont="1" applyFill="1" applyAlignment="1" applyProtection="1">
      <alignment horizontal="center"/>
      <protection locked="0"/>
    </xf>
    <xf numFmtId="188" fontId="13" fillId="10" borderId="0" xfId="3" applyNumberFormat="1" applyFont="1" applyFill="1" applyAlignment="1" applyProtection="1">
      <alignment horizontal="center"/>
      <protection locked="0"/>
    </xf>
    <xf numFmtId="0" fontId="14" fillId="0" borderId="0" xfId="0" applyFont="1" applyAlignment="1" applyProtection="1">
      <alignment horizontal="left" indent="1"/>
      <protection hidden="1"/>
    </xf>
    <xf numFmtId="0" fontId="11" fillId="0" borderId="0" xfId="0" applyFont="1" applyProtection="1">
      <protection hidden="1"/>
    </xf>
    <xf numFmtId="187" fontId="11" fillId="0" borderId="0" xfId="0" applyNumberFormat="1" applyFont="1" applyProtection="1">
      <protection hidden="1"/>
    </xf>
    <xf numFmtId="0" fontId="11" fillId="0" borderId="0" xfId="0" applyFont="1" applyAlignment="1" applyProtection="1">
      <alignment horizontal="left" indent="1"/>
      <protection hidden="1"/>
    </xf>
    <xf numFmtId="0" fontId="11" fillId="0" borderId="0" xfId="0" applyFont="1" applyAlignment="1" applyProtection="1">
      <alignment horizontal="left"/>
      <protection hidden="1"/>
    </xf>
    <xf numFmtId="0" fontId="12" fillId="0" borderId="8" xfId="0" applyFont="1" applyBorder="1" applyProtection="1">
      <protection hidden="1"/>
    </xf>
    <xf numFmtId="187" fontId="12" fillId="0" borderId="8" xfId="3" applyNumberFormat="1" applyFont="1" applyFill="1" applyBorder="1" applyProtection="1">
      <protection hidden="1"/>
    </xf>
    <xf numFmtId="0" fontId="38" fillId="0" borderId="0" xfId="0" applyFont="1" applyProtection="1">
      <protection hidden="1"/>
    </xf>
    <xf numFmtId="166" fontId="38" fillId="0" borderId="0" xfId="3" applyNumberFormat="1" applyFont="1" applyFill="1" applyAlignment="1" applyProtection="1">
      <alignment horizontal="right" indent="1"/>
      <protection hidden="1"/>
    </xf>
    <xf numFmtId="4" fontId="38" fillId="0" borderId="0" xfId="3" applyNumberFormat="1" applyFont="1" applyAlignment="1" applyProtection="1">
      <alignment horizontal="right" indent="1"/>
      <protection hidden="1"/>
    </xf>
    <xf numFmtId="166" fontId="0" fillId="0" borderId="0" xfId="3" applyNumberFormat="1" applyFont="1" applyProtection="1">
      <protection hidden="1"/>
    </xf>
    <xf numFmtId="0" fontId="0" fillId="5" borderId="0" xfId="0" applyFill="1" applyProtection="1">
      <protection hidden="1"/>
    </xf>
    <xf numFmtId="0" fontId="15" fillId="0" borderId="0" xfId="0" applyFont="1" applyAlignment="1" applyProtection="1">
      <alignment horizontal="center"/>
      <protection hidden="1"/>
    </xf>
    <xf numFmtId="0" fontId="40" fillId="0" borderId="0" xfId="0" applyFont="1" applyAlignment="1" applyProtection="1">
      <alignment horizontal="center"/>
      <protection hidden="1"/>
    </xf>
    <xf numFmtId="17" fontId="2" fillId="20" borderId="0" xfId="0" applyNumberFormat="1" applyFont="1" applyFill="1" applyAlignment="1" applyProtection="1">
      <alignment horizontal="center"/>
      <protection hidden="1"/>
    </xf>
    <xf numFmtId="17" fontId="2" fillId="21" borderId="0" xfId="0" applyNumberFormat="1" applyFont="1" applyFill="1" applyAlignment="1" applyProtection="1">
      <alignment horizontal="center"/>
      <protection hidden="1"/>
    </xf>
    <xf numFmtId="0" fontId="4" fillId="0" borderId="6" xfId="0" applyFont="1" applyBorder="1" applyProtection="1">
      <protection hidden="1"/>
    </xf>
    <xf numFmtId="189" fontId="41" fillId="0" borderId="6" xfId="0" applyNumberFormat="1" applyFont="1" applyBorder="1" applyAlignment="1" applyProtection="1">
      <alignment horizontal="center"/>
      <protection hidden="1"/>
    </xf>
    <xf numFmtId="17" fontId="26" fillId="0" borderId="6" xfId="0" applyNumberFormat="1" applyFont="1" applyBorder="1" applyAlignment="1" applyProtection="1">
      <alignment horizontal="center"/>
      <protection hidden="1"/>
    </xf>
    <xf numFmtId="186" fontId="26" fillId="0" borderId="6" xfId="0" applyNumberFormat="1" applyFont="1" applyBorder="1" applyAlignment="1" applyProtection="1">
      <alignment horizontal="center"/>
      <protection hidden="1"/>
    </xf>
    <xf numFmtId="189" fontId="0" fillId="0" borderId="6" xfId="0" applyNumberFormat="1" applyBorder="1" applyAlignment="1" applyProtection="1">
      <alignment horizontal="center"/>
      <protection hidden="1"/>
    </xf>
    <xf numFmtId="0" fontId="4" fillId="0" borderId="10" xfId="0" applyFont="1" applyBorder="1" applyProtection="1">
      <protection hidden="1"/>
    </xf>
    <xf numFmtId="189" fontId="41" fillId="0" borderId="10" xfId="0" applyNumberFormat="1" applyFont="1" applyBorder="1" applyAlignment="1" applyProtection="1">
      <alignment horizontal="center"/>
      <protection hidden="1"/>
    </xf>
    <xf numFmtId="17" fontId="26" fillId="0" borderId="10" xfId="0" applyNumberFormat="1" applyFont="1" applyBorder="1" applyAlignment="1" applyProtection="1">
      <alignment horizontal="center"/>
      <protection hidden="1"/>
    </xf>
    <xf numFmtId="186" fontId="26" fillId="0" borderId="10" xfId="0" applyNumberFormat="1" applyFont="1" applyBorder="1" applyAlignment="1" applyProtection="1">
      <alignment horizontal="center"/>
      <protection hidden="1"/>
    </xf>
    <xf numFmtId="189" fontId="0" fillId="0" borderId="10" xfId="0" applyNumberFormat="1" applyBorder="1" applyAlignment="1" applyProtection="1">
      <alignment horizontal="center"/>
      <protection hidden="1"/>
    </xf>
    <xf numFmtId="189" fontId="41" fillId="0" borderId="0" xfId="0" applyNumberFormat="1" applyFont="1" applyAlignment="1" applyProtection="1">
      <alignment horizontal="center"/>
      <protection hidden="1"/>
    </xf>
    <xf numFmtId="17" fontId="0" fillId="0" borderId="0" xfId="0" applyNumberFormat="1" applyAlignment="1" applyProtection="1">
      <alignment horizontal="center"/>
      <protection hidden="1"/>
    </xf>
    <xf numFmtId="186" fontId="0" fillId="0" borderId="0" xfId="0" applyNumberFormat="1" applyAlignment="1" applyProtection="1">
      <alignment horizontal="center"/>
      <protection hidden="1"/>
    </xf>
    <xf numFmtId="189" fontId="0" fillId="0" borderId="0" xfId="0" applyNumberFormat="1" applyAlignment="1" applyProtection="1">
      <alignment horizontal="center"/>
      <protection hidden="1"/>
    </xf>
    <xf numFmtId="0" fontId="14" fillId="0" borderId="6" xfId="0" applyFont="1" applyBorder="1" applyAlignment="1" applyProtection="1">
      <alignment horizontal="left" indent="1"/>
      <protection hidden="1"/>
    </xf>
    <xf numFmtId="0" fontId="14" fillId="0" borderId="10" xfId="0" applyFont="1" applyBorder="1" applyAlignment="1" applyProtection="1">
      <alignment horizontal="left" indent="1"/>
      <protection hidden="1"/>
    </xf>
    <xf numFmtId="0" fontId="4" fillId="0" borderId="8" xfId="0" applyFont="1" applyBorder="1" applyAlignment="1" applyProtection="1">
      <alignment horizontal="left"/>
      <protection hidden="1"/>
    </xf>
    <xf numFmtId="0" fontId="0" fillId="0" borderId="8" xfId="0" applyBorder="1" applyProtection="1">
      <protection hidden="1"/>
    </xf>
    <xf numFmtId="189" fontId="0" fillId="0" borderId="8" xfId="0" applyNumberFormat="1" applyBorder="1" applyProtection="1">
      <protection hidden="1"/>
    </xf>
    <xf numFmtId="0" fontId="42" fillId="0" borderId="0" xfId="12" applyFont="1"/>
    <xf numFmtId="0" fontId="16" fillId="0" borderId="0" xfId="12" applyAlignment="1">
      <alignment vertical="center"/>
    </xf>
    <xf numFmtId="0" fontId="16" fillId="0" borderId="4" xfId="12" applyBorder="1" applyAlignment="1">
      <alignment vertical="center"/>
    </xf>
    <xf numFmtId="0" fontId="43" fillId="0" borderId="20" xfId="12" applyFont="1" applyBorder="1" applyAlignment="1">
      <alignment vertical="center"/>
    </xf>
    <xf numFmtId="0" fontId="43" fillId="0" borderId="0" xfId="12" applyFont="1" applyAlignment="1">
      <alignment vertical="center"/>
    </xf>
    <xf numFmtId="0" fontId="18" fillId="0" borderId="0" xfId="12" applyFont="1" applyAlignment="1">
      <alignment vertical="center"/>
    </xf>
    <xf numFmtId="0" fontId="46" fillId="0" borderId="0" xfId="12" applyFont="1" applyAlignment="1">
      <alignment vertical="center"/>
    </xf>
    <xf numFmtId="9" fontId="16" fillId="0" borderId="0" xfId="13" applyFont="1" applyBorder="1" applyAlignment="1">
      <alignment vertical="center"/>
    </xf>
    <xf numFmtId="0" fontId="47" fillId="0" borderId="0" xfId="12" applyFont="1" applyAlignment="1">
      <alignment vertical="center"/>
    </xf>
    <xf numFmtId="0" fontId="49" fillId="22" borderId="5" xfId="12" applyFont="1" applyFill="1" applyBorder="1" applyAlignment="1">
      <alignment horizontal="center" vertical="center"/>
    </xf>
    <xf numFmtId="0" fontId="50" fillId="0" borderId="19" xfId="12" applyFont="1" applyBorder="1" applyAlignment="1">
      <alignment vertical="center" shrinkToFit="1"/>
    </xf>
    <xf numFmtId="0" fontId="47" fillId="0" borderId="20" xfId="12" applyFont="1" applyBorder="1" applyAlignment="1">
      <alignment vertical="center"/>
    </xf>
    <xf numFmtId="2" fontId="47" fillId="0" borderId="0" xfId="15" applyNumberFormat="1" applyFont="1" applyBorder="1" applyAlignment="1">
      <alignment vertical="center"/>
    </xf>
    <xf numFmtId="0" fontId="47" fillId="0" borderId="3" xfId="12" applyFont="1" applyBorder="1" applyAlignment="1">
      <alignment vertical="center"/>
    </xf>
    <xf numFmtId="0" fontId="50" fillId="0" borderId="20" xfId="12" applyFont="1" applyBorder="1" applyAlignment="1">
      <alignment vertical="center" shrinkToFit="1"/>
    </xf>
    <xf numFmtId="4" fontId="50" fillId="0" borderId="1" xfId="13" applyNumberFormat="1" applyFont="1" applyBorder="1" applyAlignment="1">
      <alignment vertical="center" shrinkToFit="1"/>
    </xf>
    <xf numFmtId="0" fontId="50" fillId="0" borderId="2" xfId="12" applyFont="1" applyBorder="1" applyAlignment="1">
      <alignment vertical="center" shrinkToFit="1"/>
    </xf>
    <xf numFmtId="0" fontId="47" fillId="0" borderId="1" xfId="12" applyFont="1" applyBorder="1" applyAlignment="1">
      <alignment vertical="center"/>
    </xf>
    <xf numFmtId="2" fontId="47" fillId="0" borderId="1" xfId="15" applyNumberFormat="1" applyFont="1" applyBorder="1" applyAlignment="1">
      <alignment vertical="center"/>
    </xf>
    <xf numFmtId="0" fontId="50" fillId="0" borderId="4" xfId="12" applyFont="1" applyBorder="1" applyAlignment="1">
      <alignment vertical="center" shrinkToFit="1"/>
    </xf>
    <xf numFmtId="0" fontId="50" fillId="0" borderId="0" xfId="13" applyNumberFormat="1" applyFont="1" applyBorder="1" applyAlignment="1">
      <alignment vertical="center" shrinkToFit="1"/>
    </xf>
    <xf numFmtId="0" fontId="50" fillId="0" borderId="3" xfId="12" applyFont="1" applyBorder="1" applyAlignment="1">
      <alignment vertical="center" shrinkToFit="1"/>
    </xf>
    <xf numFmtId="0" fontId="47" fillId="0" borderId="0" xfId="12" applyFont="1" applyAlignment="1">
      <alignment horizontal="center" vertical="center" shrinkToFit="1"/>
    </xf>
    <xf numFmtId="0" fontId="50" fillId="0" borderId="0" xfId="15" applyNumberFormat="1" applyFont="1" applyBorder="1" applyAlignment="1">
      <alignment vertical="center" shrinkToFit="1"/>
    </xf>
    <xf numFmtId="0" fontId="16" fillId="0" borderId="0" xfId="15" applyNumberFormat="1" applyFont="1" applyBorder="1" applyAlignment="1">
      <alignment vertical="center"/>
    </xf>
    <xf numFmtId="0" fontId="50" fillId="0" borderId="1" xfId="15" applyNumberFormat="1" applyFont="1" applyBorder="1" applyAlignment="1">
      <alignment vertical="center" shrinkToFit="1"/>
    </xf>
    <xf numFmtId="0" fontId="16" fillId="0" borderId="4" xfId="12" applyBorder="1" applyAlignment="1">
      <alignment vertical="center" shrinkToFit="1"/>
    </xf>
    <xf numFmtId="0" fontId="50" fillId="0" borderId="19" xfId="13" applyNumberFormat="1" applyFont="1" applyBorder="1" applyAlignment="1">
      <alignment vertical="center" shrinkToFit="1"/>
    </xf>
    <xf numFmtId="0" fontId="50" fillId="0" borderId="5" xfId="12" applyFont="1" applyBorder="1" applyAlignment="1">
      <alignment vertical="center" shrinkToFit="1"/>
    </xf>
    <xf numFmtId="3" fontId="50" fillId="0" borderId="0" xfId="12" applyNumberFormat="1" applyFont="1" applyAlignment="1">
      <alignment horizontal="center" vertical="center" shrinkToFit="1"/>
    </xf>
    <xf numFmtId="0" fontId="50" fillId="0" borderId="20" xfId="13" applyNumberFormat="1" applyFont="1" applyBorder="1" applyAlignment="1">
      <alignment vertical="center" shrinkToFit="1"/>
    </xf>
    <xf numFmtId="0" fontId="50" fillId="0" borderId="21" xfId="13" applyNumberFormat="1" applyFont="1" applyBorder="1" applyAlignment="1">
      <alignment vertical="center" shrinkToFit="1"/>
    </xf>
    <xf numFmtId="0" fontId="47" fillId="0" borderId="21" xfId="12" applyFont="1" applyBorder="1" applyAlignment="1">
      <alignment vertical="center"/>
    </xf>
    <xf numFmtId="0" fontId="47" fillId="0" borderId="2" xfId="12" applyFont="1" applyBorder="1" applyAlignment="1">
      <alignment vertical="center"/>
    </xf>
    <xf numFmtId="9" fontId="54" fillId="0" borderId="0" xfId="17" applyFont="1" applyAlignment="1">
      <alignment vertical="center"/>
    </xf>
    <xf numFmtId="0" fontId="55" fillId="17" borderId="22" xfId="14" applyFont="1" applyFill="1" applyBorder="1" applyAlignment="1">
      <alignment horizontal="left" vertical="center"/>
    </xf>
    <xf numFmtId="0" fontId="49" fillId="17" borderId="16" xfId="14" applyFont="1" applyFill="1" applyBorder="1" applyAlignment="1">
      <alignment vertical="center"/>
    </xf>
    <xf numFmtId="0" fontId="49" fillId="17" borderId="17" xfId="14" applyFont="1" applyFill="1" applyBorder="1" applyAlignment="1">
      <alignment vertical="center"/>
    </xf>
    <xf numFmtId="0" fontId="48" fillId="17" borderId="16" xfId="14" applyFill="1" applyBorder="1"/>
    <xf numFmtId="0" fontId="56" fillId="17" borderId="18" xfId="14" applyFont="1" applyFill="1" applyBorder="1" applyAlignment="1">
      <alignment horizontal="right" vertical="center"/>
    </xf>
    <xf numFmtId="0" fontId="18" fillId="3" borderId="21" xfId="14" applyFont="1" applyFill="1" applyBorder="1" applyAlignment="1">
      <alignment vertical="center"/>
    </xf>
    <xf numFmtId="0" fontId="18" fillId="3" borderId="1" xfId="14" applyFont="1" applyFill="1" applyBorder="1" applyAlignment="1">
      <alignment vertical="center"/>
    </xf>
    <xf numFmtId="0" fontId="57" fillId="3" borderId="2" xfId="14" applyFont="1" applyFill="1" applyBorder="1" applyAlignment="1">
      <alignment horizontal="right" vertical="center"/>
    </xf>
    <xf numFmtId="0" fontId="16" fillId="3" borderId="1" xfId="14" applyFont="1" applyFill="1" applyBorder="1" applyAlignment="1">
      <alignment horizontal="center" vertical="center"/>
    </xf>
    <xf numFmtId="0" fontId="16" fillId="3" borderId="18" xfId="14" applyFont="1" applyFill="1" applyBorder="1" applyAlignment="1">
      <alignment horizontal="center" vertical="center"/>
    </xf>
    <xf numFmtId="0" fontId="58" fillId="3" borderId="2" xfId="14" applyFont="1" applyFill="1" applyBorder="1" applyAlignment="1">
      <alignment horizontal="center" vertical="center"/>
    </xf>
    <xf numFmtId="0" fontId="18" fillId="3" borderId="17" xfId="12" applyFont="1" applyFill="1" applyBorder="1" applyAlignment="1">
      <alignment vertical="center"/>
    </xf>
    <xf numFmtId="0" fontId="18" fillId="3" borderId="16" xfId="12" applyFont="1" applyFill="1" applyBorder="1" applyAlignment="1">
      <alignment vertical="center"/>
    </xf>
    <xf numFmtId="49" fontId="18" fillId="3" borderId="16" xfId="13" applyNumberFormat="1" applyFont="1" applyFill="1" applyBorder="1" applyAlignment="1">
      <alignment vertical="center"/>
    </xf>
    <xf numFmtId="0" fontId="51" fillId="24" borderId="19" xfId="14" applyFont="1" applyFill="1" applyBorder="1" applyAlignment="1">
      <alignment vertical="center"/>
    </xf>
    <xf numFmtId="0" fontId="51" fillId="24" borderId="4" xfId="14" applyFont="1" applyFill="1" applyBorder="1" applyAlignment="1">
      <alignment vertical="center"/>
    </xf>
    <xf numFmtId="0" fontId="51" fillId="24" borderId="4" xfId="12" applyFont="1" applyFill="1" applyBorder="1" applyAlignment="1">
      <alignment vertical="center"/>
    </xf>
    <xf numFmtId="0" fontId="58" fillId="24" borderId="5" xfId="12" applyFont="1" applyFill="1" applyBorder="1" applyAlignment="1">
      <alignment horizontal="right" vertical="center"/>
    </xf>
    <xf numFmtId="196" fontId="44" fillId="24" borderId="34" xfId="12" applyNumberFormat="1" applyFont="1" applyFill="1" applyBorder="1" applyAlignment="1">
      <alignment horizontal="center" vertical="center" shrinkToFit="1"/>
    </xf>
    <xf numFmtId="197" fontId="44" fillId="24" borderId="34" xfId="12" applyNumberFormat="1" applyFont="1" applyFill="1" applyBorder="1" applyAlignment="1">
      <alignment horizontal="center" vertical="center" shrinkToFit="1"/>
    </xf>
    <xf numFmtId="166" fontId="44" fillId="24" borderId="23" xfId="12" applyNumberFormat="1" applyFont="1" applyFill="1" applyBorder="1" applyAlignment="1">
      <alignment horizontal="right" vertical="center" shrinkToFit="1"/>
    </xf>
    <xf numFmtId="10" fontId="18" fillId="3" borderId="16" xfId="13" applyNumberFormat="1" applyFont="1" applyFill="1" applyBorder="1" applyAlignment="1">
      <alignment horizontal="center" vertical="center"/>
    </xf>
    <xf numFmtId="10" fontId="18" fillId="3" borderId="18" xfId="13" applyNumberFormat="1" applyFont="1" applyFill="1" applyBorder="1" applyAlignment="1">
      <alignment vertical="center"/>
    </xf>
    <xf numFmtId="0" fontId="51" fillId="25" borderId="20" xfId="14" applyFont="1" applyFill="1" applyBorder="1" applyAlignment="1">
      <alignment vertical="center"/>
    </xf>
    <xf numFmtId="0" fontId="50" fillId="25" borderId="0" xfId="14" applyFont="1" applyFill="1" applyAlignment="1">
      <alignment vertical="center"/>
    </xf>
    <xf numFmtId="0" fontId="50" fillId="25" borderId="0" xfId="12" applyFont="1" applyFill="1" applyAlignment="1">
      <alignment vertical="center"/>
    </xf>
    <xf numFmtId="0" fontId="58" fillId="25" borderId="3" xfId="12" applyFont="1" applyFill="1" applyBorder="1" applyAlignment="1">
      <alignment horizontal="right" vertical="center"/>
    </xf>
    <xf numFmtId="196" fontId="60" fillId="25" borderId="37" xfId="12" applyNumberFormat="1" applyFont="1" applyFill="1" applyBorder="1" applyAlignment="1">
      <alignment horizontal="center" vertical="center" shrinkToFit="1"/>
    </xf>
    <xf numFmtId="197" fontId="60" fillId="25" borderId="37" xfId="12" applyNumberFormat="1" applyFont="1" applyFill="1" applyBorder="1" applyAlignment="1">
      <alignment horizontal="center" vertical="center" shrinkToFit="1"/>
    </xf>
    <xf numFmtId="166" fontId="60" fillId="25" borderId="23" xfId="12" applyNumberFormat="1" applyFont="1" applyFill="1" applyBorder="1" applyAlignment="1">
      <alignment horizontal="right" vertical="center" shrinkToFit="1"/>
    </xf>
    <xf numFmtId="0" fontId="50" fillId="25" borderId="19" xfId="14" applyFont="1" applyFill="1" applyBorder="1" applyAlignment="1">
      <alignment vertical="center"/>
    </xf>
    <xf numFmtId="0" fontId="50" fillId="25" borderId="4" xfId="14" applyFont="1" applyFill="1" applyBorder="1" applyAlignment="1">
      <alignment vertical="center"/>
    </xf>
    <xf numFmtId="0" fontId="50" fillId="25" borderId="4" xfId="12" applyFont="1" applyFill="1" applyBorder="1" applyAlignment="1">
      <alignment vertical="center"/>
    </xf>
    <xf numFmtId="49" fontId="18" fillId="25" borderId="4" xfId="15" applyNumberFormat="1" applyFont="1" applyFill="1" applyBorder="1" applyAlignment="1">
      <alignment horizontal="center" vertical="center"/>
    </xf>
    <xf numFmtId="49" fontId="57" fillId="25" borderId="3" xfId="12" applyNumberFormat="1" applyFont="1" applyFill="1" applyBorder="1" applyAlignment="1">
      <alignment vertical="center" shrinkToFit="1"/>
    </xf>
    <xf numFmtId="0" fontId="51" fillId="26" borderId="20" xfId="14" applyFont="1" applyFill="1" applyBorder="1" applyAlignment="1">
      <alignment vertical="center"/>
    </xf>
    <xf numFmtId="0" fontId="50" fillId="26" borderId="0" xfId="14" applyFont="1" applyFill="1" applyAlignment="1">
      <alignment vertical="center"/>
    </xf>
    <xf numFmtId="0" fontId="50" fillId="26" borderId="0" xfId="12" applyFont="1" applyFill="1" applyAlignment="1">
      <alignment vertical="center"/>
    </xf>
    <xf numFmtId="0" fontId="58" fillId="26" borderId="3" xfId="12" applyFont="1" applyFill="1" applyBorder="1" applyAlignment="1">
      <alignment horizontal="right" vertical="center"/>
    </xf>
    <xf numFmtId="196" fontId="60" fillId="26" borderId="37" xfId="12" applyNumberFormat="1" applyFont="1" applyFill="1" applyBorder="1" applyAlignment="1">
      <alignment horizontal="center" vertical="center" shrinkToFit="1"/>
    </xf>
    <xf numFmtId="197" fontId="60" fillId="26" borderId="37" xfId="12" applyNumberFormat="1" applyFont="1" applyFill="1" applyBorder="1" applyAlignment="1">
      <alignment horizontal="center" vertical="center" shrinkToFit="1"/>
    </xf>
    <xf numFmtId="197" fontId="60" fillId="26" borderId="37" xfId="12" applyNumberFormat="1" applyFont="1" applyFill="1" applyBorder="1" applyAlignment="1">
      <alignment horizontal="right" vertical="center" shrinkToFit="1"/>
    </xf>
    <xf numFmtId="0" fontId="50" fillId="26" borderId="20" xfId="14" applyFont="1" applyFill="1" applyBorder="1" applyAlignment="1">
      <alignment vertical="center"/>
    </xf>
    <xf numFmtId="49" fontId="50" fillId="26" borderId="0" xfId="15" applyNumberFormat="1" applyFont="1" applyFill="1" applyBorder="1" applyAlignment="1">
      <alignment horizontal="center" vertical="center"/>
    </xf>
    <xf numFmtId="49" fontId="18" fillId="26" borderId="0" xfId="15" applyNumberFormat="1" applyFont="1" applyFill="1" applyBorder="1" applyAlignment="1">
      <alignment horizontal="center" vertical="center"/>
    </xf>
    <xf numFmtId="49" fontId="47" fillId="26" borderId="3" xfId="12" applyNumberFormat="1" applyFont="1" applyFill="1" applyBorder="1" applyAlignment="1">
      <alignment vertical="center" shrinkToFit="1"/>
    </xf>
    <xf numFmtId="0" fontId="50" fillId="25" borderId="20" xfId="14" applyFont="1" applyFill="1" applyBorder="1" applyAlignment="1">
      <alignment vertical="center"/>
    </xf>
    <xf numFmtId="49" fontId="18" fillId="25" borderId="0" xfId="15" applyNumberFormat="1" applyFont="1" applyFill="1" applyBorder="1" applyAlignment="1">
      <alignment horizontal="center" vertical="center"/>
    </xf>
    <xf numFmtId="49" fontId="47" fillId="25" borderId="3" xfId="12" applyNumberFormat="1" applyFont="1" applyFill="1" applyBorder="1" applyAlignment="1">
      <alignment vertical="center" shrinkToFit="1"/>
    </xf>
    <xf numFmtId="0" fontId="51" fillId="27" borderId="20" xfId="14" applyFont="1" applyFill="1" applyBorder="1" applyAlignment="1">
      <alignment vertical="center"/>
    </xf>
    <xf numFmtId="0" fontId="51" fillId="27" borderId="0" xfId="14" applyFont="1" applyFill="1" applyAlignment="1">
      <alignment vertical="center"/>
    </xf>
    <xf numFmtId="0" fontId="51" fillId="27" borderId="0" xfId="12" applyFont="1" applyFill="1" applyAlignment="1">
      <alignment vertical="center"/>
    </xf>
    <xf numFmtId="0" fontId="58" fillId="27" borderId="3" xfId="12" applyFont="1" applyFill="1" applyBorder="1" applyAlignment="1">
      <alignment horizontal="right" vertical="center"/>
    </xf>
    <xf numFmtId="196" fontId="44" fillId="27" borderId="37" xfId="12" applyNumberFormat="1" applyFont="1" applyFill="1" applyBorder="1" applyAlignment="1">
      <alignment horizontal="center" vertical="center" shrinkToFit="1"/>
    </xf>
    <xf numFmtId="197" fontId="44" fillId="27" borderId="37" xfId="12" applyNumberFormat="1" applyFont="1" applyFill="1" applyBorder="1" applyAlignment="1">
      <alignment horizontal="center" vertical="center" shrinkToFit="1"/>
    </xf>
    <xf numFmtId="166" fontId="44" fillId="27" borderId="23" xfId="12" applyNumberFormat="1" applyFont="1" applyFill="1" applyBorder="1" applyAlignment="1">
      <alignment horizontal="right" vertical="center" shrinkToFit="1"/>
    </xf>
    <xf numFmtId="0" fontId="51" fillId="0" borderId="20" xfId="14" applyFont="1" applyBorder="1" applyAlignment="1">
      <alignment vertical="center"/>
    </xf>
    <xf numFmtId="0" fontId="50" fillId="0" borderId="0" xfId="14" applyFont="1" applyAlignment="1">
      <alignment vertical="center"/>
    </xf>
    <xf numFmtId="0" fontId="50" fillId="0" borderId="0" xfId="12" applyFont="1" applyAlignment="1">
      <alignment vertical="center"/>
    </xf>
    <xf numFmtId="0" fontId="58" fillId="0" borderId="3" xfId="12" applyFont="1" applyBorder="1" applyAlignment="1">
      <alignment horizontal="right" vertical="center"/>
    </xf>
    <xf numFmtId="196" fontId="60" fillId="0" borderId="37" xfId="12" applyNumberFormat="1" applyFont="1" applyBorder="1" applyAlignment="1">
      <alignment horizontal="center" vertical="center" shrinkToFit="1"/>
    </xf>
    <xf numFmtId="197" fontId="60" fillId="0" borderId="37" xfId="12" applyNumberFormat="1" applyFont="1" applyBorder="1" applyAlignment="1">
      <alignment horizontal="center" vertical="center" shrinkToFit="1"/>
    </xf>
    <xf numFmtId="166" fontId="60" fillId="0" borderId="23" xfId="12" applyNumberFormat="1" applyFont="1" applyBorder="1" applyAlignment="1">
      <alignment horizontal="right" vertical="center" shrinkToFit="1"/>
    </xf>
    <xf numFmtId="0" fontId="51" fillId="24" borderId="20" xfId="14" applyFont="1" applyFill="1" applyBorder="1" applyAlignment="1">
      <alignment vertical="center"/>
    </xf>
    <xf numFmtId="0" fontId="51" fillId="24" borderId="0" xfId="14" applyFont="1" applyFill="1" applyAlignment="1">
      <alignment vertical="center"/>
    </xf>
    <xf numFmtId="0" fontId="51" fillId="24" borderId="0" xfId="12" applyFont="1" applyFill="1" applyAlignment="1">
      <alignment vertical="center"/>
    </xf>
    <xf numFmtId="0" fontId="58" fillId="24" borderId="3" xfId="12" applyFont="1" applyFill="1" applyBorder="1" applyAlignment="1">
      <alignment horizontal="right" vertical="center"/>
    </xf>
    <xf numFmtId="196" fontId="44" fillId="24" borderId="37" xfId="12" applyNumberFormat="1" applyFont="1" applyFill="1" applyBorder="1" applyAlignment="1">
      <alignment horizontal="center" vertical="center" shrinkToFit="1"/>
    </xf>
    <xf numFmtId="197" fontId="44" fillId="24" borderId="37" xfId="12" applyNumberFormat="1" applyFont="1" applyFill="1" applyBorder="1" applyAlignment="1">
      <alignment horizontal="center" vertical="center" shrinkToFit="1"/>
    </xf>
    <xf numFmtId="166" fontId="60" fillId="26" borderId="23" xfId="14" applyNumberFormat="1" applyFont="1" applyFill="1" applyBorder="1" applyAlignment="1">
      <alignment horizontal="right" vertical="center" shrinkToFit="1"/>
    </xf>
    <xf numFmtId="49" fontId="61" fillId="25" borderId="0" xfId="15" applyNumberFormat="1" applyFont="1" applyFill="1" applyBorder="1" applyAlignment="1">
      <alignment horizontal="center" vertical="center"/>
    </xf>
    <xf numFmtId="49" fontId="61" fillId="26" borderId="0" xfId="15" applyNumberFormat="1" applyFont="1" applyFill="1" applyBorder="1" applyAlignment="1">
      <alignment horizontal="center" vertical="center"/>
    </xf>
    <xf numFmtId="49" fontId="50" fillId="26" borderId="0" xfId="15" applyNumberFormat="1" applyFont="1" applyFill="1" applyBorder="1" applyAlignment="1">
      <alignment horizontal="right" vertical="center"/>
    </xf>
    <xf numFmtId="0" fontId="50" fillId="0" borderId="20" xfId="12" applyFont="1" applyBorder="1" applyAlignment="1">
      <alignment vertical="center"/>
    </xf>
    <xf numFmtId="49" fontId="47" fillId="0" borderId="3" xfId="12" applyNumberFormat="1" applyFont="1" applyBorder="1" applyAlignment="1">
      <alignment vertical="center" shrinkToFit="1"/>
    </xf>
    <xf numFmtId="195" fontId="50" fillId="0" borderId="0" xfId="12" applyNumberFormat="1" applyFont="1" applyAlignment="1">
      <alignment vertical="center"/>
    </xf>
    <xf numFmtId="49" fontId="18" fillId="0" borderId="0" xfId="15" applyNumberFormat="1" applyFont="1" applyBorder="1" applyAlignment="1">
      <alignment vertical="center" wrapText="1"/>
    </xf>
    <xf numFmtId="49" fontId="18" fillId="0" borderId="3" xfId="15" applyNumberFormat="1" applyFont="1" applyBorder="1" applyAlignment="1">
      <alignment vertical="center" wrapText="1"/>
    </xf>
    <xf numFmtId="49" fontId="18" fillId="0" borderId="0" xfId="15" applyNumberFormat="1" applyFont="1" applyBorder="1" applyAlignment="1">
      <alignment horizontal="center" vertical="center"/>
    </xf>
    <xf numFmtId="49" fontId="50" fillId="0" borderId="0" xfId="15" applyNumberFormat="1" applyFont="1" applyBorder="1" applyAlignment="1">
      <alignment horizontal="right" vertical="center"/>
    </xf>
    <xf numFmtId="9" fontId="65" fillId="0" borderId="0" xfId="12" applyNumberFormat="1" applyFont="1" applyAlignment="1">
      <alignment vertical="center"/>
    </xf>
    <xf numFmtId="166" fontId="60" fillId="26" borderId="23" xfId="12" applyNumberFormat="1" applyFont="1" applyFill="1" applyBorder="1" applyAlignment="1">
      <alignment horizontal="right" vertical="center" shrinkToFit="1"/>
    </xf>
    <xf numFmtId="0" fontId="57" fillId="0" borderId="21" xfId="12" applyFont="1" applyBorder="1" applyAlignment="1">
      <alignment vertical="center"/>
    </xf>
    <xf numFmtId="0" fontId="50" fillId="0" borderId="1" xfId="12" applyFont="1" applyBorder="1" applyAlignment="1">
      <alignment vertical="center"/>
    </xf>
    <xf numFmtId="0" fontId="58" fillId="0" borderId="2" xfId="12" applyFont="1" applyBorder="1" applyAlignment="1">
      <alignment horizontal="right" vertical="center"/>
    </xf>
    <xf numFmtId="196" fontId="60" fillId="0" borderId="42" xfId="12" applyNumberFormat="1" applyFont="1" applyBorder="1" applyAlignment="1">
      <alignment horizontal="center" vertical="center" shrinkToFit="1"/>
    </xf>
    <xf numFmtId="197" fontId="60" fillId="0" borderId="42" xfId="12" applyNumberFormat="1" applyFont="1" applyBorder="1" applyAlignment="1">
      <alignment horizontal="center" vertical="center" shrinkToFit="1"/>
    </xf>
    <xf numFmtId="0" fontId="59" fillId="0" borderId="21" xfId="12" applyFont="1" applyBorder="1" applyAlignment="1">
      <alignment vertical="center"/>
    </xf>
    <xf numFmtId="49" fontId="18" fillId="0" borderId="1" xfId="15" applyNumberFormat="1" applyFont="1" applyBorder="1" applyAlignment="1">
      <alignment horizontal="center" vertical="center"/>
    </xf>
    <xf numFmtId="49" fontId="47" fillId="0" borderId="2" xfId="12" applyNumberFormat="1" applyFont="1" applyBorder="1" applyAlignment="1">
      <alignment vertical="center" shrinkToFit="1"/>
    </xf>
    <xf numFmtId="0" fontId="60" fillId="0" borderId="0" xfId="12" applyFont="1" applyAlignment="1">
      <alignment vertical="center"/>
    </xf>
    <xf numFmtId="195" fontId="16" fillId="0" borderId="0" xfId="12" applyNumberFormat="1" applyAlignment="1">
      <alignment vertical="center"/>
    </xf>
    <xf numFmtId="0" fontId="66" fillId="0" borderId="12" xfId="12" applyFont="1" applyBorder="1"/>
    <xf numFmtId="0" fontId="67" fillId="0" borderId="13" xfId="12" applyFont="1" applyBorder="1"/>
    <xf numFmtId="0" fontId="67" fillId="13" borderId="13" xfId="12" applyFont="1" applyFill="1" applyBorder="1"/>
    <xf numFmtId="0" fontId="66" fillId="9" borderId="14" xfId="12" applyFont="1" applyFill="1" applyBorder="1"/>
    <xf numFmtId="0" fontId="66" fillId="0" borderId="0" xfId="12" applyFont="1"/>
    <xf numFmtId="0" fontId="67" fillId="0" borderId="0" xfId="12" applyFont="1"/>
    <xf numFmtId="0" fontId="66" fillId="9" borderId="12" xfId="12" applyFont="1" applyFill="1" applyBorder="1"/>
    <xf numFmtId="14" fontId="66" fillId="0" borderId="14" xfId="12" applyNumberFormat="1" applyFont="1" applyBorder="1"/>
    <xf numFmtId="0" fontId="66" fillId="0" borderId="12" xfId="12" applyFont="1" applyBorder="1" applyAlignment="1">
      <alignment horizontal="right" vertical="center"/>
    </xf>
    <xf numFmtId="14" fontId="66" fillId="9" borderId="13" xfId="12" applyNumberFormat="1" applyFont="1" applyFill="1" applyBorder="1" applyAlignment="1">
      <alignment horizontal="left" vertical="center"/>
    </xf>
    <xf numFmtId="2" fontId="66" fillId="9" borderId="14" xfId="15" applyNumberFormat="1" applyFont="1" applyFill="1" applyBorder="1" applyAlignment="1">
      <alignment vertical="center"/>
    </xf>
    <xf numFmtId="2" fontId="66" fillId="0" borderId="0" xfId="15" applyNumberFormat="1" applyFont="1" applyFill="1" applyBorder="1" applyAlignment="1">
      <alignment vertical="center"/>
    </xf>
    <xf numFmtId="0" fontId="66" fillId="0" borderId="43" xfId="12" applyFont="1" applyBorder="1" applyAlignment="1">
      <alignment horizontal="right"/>
    </xf>
    <xf numFmtId="0" fontId="66" fillId="9" borderId="44" xfId="12" applyFont="1" applyFill="1" applyBorder="1"/>
    <xf numFmtId="0" fontId="66" fillId="14" borderId="44" xfId="12" applyFont="1" applyFill="1" applyBorder="1"/>
    <xf numFmtId="0" fontId="67" fillId="14" borderId="27" xfId="12" applyFont="1" applyFill="1" applyBorder="1"/>
    <xf numFmtId="0" fontId="66" fillId="0" borderId="45" xfId="12" applyFont="1" applyBorder="1" applyAlignment="1">
      <alignment horizontal="right"/>
    </xf>
    <xf numFmtId="0" fontId="66" fillId="9" borderId="0" xfId="12" applyFont="1" applyFill="1"/>
    <xf numFmtId="0" fontId="66" fillId="0" borderId="0" xfId="12" applyFont="1" applyAlignment="1">
      <alignment horizontal="center"/>
    </xf>
    <xf numFmtId="10" fontId="67" fillId="0" borderId="0" xfId="13" applyNumberFormat="1" applyFont="1"/>
    <xf numFmtId="0" fontId="66" fillId="11" borderId="22" xfId="12" applyFont="1" applyFill="1" applyBorder="1" applyAlignment="1">
      <alignment horizontal="center"/>
    </xf>
    <xf numFmtId="0" fontId="66" fillId="0" borderId="46" xfId="12" applyFont="1" applyBorder="1" applyAlignment="1">
      <alignment horizontal="right"/>
    </xf>
    <xf numFmtId="0" fontId="66" fillId="0" borderId="47" xfId="12" applyFont="1" applyBorder="1" applyAlignment="1">
      <alignment horizontal="center"/>
    </xf>
    <xf numFmtId="0" fontId="67" fillId="0" borderId="48" xfId="12" applyFont="1" applyBorder="1"/>
    <xf numFmtId="0" fontId="66" fillId="0" borderId="48" xfId="12" applyFont="1" applyBorder="1" applyAlignment="1">
      <alignment horizontal="center"/>
    </xf>
    <xf numFmtId="0" fontId="67" fillId="0" borderId="25" xfId="12" applyFont="1" applyBorder="1"/>
    <xf numFmtId="0" fontId="66" fillId="0" borderId="49" xfId="12" applyFont="1" applyBorder="1" applyAlignment="1">
      <alignment horizontal="center"/>
    </xf>
    <xf numFmtId="0" fontId="66" fillId="0" borderId="50" xfId="12" applyFont="1" applyBorder="1" applyAlignment="1">
      <alignment horizontal="center"/>
    </xf>
    <xf numFmtId="0" fontId="67" fillId="0" borderId="45" xfId="12" applyFont="1" applyBorder="1"/>
    <xf numFmtId="0" fontId="66" fillId="9" borderId="3" xfId="12" applyFont="1" applyFill="1" applyBorder="1"/>
    <xf numFmtId="180" fontId="66" fillId="9" borderId="24" xfId="12" applyNumberFormat="1" applyFont="1" applyFill="1" applyBorder="1" applyAlignment="1">
      <alignment horizontal="center"/>
    </xf>
    <xf numFmtId="0" fontId="66" fillId="0" borderId="24" xfId="12" quotePrefix="1" applyFont="1" applyBorder="1" applyAlignment="1">
      <alignment horizontal="right"/>
    </xf>
    <xf numFmtId="165" fontId="66" fillId="0" borderId="3" xfId="15" applyFont="1" applyBorder="1"/>
    <xf numFmtId="165" fontId="67" fillId="0" borderId="0" xfId="15" applyFont="1" applyFill="1" applyBorder="1" applyAlignment="1">
      <alignment horizontal="center"/>
    </xf>
    <xf numFmtId="0" fontId="67" fillId="0" borderId="22" xfId="12" applyFont="1" applyBorder="1" applyAlignment="1">
      <alignment horizontal="right"/>
    </xf>
    <xf numFmtId="0" fontId="67" fillId="0" borderId="22" xfId="12" applyFont="1" applyBorder="1" applyAlignment="1">
      <alignment horizontal="center"/>
    </xf>
    <xf numFmtId="0" fontId="67" fillId="14" borderId="22" xfId="12" applyFont="1" applyFill="1" applyBorder="1" applyAlignment="1">
      <alignment horizontal="center"/>
    </xf>
    <xf numFmtId="180" fontId="66" fillId="9" borderId="23" xfId="12" applyNumberFormat="1" applyFont="1" applyFill="1" applyBorder="1" applyAlignment="1">
      <alignment horizontal="center"/>
    </xf>
    <xf numFmtId="0" fontId="66" fillId="0" borderId="23" xfId="12" quotePrefix="1" applyFont="1" applyBorder="1" applyAlignment="1">
      <alignment horizontal="right"/>
    </xf>
    <xf numFmtId="165" fontId="66" fillId="14" borderId="3" xfId="15" applyFont="1" applyFill="1" applyBorder="1"/>
    <xf numFmtId="165" fontId="66" fillId="14" borderId="0" xfId="15" applyFont="1" applyFill="1" applyBorder="1" applyAlignment="1">
      <alignment horizontal="center"/>
    </xf>
    <xf numFmtId="175" fontId="67" fillId="0" borderId="22" xfId="12" applyNumberFormat="1" applyFont="1" applyBorder="1" applyAlignment="1">
      <alignment horizontal="center"/>
    </xf>
    <xf numFmtId="0" fontId="67" fillId="0" borderId="22" xfId="12" applyFont="1" applyBorder="1" applyAlignment="1">
      <alignment horizontal="center" vertical="center"/>
    </xf>
    <xf numFmtId="180" fontId="66" fillId="9" borderId="3" xfId="12" applyNumberFormat="1" applyFont="1" applyFill="1" applyBorder="1" applyAlignment="1">
      <alignment horizontal="center"/>
    </xf>
    <xf numFmtId="4" fontId="67" fillId="14" borderId="22" xfId="12" applyNumberFormat="1" applyFont="1" applyFill="1" applyBorder="1" applyAlignment="1">
      <alignment horizontal="center"/>
    </xf>
    <xf numFmtId="0" fontId="67" fillId="0" borderId="0" xfId="12" applyFont="1" applyAlignment="1">
      <alignment horizontal="center"/>
    </xf>
    <xf numFmtId="9" fontId="67" fillId="0" borderId="0" xfId="13" applyFont="1"/>
    <xf numFmtId="165" fontId="66" fillId="0" borderId="3" xfId="15" applyFont="1" applyFill="1" applyBorder="1"/>
    <xf numFmtId="165" fontId="66" fillId="0" borderId="0" xfId="15" applyFont="1" applyFill="1" applyBorder="1" applyAlignment="1">
      <alignment horizontal="center"/>
    </xf>
    <xf numFmtId="165" fontId="66" fillId="0" borderId="23" xfId="15" applyFont="1" applyFill="1" applyBorder="1"/>
    <xf numFmtId="165" fontId="66" fillId="9" borderId="3" xfId="15" applyFont="1" applyFill="1" applyBorder="1" applyAlignment="1">
      <alignment horizontal="center"/>
    </xf>
    <xf numFmtId="165" fontId="67" fillId="14" borderId="23" xfId="15" applyFont="1" applyFill="1" applyBorder="1"/>
    <xf numFmtId="165" fontId="67" fillId="14" borderId="0" xfId="15" applyFont="1" applyFill="1" applyBorder="1" applyAlignment="1">
      <alignment horizontal="center"/>
    </xf>
    <xf numFmtId="0" fontId="67" fillId="0" borderId="22" xfId="12" applyFont="1" applyBorder="1"/>
    <xf numFmtId="165" fontId="67" fillId="0" borderId="23" xfId="15" applyFont="1" applyFill="1" applyBorder="1"/>
    <xf numFmtId="165" fontId="66" fillId="14" borderId="3" xfId="15" applyFont="1" applyFill="1" applyBorder="1" applyAlignment="1">
      <alignment horizontal="center"/>
    </xf>
    <xf numFmtId="0" fontId="66" fillId="14" borderId="22" xfId="12" applyFont="1" applyFill="1" applyBorder="1" applyAlignment="1">
      <alignment horizontal="right"/>
    </xf>
    <xf numFmtId="0" fontId="66" fillId="14" borderId="24" xfId="12" applyFont="1" applyFill="1" applyBorder="1" applyAlignment="1">
      <alignment horizontal="center"/>
    </xf>
    <xf numFmtId="0" fontId="66" fillId="14" borderId="22" xfId="12" applyFont="1" applyFill="1" applyBorder="1" applyAlignment="1">
      <alignment horizontal="center"/>
    </xf>
    <xf numFmtId="165" fontId="67" fillId="0" borderId="0" xfId="12" applyNumberFormat="1" applyFont="1"/>
    <xf numFmtId="0" fontId="67" fillId="0" borderId="46" xfId="12" applyFont="1" applyBorder="1"/>
    <xf numFmtId="0" fontId="66" fillId="9" borderId="51" xfId="12" applyFont="1" applyFill="1" applyBorder="1"/>
    <xf numFmtId="165" fontId="66" fillId="9" borderId="51" xfId="15" applyFont="1" applyFill="1" applyBorder="1" applyAlignment="1">
      <alignment horizontal="center"/>
    </xf>
    <xf numFmtId="0" fontId="66" fillId="0" borderId="52" xfId="12" quotePrefix="1" applyFont="1" applyBorder="1" applyAlignment="1">
      <alignment horizontal="right"/>
    </xf>
    <xf numFmtId="165" fontId="67" fillId="14" borderId="52" xfId="15" applyFont="1" applyFill="1" applyBorder="1"/>
    <xf numFmtId="0" fontId="67" fillId="28" borderId="22" xfId="12" applyFont="1" applyFill="1" applyBorder="1"/>
    <xf numFmtId="0" fontId="66" fillId="0" borderId="53" xfId="12" applyFont="1" applyBorder="1" applyAlignment="1">
      <alignment horizontal="center"/>
    </xf>
    <xf numFmtId="0" fontId="66" fillId="0" borderId="54" xfId="12" applyFont="1" applyBorder="1" applyAlignment="1">
      <alignment horizontal="center"/>
    </xf>
    <xf numFmtId="201" fontId="67" fillId="0" borderId="0" xfId="12" applyNumberFormat="1" applyFont="1"/>
    <xf numFmtId="0" fontId="66" fillId="0" borderId="55" xfId="12" applyFont="1" applyBorder="1"/>
    <xf numFmtId="165" fontId="67" fillId="14" borderId="3" xfId="15" applyFont="1" applyFill="1" applyBorder="1"/>
    <xf numFmtId="165" fontId="67" fillId="14" borderId="3" xfId="15" applyFont="1" applyFill="1" applyBorder="1" applyAlignment="1">
      <alignment horizontal="right"/>
    </xf>
    <xf numFmtId="0" fontId="67" fillId="0" borderId="3" xfId="12" applyFont="1" applyBorder="1"/>
    <xf numFmtId="179" fontId="66" fillId="29" borderId="3" xfId="15" applyNumberFormat="1" applyFont="1" applyFill="1" applyBorder="1"/>
    <xf numFmtId="165" fontId="67" fillId="14" borderId="29" xfId="15" applyFont="1" applyFill="1" applyBorder="1"/>
    <xf numFmtId="165" fontId="67" fillId="0" borderId="0" xfId="15" applyFont="1" applyFill="1" applyBorder="1"/>
    <xf numFmtId="165" fontId="67" fillId="4" borderId="3" xfId="15" applyFont="1" applyFill="1" applyBorder="1"/>
    <xf numFmtId="202" fontId="69" fillId="0" borderId="0" xfId="18" applyNumberFormat="1" applyFont="1"/>
    <xf numFmtId="165" fontId="67" fillId="0" borderId="3" xfId="15" applyFont="1" applyBorder="1"/>
    <xf numFmtId="165" fontId="67" fillId="0" borderId="29" xfId="15" applyFont="1" applyBorder="1"/>
    <xf numFmtId="0" fontId="70" fillId="11" borderId="22" xfId="12" applyFont="1" applyFill="1" applyBorder="1" applyAlignment="1">
      <alignment horizontal="center"/>
    </xf>
    <xf numFmtId="165" fontId="67" fillId="0" borderId="22" xfId="15" applyFont="1" applyBorder="1"/>
    <xf numFmtId="180" fontId="67" fillId="0" borderId="22" xfId="12" applyNumberFormat="1" applyFont="1" applyBorder="1"/>
    <xf numFmtId="0" fontId="67" fillId="0" borderId="20" xfId="12" applyFont="1" applyBorder="1"/>
    <xf numFmtId="203" fontId="71" fillId="0" borderId="0" xfId="12" applyNumberFormat="1" applyFont="1" applyAlignment="1">
      <alignment horizontal="center"/>
    </xf>
    <xf numFmtId="0" fontId="71" fillId="0" borderId="0" xfId="12" applyFont="1"/>
    <xf numFmtId="0" fontId="71" fillId="0" borderId="3" xfId="12" applyFont="1" applyBorder="1"/>
    <xf numFmtId="0" fontId="67" fillId="12" borderId="22" xfId="12" applyFont="1" applyFill="1" applyBorder="1" applyAlignment="1">
      <alignment horizontal="center"/>
    </xf>
    <xf numFmtId="180" fontId="67" fillId="14" borderId="22" xfId="15" applyNumberFormat="1" applyFont="1" applyFill="1" applyBorder="1" applyAlignment="1">
      <alignment horizontal="center"/>
    </xf>
    <xf numFmtId="0" fontId="67" fillId="0" borderId="17" xfId="12" applyFont="1" applyBorder="1"/>
    <xf numFmtId="10" fontId="67" fillId="0" borderId="16" xfId="13" applyNumberFormat="1" applyFont="1" applyBorder="1"/>
    <xf numFmtId="203" fontId="67" fillId="14" borderId="16" xfId="12" applyNumberFormat="1" applyFont="1" applyFill="1" applyBorder="1"/>
    <xf numFmtId="1" fontId="67" fillId="0" borderId="16" xfId="12" applyNumberFormat="1" applyFont="1" applyBorder="1" applyAlignment="1">
      <alignment horizontal="center"/>
    </xf>
    <xf numFmtId="203" fontId="67" fillId="14" borderId="18" xfId="12" applyNumberFormat="1" applyFont="1" applyFill="1" applyBorder="1"/>
    <xf numFmtId="165" fontId="67" fillId="29" borderId="3" xfId="15" applyFont="1" applyFill="1" applyBorder="1"/>
    <xf numFmtId="10" fontId="67" fillId="0" borderId="22" xfId="13" applyNumberFormat="1" applyFont="1" applyFill="1" applyBorder="1" applyAlignment="1">
      <alignment horizontal="center"/>
    </xf>
    <xf numFmtId="10" fontId="67" fillId="0" borderId="0" xfId="13" applyNumberFormat="1" applyFont="1" applyBorder="1"/>
    <xf numFmtId="203" fontId="67" fillId="14" borderId="0" xfId="12" applyNumberFormat="1" applyFont="1" applyFill="1"/>
    <xf numFmtId="1" fontId="67" fillId="0" borderId="0" xfId="12" applyNumberFormat="1" applyFont="1" applyAlignment="1">
      <alignment horizontal="center"/>
    </xf>
    <xf numFmtId="203" fontId="67" fillId="14" borderId="3" xfId="12" applyNumberFormat="1" applyFont="1" applyFill="1" applyBorder="1"/>
    <xf numFmtId="0" fontId="72" fillId="28" borderId="0" xfId="12" applyFont="1" applyFill="1" applyAlignment="1">
      <alignment horizontal="right"/>
    </xf>
    <xf numFmtId="179" fontId="67" fillId="0" borderId="0" xfId="12" applyNumberFormat="1" applyFont="1"/>
    <xf numFmtId="1" fontId="71" fillId="14" borderId="0" xfId="12" applyNumberFormat="1" applyFont="1" applyFill="1" applyAlignment="1">
      <alignment horizontal="center"/>
    </xf>
    <xf numFmtId="0" fontId="67" fillId="0" borderId="21" xfId="12" applyFont="1" applyBorder="1"/>
    <xf numFmtId="0" fontId="67" fillId="0" borderId="1" xfId="12" applyFont="1" applyBorder="1"/>
    <xf numFmtId="0" fontId="67" fillId="0" borderId="2" xfId="12" applyFont="1" applyBorder="1"/>
    <xf numFmtId="165" fontId="66" fillId="14" borderId="3" xfId="15" applyFont="1" applyFill="1" applyBorder="1" applyAlignment="1">
      <alignment horizontal="right"/>
    </xf>
    <xf numFmtId="165" fontId="66" fillId="4" borderId="3" xfId="15" applyFont="1" applyFill="1" applyBorder="1"/>
    <xf numFmtId="2" fontId="66" fillId="14" borderId="23" xfId="12" applyNumberFormat="1" applyFont="1" applyFill="1" applyBorder="1" applyAlignment="1">
      <alignment horizontal="right"/>
    </xf>
    <xf numFmtId="2" fontId="66" fillId="0" borderId="3" xfId="15" applyNumberFormat="1" applyFont="1" applyFill="1" applyBorder="1" applyAlignment="1">
      <alignment horizontal="left"/>
    </xf>
    <xf numFmtId="180" fontId="67" fillId="14" borderId="22" xfId="12" applyNumberFormat="1" applyFont="1" applyFill="1" applyBorder="1" applyAlignment="1">
      <alignment horizontal="center"/>
    </xf>
    <xf numFmtId="43" fontId="67" fillId="0" borderId="0" xfId="12" applyNumberFormat="1" applyFont="1"/>
    <xf numFmtId="180" fontId="66" fillId="14" borderId="22" xfId="12" applyNumberFormat="1" applyFont="1" applyFill="1" applyBorder="1" applyAlignment="1">
      <alignment horizontal="center"/>
    </xf>
    <xf numFmtId="0" fontId="66" fillId="0" borderId="55" xfId="12" applyFont="1" applyBorder="1" applyAlignment="1">
      <alignment horizontal="left"/>
    </xf>
    <xf numFmtId="165" fontId="66" fillId="14" borderId="52" xfId="15" applyFont="1" applyFill="1" applyBorder="1" applyAlignment="1">
      <alignment horizontal="right"/>
    </xf>
    <xf numFmtId="9" fontId="67" fillId="0" borderId="0" xfId="13" applyFont="1" applyBorder="1"/>
    <xf numFmtId="165" fontId="67" fillId="0" borderId="23" xfId="15" applyFont="1" applyBorder="1"/>
    <xf numFmtId="0" fontId="67" fillId="0" borderId="0" xfId="12" applyFont="1" applyAlignment="1">
      <alignment horizontal="right"/>
    </xf>
    <xf numFmtId="178" fontId="67" fillId="0" borderId="0" xfId="12" applyNumberFormat="1" applyFont="1"/>
    <xf numFmtId="0" fontId="73" fillId="0" borderId="43" xfId="12" applyFont="1" applyBorder="1"/>
    <xf numFmtId="0" fontId="67" fillId="0" borderId="26" xfId="12" applyFont="1" applyBorder="1"/>
    <xf numFmtId="0" fontId="67" fillId="0" borderId="29" xfId="12" applyFont="1" applyBorder="1"/>
    <xf numFmtId="0" fontId="66" fillId="0" borderId="44" xfId="12" applyFont="1" applyBorder="1"/>
    <xf numFmtId="0" fontId="67" fillId="0" borderId="44" xfId="12" applyFont="1" applyBorder="1"/>
    <xf numFmtId="0" fontId="67" fillId="0" borderId="27" xfId="12" applyFont="1" applyBorder="1"/>
    <xf numFmtId="165" fontId="66" fillId="9" borderId="28" xfId="15" applyFont="1" applyFill="1" applyBorder="1"/>
    <xf numFmtId="0" fontId="66" fillId="9" borderId="29" xfId="12" applyFont="1" applyFill="1" applyBorder="1" applyAlignment="1">
      <alignment horizontal="left"/>
    </xf>
    <xf numFmtId="0" fontId="74" fillId="0" borderId="0" xfId="12" applyFont="1" applyAlignment="1">
      <alignment horizontal="left"/>
    </xf>
    <xf numFmtId="0" fontId="66" fillId="9" borderId="0" xfId="12" applyFont="1" applyFill="1" applyAlignment="1">
      <alignment horizontal="right"/>
    </xf>
    <xf numFmtId="165" fontId="67" fillId="9" borderId="29" xfId="15" applyFont="1" applyFill="1" applyBorder="1"/>
    <xf numFmtId="204" fontId="66" fillId="0" borderId="0" xfId="12" applyNumberFormat="1" applyFont="1"/>
    <xf numFmtId="180" fontId="66" fillId="14" borderId="22" xfId="15" applyNumberFormat="1" applyFont="1" applyFill="1" applyBorder="1" applyAlignment="1">
      <alignment horizontal="center"/>
    </xf>
    <xf numFmtId="0" fontId="67" fillId="0" borderId="20" xfId="12" applyFont="1" applyBorder="1" applyAlignment="1">
      <alignment horizontal="right"/>
    </xf>
    <xf numFmtId="0" fontId="67" fillId="0" borderId="24" xfId="12" applyFont="1" applyBorder="1" applyAlignment="1">
      <alignment horizontal="center"/>
    </xf>
    <xf numFmtId="165" fontId="66" fillId="9" borderId="29" xfId="15" applyFont="1" applyFill="1" applyBorder="1"/>
    <xf numFmtId="180" fontId="67" fillId="0" borderId="22" xfId="15" applyNumberFormat="1" applyFont="1" applyFill="1" applyBorder="1" applyAlignment="1">
      <alignment horizontal="center"/>
    </xf>
    <xf numFmtId="0" fontId="71" fillId="3" borderId="20" xfId="12" applyFont="1" applyFill="1" applyBorder="1"/>
    <xf numFmtId="0" fontId="67" fillId="3" borderId="0" xfId="12" applyFont="1" applyFill="1"/>
    <xf numFmtId="206" fontId="67" fillId="3" borderId="23" xfId="19" applyNumberFormat="1" applyFont="1" applyFill="1" applyBorder="1"/>
    <xf numFmtId="0" fontId="66" fillId="9" borderId="28" xfId="12" quotePrefix="1" applyFont="1" applyFill="1" applyBorder="1" applyAlignment="1">
      <alignment horizontal="right"/>
    </xf>
    <xf numFmtId="0" fontId="73" fillId="0" borderId="45" xfId="12" applyFont="1" applyBorder="1" applyAlignment="1">
      <alignment horizontal="left"/>
    </xf>
    <xf numFmtId="0" fontId="66" fillId="0" borderId="28" xfId="12" applyFont="1" applyBorder="1" applyAlignment="1">
      <alignment horizontal="center"/>
    </xf>
    <xf numFmtId="9" fontId="66" fillId="0" borderId="29" xfId="13" applyFont="1" applyBorder="1" applyAlignment="1">
      <alignment horizontal="center"/>
    </xf>
    <xf numFmtId="165" fontId="74" fillId="0" borderId="0" xfId="12" applyNumberFormat="1" applyFont="1"/>
    <xf numFmtId="165" fontId="66" fillId="14" borderId="28" xfId="15" applyFont="1" applyFill="1" applyBorder="1"/>
    <xf numFmtId="165" fontId="66" fillId="0" borderId="29" xfId="15" quotePrefix="1" applyFont="1" applyFill="1" applyBorder="1" applyAlignment="1">
      <alignment horizontal="center"/>
    </xf>
    <xf numFmtId="203" fontId="67" fillId="3" borderId="0" xfId="12" applyNumberFormat="1" applyFont="1" applyFill="1"/>
    <xf numFmtId="165" fontId="67" fillId="14" borderId="28" xfId="15" applyFont="1" applyFill="1" applyBorder="1"/>
    <xf numFmtId="10" fontId="67" fillId="9" borderId="29" xfId="13" applyNumberFormat="1" applyFont="1" applyFill="1" applyBorder="1"/>
    <xf numFmtId="180" fontId="67" fillId="0" borderId="22" xfId="15" applyNumberFormat="1" applyFont="1" applyBorder="1"/>
    <xf numFmtId="165" fontId="67" fillId="11" borderId="22" xfId="12" applyNumberFormat="1" applyFont="1" applyFill="1" applyBorder="1"/>
    <xf numFmtId="165" fontId="67" fillId="11" borderId="22" xfId="15" applyFont="1" applyFill="1" applyBorder="1" applyAlignment="1">
      <alignment horizontal="center"/>
    </xf>
    <xf numFmtId="0" fontId="66" fillId="0" borderId="22" xfId="12" applyFont="1" applyBorder="1" applyAlignment="1">
      <alignment horizontal="center"/>
    </xf>
    <xf numFmtId="165" fontId="66" fillId="11" borderId="22" xfId="15" applyFont="1" applyFill="1" applyBorder="1" applyAlignment="1">
      <alignment horizontal="center"/>
    </xf>
    <xf numFmtId="165" fontId="66" fillId="14" borderId="28" xfId="12" applyNumberFormat="1" applyFont="1" applyFill="1" applyBorder="1"/>
    <xf numFmtId="10" fontId="67" fillId="9" borderId="31" xfId="13" quotePrefix="1" applyNumberFormat="1" applyFont="1" applyFill="1" applyBorder="1" applyAlignment="1">
      <alignment horizontal="center"/>
    </xf>
    <xf numFmtId="0" fontId="67" fillId="0" borderId="9" xfId="12" applyFont="1" applyBorder="1"/>
    <xf numFmtId="0" fontId="66" fillId="0" borderId="43" xfId="12" applyFont="1" applyBorder="1" applyAlignment="1">
      <alignment horizontal="left"/>
    </xf>
    <xf numFmtId="180" fontId="66" fillId="9" borderId="29" xfId="15" applyNumberFormat="1" applyFont="1" applyFill="1" applyBorder="1"/>
    <xf numFmtId="0" fontId="67" fillId="0" borderId="43" xfId="12" applyFont="1" applyBorder="1"/>
    <xf numFmtId="0" fontId="66" fillId="9" borderId="45" xfId="12" applyFont="1" applyFill="1" applyBorder="1" applyAlignment="1">
      <alignment horizontal="right"/>
    </xf>
    <xf numFmtId="0" fontId="66" fillId="0" borderId="46" xfId="12" applyFont="1" applyBorder="1" applyAlignment="1">
      <alignment horizontal="left"/>
    </xf>
    <xf numFmtId="165" fontId="66" fillId="0" borderId="46" xfId="15" applyFont="1" applyBorder="1" applyAlignment="1">
      <alignment horizontal="right"/>
    </xf>
    <xf numFmtId="165" fontId="66" fillId="14" borderId="31" xfId="15" quotePrefix="1" applyFont="1" applyFill="1" applyBorder="1" applyAlignment="1">
      <alignment horizontal="center"/>
    </xf>
    <xf numFmtId="0" fontId="66" fillId="9" borderId="9" xfId="12" applyFont="1" applyFill="1" applyBorder="1"/>
    <xf numFmtId="165" fontId="66" fillId="0" borderId="44" xfId="15" applyFont="1" applyBorder="1" applyAlignment="1">
      <alignment horizontal="center"/>
    </xf>
    <xf numFmtId="0" fontId="66" fillId="0" borderId="44" xfId="12" applyFont="1" applyBorder="1" applyAlignment="1">
      <alignment horizontal="center"/>
    </xf>
    <xf numFmtId="0" fontId="66" fillId="0" borderId="27" xfId="12" applyFont="1" applyBorder="1" applyAlignment="1">
      <alignment horizontal="center"/>
    </xf>
    <xf numFmtId="165" fontId="66" fillId="9" borderId="0" xfId="15" applyFont="1" applyFill="1" applyBorder="1" applyAlignment="1"/>
    <xf numFmtId="2" fontId="66" fillId="9" borderId="0" xfId="15" applyNumberFormat="1" applyFont="1" applyFill="1" applyBorder="1" applyAlignment="1"/>
    <xf numFmtId="165" fontId="67" fillId="14" borderId="0" xfId="15" applyFont="1" applyFill="1" applyBorder="1"/>
    <xf numFmtId="165" fontId="67" fillId="14" borderId="29" xfId="12" applyNumberFormat="1" applyFont="1" applyFill="1" applyBorder="1"/>
    <xf numFmtId="4" fontId="66" fillId="9" borderId="0" xfId="12" applyNumberFormat="1" applyFont="1" applyFill="1"/>
    <xf numFmtId="2" fontId="66" fillId="9" borderId="0" xfId="12" applyNumberFormat="1" applyFont="1" applyFill="1"/>
    <xf numFmtId="0" fontId="75" fillId="11" borderId="22" xfId="12" applyFont="1" applyFill="1" applyBorder="1" applyAlignment="1">
      <alignment horizontal="center"/>
    </xf>
    <xf numFmtId="0" fontId="66" fillId="0" borderId="9" xfId="12" applyFont="1" applyBorder="1"/>
    <xf numFmtId="165" fontId="66" fillId="0" borderId="9" xfId="15" applyFont="1" applyBorder="1" applyAlignment="1">
      <alignment horizontal="center"/>
    </xf>
    <xf numFmtId="165" fontId="66" fillId="14" borderId="9" xfId="12" applyNumberFormat="1" applyFont="1" applyFill="1" applyBorder="1"/>
    <xf numFmtId="165" fontId="66" fillId="14" borderId="31" xfId="12" applyNumberFormat="1" applyFont="1" applyFill="1" applyBorder="1"/>
    <xf numFmtId="0" fontId="66" fillId="0" borderId="27" xfId="12" quotePrefix="1" applyFont="1" applyBorder="1" applyAlignment="1">
      <alignment horizontal="center"/>
    </xf>
    <xf numFmtId="165" fontId="66" fillId="14" borderId="0" xfId="15" applyFont="1" applyFill="1" applyBorder="1"/>
    <xf numFmtId="180" fontId="66" fillId="9" borderId="0" xfId="15" applyNumberFormat="1" applyFont="1" applyFill="1" applyBorder="1"/>
    <xf numFmtId="165" fontId="66" fillId="9" borderId="0" xfId="15" applyFont="1" applyFill="1" applyBorder="1"/>
    <xf numFmtId="0" fontId="76" fillId="0" borderId="22" xfId="12" applyFont="1" applyBorder="1" applyAlignment="1">
      <alignment horizontal="center"/>
    </xf>
    <xf numFmtId="0" fontId="66" fillId="0" borderId="9" xfId="12" quotePrefix="1" applyFont="1" applyBorder="1"/>
    <xf numFmtId="180" fontId="66" fillId="14" borderId="9" xfId="15" applyNumberFormat="1" applyFont="1" applyFill="1" applyBorder="1" applyAlignment="1">
      <alignment horizontal="center"/>
    </xf>
    <xf numFmtId="165" fontId="67" fillId="14" borderId="9" xfId="15" applyFont="1" applyFill="1" applyBorder="1"/>
    <xf numFmtId="165" fontId="66" fillId="14" borderId="9" xfId="15" applyFont="1" applyFill="1" applyBorder="1"/>
    <xf numFmtId="0" fontId="67" fillId="0" borderId="31" xfId="12" applyFont="1" applyBorder="1"/>
    <xf numFmtId="0" fontId="66" fillId="11" borderId="21" xfId="12" applyFont="1" applyFill="1" applyBorder="1" applyAlignment="1">
      <alignment horizontal="right"/>
    </xf>
    <xf numFmtId="203" fontId="66" fillId="11" borderId="1" xfId="12" applyNumberFormat="1" applyFont="1" applyFill="1" applyBorder="1"/>
    <xf numFmtId="203" fontId="66" fillId="11" borderId="2" xfId="12" applyNumberFormat="1" applyFont="1" applyFill="1" applyBorder="1"/>
    <xf numFmtId="0" fontId="73" fillId="0" borderId="26" xfId="12" applyFont="1" applyBorder="1"/>
    <xf numFmtId="0" fontId="66" fillId="0" borderId="44" xfId="12" applyFont="1" applyBorder="1" applyAlignment="1">
      <alignment horizontal="right"/>
    </xf>
    <xf numFmtId="0" fontId="66" fillId="9" borderId="27" xfId="12" applyFont="1" applyFill="1" applyBorder="1"/>
    <xf numFmtId="0" fontId="67" fillId="28" borderId="0" xfId="12" applyFont="1" applyFill="1" applyAlignment="1">
      <alignment horizontal="center"/>
    </xf>
    <xf numFmtId="0" fontId="67" fillId="0" borderId="30" xfId="12" applyFont="1" applyBorder="1"/>
    <xf numFmtId="0" fontId="66" fillId="0" borderId="9" xfId="12" applyFont="1" applyBorder="1" applyAlignment="1">
      <alignment horizontal="right"/>
    </xf>
    <xf numFmtId="0" fontId="66" fillId="0" borderId="28" xfId="12" applyFont="1" applyBorder="1"/>
    <xf numFmtId="207" fontId="66" fillId="29" borderId="56" xfId="12" applyNumberFormat="1" applyFont="1" applyFill="1" applyBorder="1" applyAlignment="1">
      <alignment horizontal="right"/>
    </xf>
    <xf numFmtId="204" fontId="66" fillId="14" borderId="56" xfId="12" applyNumberFormat="1" applyFont="1" applyFill="1" applyBorder="1"/>
    <xf numFmtId="179" fontId="66" fillId="29" borderId="56" xfId="12" applyNumberFormat="1" applyFont="1" applyFill="1" applyBorder="1" applyAlignment="1">
      <alignment horizontal="right"/>
    </xf>
    <xf numFmtId="204" fontId="66" fillId="0" borderId="29" xfId="12" applyNumberFormat="1" applyFont="1" applyBorder="1"/>
    <xf numFmtId="0" fontId="67" fillId="0" borderId="57" xfId="12" applyFont="1" applyBorder="1"/>
    <xf numFmtId="0" fontId="66" fillId="14" borderId="28" xfId="12" applyFont="1" applyFill="1" applyBorder="1"/>
    <xf numFmtId="0" fontId="67" fillId="14" borderId="0" xfId="12" applyFont="1" applyFill="1"/>
    <xf numFmtId="0" fontId="71" fillId="29" borderId="0" xfId="12" applyFont="1" applyFill="1" applyAlignment="1">
      <alignment horizontal="right"/>
    </xf>
    <xf numFmtId="0" fontId="71" fillId="29" borderId="0" xfId="12" applyFont="1" applyFill="1" applyAlignment="1">
      <alignment horizontal="center"/>
    </xf>
    <xf numFmtId="0" fontId="66" fillId="29" borderId="0" xfId="12" applyFont="1" applyFill="1" applyAlignment="1">
      <alignment horizontal="center"/>
    </xf>
    <xf numFmtId="9" fontId="67" fillId="0" borderId="0" xfId="12" applyNumberFormat="1" applyFont="1" applyAlignment="1">
      <alignment horizontal="left"/>
    </xf>
    <xf numFmtId="0" fontId="67" fillId="0" borderId="24" xfId="12" applyFont="1" applyBorder="1"/>
    <xf numFmtId="0" fontId="67" fillId="0" borderId="28" xfId="12" applyFont="1" applyBorder="1"/>
    <xf numFmtId="203" fontId="74" fillId="14" borderId="0" xfId="12" applyNumberFormat="1" applyFont="1" applyFill="1" applyAlignment="1">
      <alignment horizontal="center"/>
    </xf>
    <xf numFmtId="0" fontId="67" fillId="0" borderId="0" xfId="12" applyFont="1" applyAlignment="1">
      <alignment horizontal="left"/>
    </xf>
    <xf numFmtId="203" fontId="67" fillId="6" borderId="0" xfId="12" applyNumberFormat="1" applyFont="1" applyFill="1" applyAlignment="1">
      <alignment horizontal="center"/>
    </xf>
    <xf numFmtId="10" fontId="67" fillId="0" borderId="0" xfId="13" applyNumberFormat="1" applyFont="1" applyAlignment="1">
      <alignment horizontal="center"/>
    </xf>
    <xf numFmtId="10" fontId="67" fillId="0" borderId="57" xfId="13" applyNumberFormat="1" applyFont="1" applyBorder="1"/>
    <xf numFmtId="10" fontId="67" fillId="6" borderId="0" xfId="13" applyNumberFormat="1" applyFont="1" applyFill="1" applyAlignment="1">
      <alignment horizontal="left"/>
    </xf>
    <xf numFmtId="0" fontId="77" fillId="30" borderId="0" xfId="4" applyFont="1" applyFill="1"/>
    <xf numFmtId="0" fontId="77" fillId="30" borderId="0" xfId="4" applyFont="1" applyFill="1" applyAlignment="1">
      <alignment horizontal="center"/>
    </xf>
    <xf numFmtId="0" fontId="76" fillId="0" borderId="0" xfId="4" applyFont="1" applyAlignment="1">
      <alignment horizontal="center"/>
    </xf>
    <xf numFmtId="0" fontId="76" fillId="0" borderId="0" xfId="4" applyFont="1"/>
    <xf numFmtId="0" fontId="76" fillId="6" borderId="0" xfId="4" applyFont="1" applyFill="1"/>
    <xf numFmtId="208" fontId="76" fillId="6" borderId="0" xfId="4" applyNumberFormat="1" applyFont="1" applyFill="1" applyAlignment="1">
      <alignment horizontal="left"/>
    </xf>
    <xf numFmtId="208" fontId="76" fillId="0" borderId="0" xfId="13" applyNumberFormat="1" applyFont="1"/>
    <xf numFmtId="3" fontId="76" fillId="0" borderId="0" xfId="15" applyNumberFormat="1" applyFont="1" applyAlignment="1">
      <alignment horizontal="center"/>
    </xf>
    <xf numFmtId="3" fontId="76" fillId="0" borderId="0" xfId="15" applyNumberFormat="1" applyFont="1" applyAlignment="1">
      <alignment horizontal="left"/>
    </xf>
    <xf numFmtId="3" fontId="76" fillId="6" borderId="0" xfId="15" applyNumberFormat="1" applyFont="1" applyFill="1" applyAlignment="1">
      <alignment horizontal="left"/>
    </xf>
    <xf numFmtId="166" fontId="76" fillId="6" borderId="0" xfId="13" applyNumberFormat="1" applyFont="1" applyFill="1" applyAlignment="1">
      <alignment horizontal="left"/>
    </xf>
    <xf numFmtId="0" fontId="77" fillId="16" borderId="0" xfId="4" applyFont="1" applyFill="1"/>
    <xf numFmtId="0" fontId="77" fillId="16" borderId="0" xfId="4" applyFont="1" applyFill="1" applyAlignment="1">
      <alignment horizontal="center"/>
    </xf>
    <xf numFmtId="180" fontId="76" fillId="0" borderId="0" xfId="15" applyNumberFormat="1" applyFont="1" applyFill="1" applyAlignment="1">
      <alignment horizontal="left"/>
    </xf>
    <xf numFmtId="209" fontId="76" fillId="6" borderId="0" xfId="13" applyNumberFormat="1" applyFont="1" applyFill="1" applyAlignment="1">
      <alignment horizontal="left"/>
    </xf>
    <xf numFmtId="179" fontId="67" fillId="0" borderId="0" xfId="12" applyNumberFormat="1" applyFont="1" applyAlignment="1">
      <alignment horizontal="center"/>
    </xf>
    <xf numFmtId="203" fontId="71" fillId="14" borderId="0" xfId="12" applyNumberFormat="1" applyFont="1" applyFill="1" applyAlignment="1">
      <alignment horizontal="center"/>
    </xf>
    <xf numFmtId="10" fontId="76" fillId="6" borderId="0" xfId="13" applyNumberFormat="1" applyFont="1" applyFill="1" applyAlignment="1">
      <alignment horizontal="left"/>
    </xf>
    <xf numFmtId="0" fontId="71" fillId="0" borderId="17" xfId="12" applyFont="1" applyBorder="1" applyAlignment="1">
      <alignment horizontal="right"/>
    </xf>
    <xf numFmtId="0" fontId="77" fillId="16" borderId="0" xfId="4" applyFont="1" applyFill="1" applyAlignment="1">
      <alignment horizontal="center" vertical="center"/>
    </xf>
    <xf numFmtId="0" fontId="78" fillId="0" borderId="0" xfId="12" applyFont="1"/>
    <xf numFmtId="10" fontId="66" fillId="14" borderId="18" xfId="12" applyNumberFormat="1" applyFont="1" applyFill="1" applyBorder="1" applyAlignment="1">
      <alignment horizontal="center"/>
    </xf>
    <xf numFmtId="3" fontId="76" fillId="6" borderId="0" xfId="15" applyNumberFormat="1" applyFont="1" applyFill="1" applyAlignment="1">
      <alignment horizontal="center" vertical="center"/>
    </xf>
    <xf numFmtId="6" fontId="66" fillId="14" borderId="18" xfId="12" applyNumberFormat="1" applyFont="1" applyFill="1" applyBorder="1"/>
    <xf numFmtId="6" fontId="79" fillId="0" borderId="0" xfId="12" applyNumberFormat="1" applyFont="1"/>
    <xf numFmtId="6" fontId="80" fillId="14" borderId="18" xfId="12" applyNumberFormat="1" applyFont="1" applyFill="1" applyBorder="1"/>
    <xf numFmtId="0" fontId="79" fillId="0" borderId="0" xfId="12" applyFont="1"/>
    <xf numFmtId="180" fontId="78" fillId="0" borderId="0" xfId="12" applyNumberFormat="1" applyFont="1"/>
    <xf numFmtId="0" fontId="66" fillId="11" borderId="18" xfId="12" applyFont="1" applyFill="1" applyBorder="1" applyAlignment="1">
      <alignment horizontal="center"/>
    </xf>
    <xf numFmtId="201" fontId="67" fillId="0" borderId="0" xfId="12" applyNumberFormat="1" applyFont="1" applyAlignment="1">
      <alignment horizontal="center"/>
    </xf>
    <xf numFmtId="166" fontId="76" fillId="0" borderId="0" xfId="13" applyNumberFormat="1" applyFont="1" applyFill="1" applyAlignment="1">
      <alignment horizontal="center"/>
    </xf>
    <xf numFmtId="0" fontId="71" fillId="29" borderId="26" xfId="12" applyFont="1" applyFill="1" applyBorder="1"/>
    <xf numFmtId="179" fontId="71" fillId="29" borderId="27" xfId="12" applyNumberFormat="1" applyFont="1" applyFill="1" applyBorder="1" applyAlignment="1">
      <alignment horizontal="center"/>
    </xf>
    <xf numFmtId="0" fontId="71" fillId="29" borderId="28" xfId="12" applyFont="1" applyFill="1" applyBorder="1"/>
    <xf numFmtId="179" fontId="71" fillId="29" borderId="29" xfId="12" applyNumberFormat="1" applyFont="1" applyFill="1" applyBorder="1" applyAlignment="1">
      <alignment horizontal="center"/>
    </xf>
    <xf numFmtId="0" fontId="81" fillId="6" borderId="0" xfId="4" applyFont="1" applyFill="1"/>
    <xf numFmtId="3" fontId="81" fillId="6" borderId="0" xfId="15" applyNumberFormat="1" applyFont="1" applyFill="1" applyAlignment="1">
      <alignment horizontal="center"/>
    </xf>
    <xf numFmtId="0" fontId="71" fillId="29" borderId="30" xfId="12" applyFont="1" applyFill="1" applyBorder="1"/>
    <xf numFmtId="179" fontId="71" fillId="29" borderId="31" xfId="12" applyNumberFormat="1" applyFont="1" applyFill="1" applyBorder="1" applyAlignment="1">
      <alignment horizontal="center"/>
    </xf>
    <xf numFmtId="0" fontId="67" fillId="4" borderId="0" xfId="12" applyFont="1" applyFill="1" applyAlignment="1">
      <alignment horizontal="center"/>
    </xf>
    <xf numFmtId="165" fontId="67" fillId="4" borderId="0" xfId="15" applyFont="1" applyFill="1" applyAlignment="1">
      <alignment horizontal="center"/>
    </xf>
    <xf numFmtId="166" fontId="67" fillId="0" borderId="0" xfId="13" applyNumberFormat="1" applyFont="1"/>
    <xf numFmtId="0" fontId="76" fillId="0" borderId="0" xfId="4" applyFont="1" applyAlignment="1">
      <alignment horizontal="center" vertical="center"/>
    </xf>
    <xf numFmtId="0" fontId="82" fillId="0" borderId="0" xfId="4" applyFont="1"/>
    <xf numFmtId="180" fontId="76" fillId="0" borderId="0" xfId="4" applyNumberFormat="1" applyFont="1"/>
    <xf numFmtId="180" fontId="82" fillId="0" borderId="0" xfId="15" applyNumberFormat="1" applyFont="1"/>
    <xf numFmtId="180" fontId="82" fillId="0" borderId="0" xfId="4" applyNumberFormat="1" applyFont="1"/>
    <xf numFmtId="180" fontId="82" fillId="32" borderId="0" xfId="15" applyNumberFormat="1" applyFont="1" applyFill="1"/>
    <xf numFmtId="180" fontId="76" fillId="0" borderId="0" xfId="15" applyNumberFormat="1" applyFont="1"/>
    <xf numFmtId="0" fontId="76" fillId="4" borderId="0" xfId="4" applyFont="1" applyFill="1"/>
    <xf numFmtId="9" fontId="76" fillId="0" borderId="0" xfId="13" applyFont="1"/>
    <xf numFmtId="180" fontId="76" fillId="4" borderId="0" xfId="4" applyNumberFormat="1" applyFont="1" applyFill="1"/>
    <xf numFmtId="180" fontId="76" fillId="29" borderId="0" xfId="4" applyNumberFormat="1" applyFont="1" applyFill="1"/>
    <xf numFmtId="0" fontId="76" fillId="29" borderId="0" xfId="4" applyFont="1" applyFill="1"/>
    <xf numFmtId="178" fontId="76" fillId="29" borderId="0" xfId="4" applyNumberFormat="1" applyFont="1" applyFill="1"/>
    <xf numFmtId="178" fontId="76" fillId="0" borderId="0" xfId="4" applyNumberFormat="1" applyFont="1"/>
    <xf numFmtId="180" fontId="77" fillId="30" borderId="0" xfId="4" applyNumberFormat="1" applyFont="1" applyFill="1"/>
    <xf numFmtId="10" fontId="76" fillId="0" borderId="0" xfId="17" applyNumberFormat="1" applyFont="1"/>
    <xf numFmtId="0" fontId="77" fillId="30" borderId="19" xfId="4" applyFont="1" applyFill="1" applyBorder="1"/>
    <xf numFmtId="0" fontId="76" fillId="0" borderId="4" xfId="4" applyFont="1" applyBorder="1"/>
    <xf numFmtId="0" fontId="76" fillId="0" borderId="5" xfId="4" applyFont="1" applyBorder="1"/>
    <xf numFmtId="0" fontId="77" fillId="0" borderId="20" xfId="4" applyFont="1" applyBorder="1"/>
    <xf numFmtId="0" fontId="76" fillId="0" borderId="3" xfId="4" applyFont="1" applyBorder="1"/>
    <xf numFmtId="0" fontId="77" fillId="30" borderId="20" xfId="4" applyFont="1" applyFill="1" applyBorder="1"/>
    <xf numFmtId="0" fontId="76" fillId="0" borderId="20" xfId="4" applyFont="1" applyBorder="1"/>
    <xf numFmtId="9" fontId="76" fillId="29" borderId="0" xfId="4" applyNumberFormat="1" applyFont="1" applyFill="1"/>
    <xf numFmtId="180" fontId="76" fillId="0" borderId="3" xfId="4" applyNumberFormat="1" applyFont="1" applyBorder="1"/>
    <xf numFmtId="210" fontId="76" fillId="0" borderId="0" xfId="4" applyNumberFormat="1" applyFont="1"/>
    <xf numFmtId="0" fontId="76" fillId="0" borderId="21" xfId="4" applyFont="1" applyBorder="1"/>
    <xf numFmtId="0" fontId="76" fillId="0" borderId="1" xfId="4" applyFont="1" applyBorder="1"/>
    <xf numFmtId="180" fontId="76" fillId="0" borderId="1" xfId="4" applyNumberFormat="1" applyFont="1" applyBorder="1"/>
    <xf numFmtId="180" fontId="76" fillId="0" borderId="2" xfId="4" applyNumberFormat="1" applyFont="1" applyBorder="1"/>
    <xf numFmtId="180" fontId="77" fillId="0" borderId="0" xfId="4" applyNumberFormat="1" applyFont="1"/>
    <xf numFmtId="0" fontId="77" fillId="30" borderId="0" xfId="4" applyFont="1" applyFill="1" applyAlignment="1">
      <alignment horizontal="left"/>
    </xf>
    <xf numFmtId="0" fontId="77" fillId="0" borderId="0" xfId="4" applyFont="1"/>
    <xf numFmtId="10" fontId="76" fillId="4" borderId="0" xfId="13" applyNumberFormat="1" applyFont="1" applyFill="1" applyAlignment="1">
      <alignment horizontal="left"/>
    </xf>
    <xf numFmtId="0" fontId="76" fillId="4" borderId="0" xfId="4" applyFont="1" applyFill="1" applyAlignment="1">
      <alignment horizontal="left"/>
    </xf>
    <xf numFmtId="0" fontId="76" fillId="4" borderId="0" xfId="4" applyFont="1" applyFill="1" applyAlignment="1">
      <alignment horizontal="center"/>
    </xf>
    <xf numFmtId="0" fontId="77" fillId="5" borderId="0" xfId="4" applyFont="1" applyFill="1"/>
    <xf numFmtId="10" fontId="77" fillId="5" borderId="0" xfId="13" applyNumberFormat="1" applyFont="1" applyFill="1" applyAlignment="1">
      <alignment horizontal="left"/>
    </xf>
    <xf numFmtId="10" fontId="76" fillId="0" borderId="0" xfId="13" applyNumberFormat="1" applyFont="1"/>
    <xf numFmtId="9" fontId="76" fillId="0" borderId="0" xfId="4" applyNumberFormat="1" applyFont="1"/>
    <xf numFmtId="0" fontId="83" fillId="0" borderId="0" xfId="0" applyFont="1" applyAlignment="1">
      <alignment vertical="center" wrapText="1"/>
    </xf>
    <xf numFmtId="0" fontId="0" fillId="0" borderId="0" xfId="0" applyAlignment="1">
      <alignment wrapText="1"/>
    </xf>
    <xf numFmtId="0" fontId="84" fillId="0" borderId="0" xfId="0" applyFont="1" applyAlignment="1">
      <alignment vertical="center" wrapText="1"/>
    </xf>
    <xf numFmtId="0" fontId="85" fillId="0" borderId="0" xfId="0" applyFont="1" applyAlignment="1">
      <alignment vertical="center" wrapText="1"/>
    </xf>
    <xf numFmtId="0" fontId="19" fillId="0" borderId="0" xfId="5" applyAlignment="1">
      <alignment vertical="center" wrapText="1"/>
    </xf>
    <xf numFmtId="0" fontId="2" fillId="15" borderId="0" xfId="0" applyFont="1" applyFill="1" applyAlignment="1" applyProtection="1">
      <alignment horizontal="right"/>
      <protection hidden="1"/>
    </xf>
    <xf numFmtId="167" fontId="0" fillId="0" borderId="0" xfId="0" applyNumberFormat="1" applyAlignment="1" applyProtection="1">
      <alignment horizontal="right"/>
      <protection hidden="1"/>
    </xf>
    <xf numFmtId="169" fontId="3" fillId="10" borderId="0" xfId="0" applyNumberFormat="1" applyFont="1" applyFill="1" applyProtection="1">
      <protection locked="0"/>
    </xf>
    <xf numFmtId="10" fontId="71" fillId="0" borderId="18" xfId="12" applyNumberFormat="1" applyFont="1" applyBorder="1" applyAlignment="1">
      <alignment horizontal="center"/>
    </xf>
    <xf numFmtId="0" fontId="48" fillId="0" borderId="61" xfId="14" applyBorder="1"/>
    <xf numFmtId="0" fontId="48" fillId="0" borderId="62" xfId="14" applyBorder="1"/>
    <xf numFmtId="0" fontId="48" fillId="34" borderId="58" xfId="14" applyFill="1" applyBorder="1" applyAlignment="1">
      <alignment horizontal="center"/>
    </xf>
    <xf numFmtId="0" fontId="48" fillId="0" borderId="63" xfId="14" applyBorder="1"/>
    <xf numFmtId="0" fontId="48" fillId="0" borderId="64" xfId="14" applyBorder="1"/>
    <xf numFmtId="0" fontId="90" fillId="0" borderId="58" xfId="14" applyFont="1" applyBorder="1"/>
    <xf numFmtId="0" fontId="48" fillId="0" borderId="24" xfId="14" applyBorder="1" applyAlignment="1">
      <alignment horizontal="center" vertical="center"/>
    </xf>
    <xf numFmtId="0" fontId="48" fillId="34" borderId="58" xfId="14" applyFill="1" applyBorder="1" applyAlignment="1">
      <alignment horizontal="left"/>
    </xf>
    <xf numFmtId="0" fontId="48" fillId="34" borderId="23" xfId="14" applyFill="1" applyBorder="1" applyAlignment="1">
      <alignment horizontal="center" vertical="center"/>
    </xf>
    <xf numFmtId="169" fontId="0" fillId="34" borderId="23" xfId="16" applyFont="1" applyFill="1" applyBorder="1" applyAlignment="1">
      <alignment horizontal="center" vertical="center"/>
    </xf>
    <xf numFmtId="169" fontId="0" fillId="0" borderId="61" xfId="16" applyFont="1" applyBorder="1"/>
    <xf numFmtId="0" fontId="48" fillId="0" borderId="58" xfId="14" applyBorder="1" applyAlignment="1">
      <alignment horizontal="left"/>
    </xf>
    <xf numFmtId="0" fontId="48" fillId="0" borderId="23" xfId="14" applyBorder="1" applyAlignment="1">
      <alignment horizontal="center" vertical="center"/>
    </xf>
    <xf numFmtId="169" fontId="0" fillId="0" borderId="23" xfId="16" applyFont="1" applyBorder="1" applyAlignment="1">
      <alignment horizontal="center" vertical="center"/>
    </xf>
    <xf numFmtId="0" fontId="48" fillId="0" borderId="25" xfId="14" applyBorder="1" applyAlignment="1">
      <alignment horizontal="center" vertical="center"/>
    </xf>
    <xf numFmtId="169" fontId="0" fillId="0" borderId="25" xfId="16" applyFont="1" applyBorder="1" applyAlignment="1">
      <alignment horizontal="center" vertical="center"/>
    </xf>
    <xf numFmtId="0" fontId="48" fillId="0" borderId="60" xfId="14" applyBorder="1"/>
    <xf numFmtId="0" fontId="48" fillId="34" borderId="61" xfId="14" applyFill="1" applyBorder="1" applyAlignment="1">
      <alignment horizontal="left"/>
    </xf>
    <xf numFmtId="0" fontId="48" fillId="12" borderId="0" xfId="14" applyFill="1"/>
    <xf numFmtId="169" fontId="48" fillId="0" borderId="61" xfId="14" applyNumberFormat="1" applyBorder="1"/>
    <xf numFmtId="44" fontId="48" fillId="0" borderId="61" xfId="14" applyNumberFormat="1" applyBorder="1"/>
    <xf numFmtId="0" fontId="48" fillId="0" borderId="68" xfId="14" applyBorder="1"/>
    <xf numFmtId="212" fontId="48" fillId="0" borderId="61" xfId="14" applyNumberFormat="1" applyBorder="1"/>
    <xf numFmtId="3" fontId="48" fillId="0" borderId="61" xfId="14" applyNumberFormat="1" applyBorder="1"/>
    <xf numFmtId="0" fontId="4" fillId="0" borderId="19" xfId="23" applyFont="1" applyBorder="1" applyAlignment="1">
      <alignment horizontal="left"/>
    </xf>
    <xf numFmtId="0" fontId="1" fillId="0" borderId="4" xfId="23" applyBorder="1" applyAlignment="1">
      <alignment horizontal="center"/>
    </xf>
    <xf numFmtId="0" fontId="1" fillId="0" borderId="4" xfId="23" applyBorder="1" applyAlignment="1">
      <alignment horizontal="left"/>
    </xf>
    <xf numFmtId="43" fontId="0" fillId="0" borderId="4" xfId="24" applyFont="1" applyFill="1" applyBorder="1" applyAlignment="1">
      <alignment horizontal="left"/>
    </xf>
    <xf numFmtId="43" fontId="0" fillId="0" borderId="5" xfId="24" applyFont="1" applyFill="1" applyBorder="1" applyAlignment="1">
      <alignment horizontal="left"/>
    </xf>
    <xf numFmtId="0" fontId="1" fillId="0" borderId="0" xfId="23" applyAlignment="1">
      <alignment vertical="center"/>
    </xf>
    <xf numFmtId="0" fontId="1" fillId="0" borderId="19" xfId="23" applyBorder="1" applyAlignment="1">
      <alignment vertical="center"/>
    </xf>
    <xf numFmtId="0" fontId="1" fillId="0" borderId="4" xfId="23" applyBorder="1" applyAlignment="1">
      <alignment vertical="center"/>
    </xf>
    <xf numFmtId="0" fontId="1" fillId="0" borderId="5" xfId="23" applyBorder="1" applyAlignment="1">
      <alignment vertical="center"/>
    </xf>
    <xf numFmtId="10" fontId="1" fillId="0" borderId="0" xfId="17" applyNumberFormat="1" applyFont="1" applyAlignment="1">
      <alignment vertical="center"/>
    </xf>
    <xf numFmtId="0" fontId="4" fillId="0" borderId="20" xfId="23" applyFont="1" applyBorder="1" applyAlignment="1">
      <alignment horizontal="left"/>
    </xf>
    <xf numFmtId="44" fontId="0" fillId="0" borderId="0" xfId="25" applyFont="1" applyFill="1" applyBorder="1" applyAlignment="1"/>
    <xf numFmtId="0" fontId="1" fillId="0" borderId="0" xfId="23" applyAlignment="1">
      <alignment horizontal="left"/>
    </xf>
    <xf numFmtId="43" fontId="0" fillId="0" borderId="0" xfId="24" applyFont="1" applyFill="1" applyBorder="1" applyAlignment="1">
      <alignment horizontal="left"/>
    </xf>
    <xf numFmtId="43" fontId="0" fillId="0" borderId="3" xfId="24" applyFont="1" applyFill="1" applyBorder="1" applyAlignment="1">
      <alignment horizontal="left"/>
    </xf>
    <xf numFmtId="0" fontId="1" fillId="0" borderId="23" xfId="23" applyBorder="1" applyAlignment="1">
      <alignment vertical="center"/>
    </xf>
    <xf numFmtId="0" fontId="1" fillId="0" borderId="3" xfId="23" applyBorder="1" applyAlignment="1">
      <alignment vertical="center"/>
    </xf>
    <xf numFmtId="1" fontId="1" fillId="0" borderId="0" xfId="23" applyNumberFormat="1" applyAlignment="1">
      <alignment horizontal="center" vertical="center"/>
    </xf>
    <xf numFmtId="1" fontId="1" fillId="0" borderId="0" xfId="23" applyNumberFormat="1" applyAlignment="1">
      <alignment vertical="center"/>
    </xf>
    <xf numFmtId="43" fontId="0" fillId="0" borderId="0" xfId="24" applyFont="1" applyAlignment="1">
      <alignment horizontal="right" vertical="center"/>
    </xf>
    <xf numFmtId="43" fontId="0" fillId="0" borderId="2" xfId="24" applyFont="1" applyBorder="1" applyAlignment="1">
      <alignment horizontal="right" vertical="center"/>
    </xf>
    <xf numFmtId="0" fontId="1" fillId="0" borderId="2" xfId="23" applyBorder="1" applyAlignment="1">
      <alignment vertical="center"/>
    </xf>
    <xf numFmtId="0" fontId="4" fillId="14" borderId="17" xfId="23" applyFont="1" applyFill="1" applyBorder="1" applyAlignment="1">
      <alignment horizontal="center" vertical="center"/>
    </xf>
    <xf numFmtId="0" fontId="4" fillId="14" borderId="16" xfId="23" applyFont="1" applyFill="1" applyBorder="1" applyAlignment="1">
      <alignment horizontal="center" vertical="center"/>
    </xf>
    <xf numFmtId="43" fontId="4" fillId="14" borderId="16" xfId="24" applyFont="1" applyFill="1" applyBorder="1" applyAlignment="1">
      <alignment horizontal="center" vertical="center"/>
    </xf>
    <xf numFmtId="43" fontId="4" fillId="14" borderId="18" xfId="24" applyFont="1" applyFill="1" applyBorder="1" applyAlignment="1">
      <alignment horizontal="center" vertical="center"/>
    </xf>
    <xf numFmtId="169" fontId="1" fillId="0" borderId="0" xfId="16" applyFont="1" applyAlignment="1">
      <alignment vertical="center"/>
    </xf>
    <xf numFmtId="17" fontId="1" fillId="0" borderId="20" xfId="23" quotePrefix="1" applyNumberFormat="1" applyBorder="1" applyAlignment="1">
      <alignment horizontal="center"/>
    </xf>
    <xf numFmtId="43" fontId="1" fillId="0" borderId="0" xfId="23" applyNumberFormat="1"/>
    <xf numFmtId="43" fontId="0" fillId="0" borderId="0" xfId="24" quotePrefix="1" applyFont="1" applyBorder="1" applyAlignment="1"/>
    <xf numFmtId="10" fontId="0" fillId="0" borderId="0" xfId="26" applyNumberFormat="1" applyFont="1" applyBorder="1"/>
    <xf numFmtId="10" fontId="0" fillId="0" borderId="3" xfId="24" applyNumberFormat="1" applyFont="1" applyBorder="1"/>
    <xf numFmtId="0" fontId="1" fillId="0" borderId="20" xfId="23" applyBorder="1" applyAlignment="1">
      <alignment vertical="center"/>
    </xf>
    <xf numFmtId="43" fontId="1" fillId="0" borderId="0" xfId="23" applyNumberFormat="1" applyAlignment="1">
      <alignment vertical="center"/>
    </xf>
    <xf numFmtId="10" fontId="0" fillId="0" borderId="3" xfId="26" applyNumberFormat="1" applyFont="1" applyBorder="1"/>
    <xf numFmtId="8" fontId="1" fillId="0" borderId="20" xfId="23" applyNumberFormat="1" applyBorder="1" applyAlignment="1">
      <alignment vertical="center"/>
    </xf>
    <xf numFmtId="8" fontId="1" fillId="0" borderId="0" xfId="23" applyNumberFormat="1" applyAlignment="1">
      <alignment vertical="center"/>
    </xf>
    <xf numFmtId="8" fontId="1" fillId="0" borderId="3" xfId="23" applyNumberFormat="1" applyBorder="1" applyAlignment="1">
      <alignment vertical="center"/>
    </xf>
    <xf numFmtId="43" fontId="0" fillId="0" borderId="0" xfId="24" quotePrefix="1" applyFont="1" applyFill="1" applyBorder="1" applyAlignment="1"/>
    <xf numFmtId="10" fontId="0" fillId="0" borderId="0" xfId="26" applyNumberFormat="1" applyFont="1" applyFill="1" applyBorder="1"/>
    <xf numFmtId="10" fontId="0" fillId="0" borderId="3" xfId="26" applyNumberFormat="1" applyFont="1" applyFill="1" applyBorder="1"/>
    <xf numFmtId="17" fontId="1" fillId="0" borderId="21" xfId="23" quotePrefix="1" applyNumberFormat="1" applyBorder="1" applyAlignment="1">
      <alignment horizontal="center"/>
    </xf>
    <xf numFmtId="43" fontId="1" fillId="0" borderId="1" xfId="23" applyNumberFormat="1" applyBorder="1"/>
    <xf numFmtId="43" fontId="0" fillId="0" borderId="1" xfId="24" quotePrefix="1" applyFont="1" applyFill="1" applyBorder="1" applyAlignment="1"/>
    <xf numFmtId="10" fontId="0" fillId="0" borderId="1" xfId="26" applyNumberFormat="1" applyFont="1" applyFill="1" applyBorder="1"/>
    <xf numFmtId="10" fontId="0" fillId="0" borderId="2" xfId="26" applyNumberFormat="1" applyFont="1" applyFill="1" applyBorder="1"/>
    <xf numFmtId="0" fontId="1" fillId="0" borderId="21" xfId="23" applyBorder="1" applyAlignment="1">
      <alignment vertical="center"/>
    </xf>
    <xf numFmtId="8" fontId="1" fillId="0" borderId="1" xfId="23" applyNumberFormat="1" applyBorder="1" applyAlignment="1">
      <alignment vertical="center"/>
    </xf>
    <xf numFmtId="0" fontId="1" fillId="0" borderId="1" xfId="23" applyBorder="1" applyAlignment="1">
      <alignment vertical="center"/>
    </xf>
    <xf numFmtId="0" fontId="1" fillId="0" borderId="0" xfId="23" quotePrefix="1" applyAlignment="1">
      <alignment horizontal="center"/>
    </xf>
    <xf numFmtId="0" fontId="1" fillId="0" borderId="0" xfId="23" quotePrefix="1"/>
    <xf numFmtId="43" fontId="0" fillId="0" borderId="0" xfId="24" applyFont="1" applyFill="1" applyBorder="1"/>
    <xf numFmtId="0" fontId="1" fillId="0" borderId="20" xfId="23" quotePrefix="1" applyBorder="1" applyAlignment="1">
      <alignment horizontal="center"/>
    </xf>
    <xf numFmtId="1" fontId="1" fillId="0" borderId="20" xfId="23" applyNumberFormat="1" applyBorder="1" applyAlignment="1">
      <alignment horizontal="center" vertical="center"/>
    </xf>
    <xf numFmtId="43" fontId="0" fillId="0" borderId="0" xfId="24" applyFont="1" applyBorder="1" applyAlignment="1">
      <alignment horizontal="right" vertical="center"/>
    </xf>
    <xf numFmtId="43" fontId="3" fillId="0" borderId="0" xfId="24" applyFont="1" applyBorder="1" applyAlignment="1">
      <alignment horizontal="right" vertical="center"/>
    </xf>
    <xf numFmtId="1" fontId="1" fillId="0" borderId="21" xfId="23" applyNumberFormat="1" applyBorder="1" applyAlignment="1">
      <alignment horizontal="center" vertical="center"/>
    </xf>
    <xf numFmtId="1" fontId="1" fillId="0" borderId="1" xfId="23" applyNumberFormat="1" applyBorder="1" applyAlignment="1">
      <alignment vertical="center"/>
    </xf>
    <xf numFmtId="43" fontId="3" fillId="0" borderId="1" xfId="24" applyFont="1" applyBorder="1" applyAlignment="1">
      <alignment horizontal="right" vertical="center"/>
    </xf>
    <xf numFmtId="3" fontId="66" fillId="14" borderId="22" xfId="12" applyNumberFormat="1" applyFont="1" applyFill="1" applyBorder="1" applyAlignment="1">
      <alignment horizontal="center"/>
    </xf>
    <xf numFmtId="0" fontId="91" fillId="0" borderId="0" xfId="4" applyFont="1" applyAlignment="1">
      <alignment horizontal="left" vertical="center"/>
    </xf>
    <xf numFmtId="10" fontId="92" fillId="0" borderId="0" xfId="4" applyNumberFormat="1" applyFont="1" applyAlignment="1">
      <alignment horizontal="right" vertical="center"/>
    </xf>
    <xf numFmtId="0" fontId="16" fillId="0" borderId="0" xfId="4" applyAlignment="1">
      <alignment horizontal="center" vertical="center"/>
    </xf>
    <xf numFmtId="0" fontId="16" fillId="0" borderId="0" xfId="4"/>
    <xf numFmtId="10" fontId="93" fillId="0" borderId="0" xfId="4" applyNumberFormat="1" applyFont="1" applyAlignment="1">
      <alignment horizontal="right" vertical="center"/>
    </xf>
    <xf numFmtId="0" fontId="94" fillId="0" borderId="0" xfId="4" applyFont="1" applyAlignment="1">
      <alignment horizontal="left" vertical="center"/>
    </xf>
    <xf numFmtId="4" fontId="92" fillId="0" borderId="0" xfId="4" applyNumberFormat="1" applyFont="1" applyAlignment="1">
      <alignment horizontal="right" vertical="center"/>
    </xf>
    <xf numFmtId="4" fontId="91" fillId="0" borderId="0" xfId="4" applyNumberFormat="1" applyFont="1" applyAlignment="1">
      <alignment horizontal="right" vertical="center"/>
    </xf>
    <xf numFmtId="0" fontId="18" fillId="0" borderId="0" xfId="4" applyFont="1" applyAlignment="1">
      <alignment horizontal="center"/>
    </xf>
    <xf numFmtId="0" fontId="95" fillId="35" borderId="0" xfId="4" applyFont="1" applyFill="1" applyAlignment="1">
      <alignment horizontal="center" vertical="center"/>
    </xf>
    <xf numFmtId="0" fontId="91" fillId="33" borderId="0" xfId="4" applyFont="1" applyFill="1" applyAlignment="1">
      <alignment horizontal="left" vertical="center"/>
    </xf>
    <xf numFmtId="10" fontId="91" fillId="33" borderId="0" xfId="4" applyNumberFormat="1" applyFont="1" applyFill="1" applyAlignment="1">
      <alignment horizontal="right" vertical="center"/>
    </xf>
    <xf numFmtId="4" fontId="16" fillId="0" borderId="0" xfId="4" applyNumberFormat="1" applyAlignment="1">
      <alignment horizontal="center" vertical="center"/>
    </xf>
    <xf numFmtId="213" fontId="18" fillId="35" borderId="0" xfId="4" applyNumberFormat="1" applyFont="1" applyFill="1" applyAlignment="1">
      <alignment horizontal="center"/>
    </xf>
    <xf numFmtId="0" fontId="18" fillId="35" borderId="0" xfId="4" applyFont="1" applyFill="1"/>
    <xf numFmtId="0" fontId="16" fillId="0" borderId="0" xfId="4" applyAlignment="1">
      <alignment horizontal="center"/>
    </xf>
    <xf numFmtId="214" fontId="18" fillId="35" borderId="0" xfId="4" applyNumberFormat="1" applyFont="1" applyFill="1" applyAlignment="1">
      <alignment horizontal="center"/>
    </xf>
    <xf numFmtId="214" fontId="16" fillId="0" borderId="0" xfId="4" applyNumberFormat="1" applyAlignment="1">
      <alignment horizontal="center"/>
    </xf>
    <xf numFmtId="0" fontId="97" fillId="0" borderId="0" xfId="4" applyFont="1"/>
    <xf numFmtId="4" fontId="91" fillId="4" borderId="0" xfId="4" applyNumberFormat="1" applyFont="1" applyFill="1" applyAlignment="1">
      <alignment horizontal="right" vertical="center"/>
    </xf>
    <xf numFmtId="166" fontId="16" fillId="0" borderId="0" xfId="4" applyNumberFormat="1" applyAlignment="1">
      <alignment horizontal="center"/>
    </xf>
    <xf numFmtId="0" fontId="91" fillId="35" borderId="0" xfId="4" applyFont="1" applyFill="1" applyAlignment="1">
      <alignment horizontal="center" vertical="center"/>
    </xf>
    <xf numFmtId="0" fontId="91" fillId="0" borderId="0" xfId="4" applyFont="1" applyAlignment="1">
      <alignment horizontal="center" vertical="center" wrapText="1"/>
    </xf>
    <xf numFmtId="0" fontId="91" fillId="0" borderId="0" xfId="4" applyFont="1" applyAlignment="1">
      <alignment horizontal="center" vertical="center"/>
    </xf>
    <xf numFmtId="0" fontId="98" fillId="36" borderId="0" xfId="4" applyFont="1" applyFill="1" applyAlignment="1">
      <alignment horizontal="center"/>
    </xf>
    <xf numFmtId="0" fontId="91" fillId="33" borderId="0" xfId="4" applyFont="1" applyFill="1" applyAlignment="1">
      <alignment horizontal="center" vertical="center"/>
    </xf>
    <xf numFmtId="10" fontId="91" fillId="0" borderId="0" xfId="4" applyNumberFormat="1" applyFont="1" applyAlignment="1">
      <alignment horizontal="center" vertical="center"/>
    </xf>
    <xf numFmtId="0" fontId="16" fillId="0" borderId="0" xfId="4" applyAlignment="1">
      <alignment wrapText="1"/>
    </xf>
    <xf numFmtId="0" fontId="98" fillId="17" borderId="0" xfId="4" applyFont="1" applyFill="1" applyAlignment="1">
      <alignment horizontal="center" vertical="center" wrapText="1"/>
    </xf>
    <xf numFmtId="0" fontId="91" fillId="0" borderId="0" xfId="4" applyFont="1"/>
    <xf numFmtId="17" fontId="100" fillId="0" borderId="0" xfId="4" applyNumberFormat="1" applyFont="1" applyAlignment="1">
      <alignment horizontal="center" vertical="center"/>
    </xf>
    <xf numFmtId="3" fontId="91" fillId="0" borderId="0" xfId="4" applyNumberFormat="1" applyFont="1" applyAlignment="1">
      <alignment horizontal="center" vertical="center"/>
    </xf>
    <xf numFmtId="3" fontId="91" fillId="0" borderId="0" xfId="4" applyNumberFormat="1" applyFont="1" applyAlignment="1">
      <alignment horizontal="center"/>
    </xf>
    <xf numFmtId="3" fontId="16" fillId="0" borderId="0" xfId="4" applyNumberFormat="1" applyAlignment="1">
      <alignment horizontal="center"/>
    </xf>
    <xf numFmtId="17" fontId="91" fillId="0" borderId="0" xfId="4" applyNumberFormat="1" applyFont="1" applyAlignment="1">
      <alignment horizontal="center" vertical="center"/>
    </xf>
    <xf numFmtId="3" fontId="100" fillId="35" borderId="0" xfId="4" applyNumberFormat="1" applyFont="1" applyFill="1" applyAlignment="1">
      <alignment horizontal="center" vertical="center"/>
    </xf>
    <xf numFmtId="3" fontId="91" fillId="35" borderId="0" xfId="4" applyNumberFormat="1" applyFont="1" applyFill="1" applyAlignment="1">
      <alignment horizontal="center" vertical="center"/>
    </xf>
    <xf numFmtId="9" fontId="91" fillId="0" borderId="0" xfId="4" applyNumberFormat="1" applyFont="1" applyAlignment="1">
      <alignment horizontal="center" vertical="center"/>
    </xf>
    <xf numFmtId="0" fontId="16" fillId="0" borderId="0" xfId="4" applyAlignment="1">
      <alignment horizontal="right"/>
    </xf>
    <xf numFmtId="17" fontId="91" fillId="0" borderId="1" xfId="4" applyNumberFormat="1" applyFont="1" applyBorder="1" applyAlignment="1">
      <alignment horizontal="center" vertical="center"/>
    </xf>
    <xf numFmtId="3" fontId="91" fillId="0" borderId="1" xfId="4" applyNumberFormat="1" applyFont="1" applyBorder="1" applyAlignment="1">
      <alignment horizontal="center" vertical="center"/>
    </xf>
    <xf numFmtId="3" fontId="91" fillId="0" borderId="1" xfId="4" applyNumberFormat="1" applyFont="1" applyBorder="1" applyAlignment="1">
      <alignment horizontal="center"/>
    </xf>
    <xf numFmtId="0" fontId="16" fillId="0" borderId="1" xfId="4" applyBorder="1"/>
    <xf numFmtId="3" fontId="16" fillId="0" borderId="1" xfId="4" applyNumberFormat="1" applyBorder="1" applyAlignment="1">
      <alignment horizontal="center"/>
    </xf>
    <xf numFmtId="0" fontId="91" fillId="0" borderId="0" xfId="4" applyFont="1" applyAlignment="1">
      <alignment horizontal="right" indent="1"/>
    </xf>
    <xf numFmtId="4" fontId="101" fillId="35" borderId="0" xfId="4" applyNumberFormat="1" applyFont="1" applyFill="1" applyAlignment="1">
      <alignment horizontal="center" vertical="center"/>
    </xf>
    <xf numFmtId="9" fontId="101" fillId="35" borderId="0" xfId="4" applyNumberFormat="1" applyFont="1" applyFill="1" applyAlignment="1">
      <alignment horizontal="center" vertical="center"/>
    </xf>
    <xf numFmtId="4" fontId="16" fillId="0" borderId="0" xfId="4" applyNumberFormat="1"/>
    <xf numFmtId="0" fontId="16" fillId="0" borderId="19" xfId="4" applyBorder="1" applyAlignment="1">
      <alignment horizontal="left" vertical="center"/>
    </xf>
    <xf numFmtId="0" fontId="16" fillId="0" borderId="5" xfId="4" applyBorder="1" applyAlignment="1">
      <alignment horizontal="center" vertical="center"/>
    </xf>
    <xf numFmtId="0" fontId="16" fillId="0" borderId="20" xfId="4" applyBorder="1" applyAlignment="1">
      <alignment horizontal="left" vertical="center"/>
    </xf>
    <xf numFmtId="6" fontId="16" fillId="0" borderId="3" xfId="4" applyNumberFormat="1" applyBorder="1" applyAlignment="1">
      <alignment horizontal="center" vertical="center"/>
    </xf>
    <xf numFmtId="10" fontId="16" fillId="0" borderId="3" xfId="4" applyNumberFormat="1" applyBorder="1" applyAlignment="1">
      <alignment horizontal="center" vertical="center"/>
    </xf>
    <xf numFmtId="9" fontId="16" fillId="0" borderId="0" xfId="4" applyNumberFormat="1" applyAlignment="1">
      <alignment horizontal="center" vertical="center"/>
    </xf>
    <xf numFmtId="0" fontId="16" fillId="0" borderId="21" xfId="4" applyBorder="1" applyAlignment="1">
      <alignment horizontal="left" vertical="center"/>
    </xf>
    <xf numFmtId="10" fontId="16" fillId="0" borderId="2" xfId="4" applyNumberFormat="1" applyBorder="1" applyAlignment="1">
      <alignment horizontal="center" vertical="center"/>
    </xf>
    <xf numFmtId="0" fontId="16" fillId="0" borderId="0" xfId="4" applyAlignment="1">
      <alignment horizontal="center" vertical="center" wrapText="1"/>
    </xf>
    <xf numFmtId="0" fontId="16" fillId="0" borderId="0" xfId="4" applyAlignment="1">
      <alignment vertical="center" wrapText="1"/>
    </xf>
    <xf numFmtId="15" fontId="102" fillId="37" borderId="0" xfId="4" applyNumberFormat="1" applyFont="1" applyFill="1" applyAlignment="1">
      <alignment horizontal="center"/>
    </xf>
    <xf numFmtId="9" fontId="16" fillId="0" borderId="0" xfId="4" applyNumberFormat="1"/>
    <xf numFmtId="15" fontId="16" fillId="0" borderId="0" xfId="4" applyNumberFormat="1" applyAlignment="1">
      <alignment horizontal="center"/>
    </xf>
    <xf numFmtId="4" fontId="16" fillId="0" borderId="0" xfId="4" applyNumberFormat="1" applyAlignment="1">
      <alignment vertical="center" wrapText="1"/>
    </xf>
    <xf numFmtId="215" fontId="16" fillId="0" borderId="0" xfId="4" applyNumberFormat="1" applyAlignment="1">
      <alignment horizontal="center"/>
    </xf>
    <xf numFmtId="4" fontId="16" fillId="0" borderId="0" xfId="4" applyNumberFormat="1" applyAlignment="1">
      <alignment horizontal="center"/>
    </xf>
    <xf numFmtId="165" fontId="67" fillId="3" borderId="0" xfId="12" applyNumberFormat="1" applyFont="1" applyFill="1"/>
    <xf numFmtId="0" fontId="48" fillId="38" borderId="0" xfId="14" applyFill="1"/>
    <xf numFmtId="0" fontId="103" fillId="38" borderId="0" xfId="14" applyFont="1" applyFill="1" applyAlignment="1">
      <alignment horizontal="right" indent="1"/>
    </xf>
    <xf numFmtId="0" fontId="103" fillId="38" borderId="0" xfId="14" applyFont="1" applyFill="1"/>
    <xf numFmtId="0" fontId="104" fillId="38" borderId="0" xfId="14" applyFont="1" applyFill="1"/>
    <xf numFmtId="0" fontId="103" fillId="38" borderId="0" xfId="14" applyFont="1" applyFill="1" applyAlignment="1">
      <alignment horizontal="center"/>
    </xf>
    <xf numFmtId="201" fontId="103" fillId="38" borderId="0" xfId="14" applyNumberFormat="1" applyFont="1" applyFill="1" applyAlignment="1">
      <alignment horizontal="center"/>
    </xf>
    <xf numFmtId="0" fontId="48" fillId="39" borderId="0" xfId="14" applyFill="1"/>
    <xf numFmtId="0" fontId="103" fillId="39" borderId="0" xfId="14" applyFont="1" applyFill="1" applyAlignment="1">
      <alignment horizontal="center" vertical="center"/>
    </xf>
    <xf numFmtId="0" fontId="104" fillId="39" borderId="0" xfId="14" applyFont="1" applyFill="1" applyAlignment="1">
      <alignment horizontal="center" vertical="center"/>
    </xf>
    <xf numFmtId="0" fontId="104" fillId="39" borderId="0" xfId="14" applyFont="1" applyFill="1"/>
    <xf numFmtId="0" fontId="103" fillId="39" borderId="0" xfId="14" applyFont="1" applyFill="1"/>
    <xf numFmtId="0" fontId="103" fillId="39" borderId="0" xfId="14" applyFont="1" applyFill="1" applyAlignment="1">
      <alignment horizontal="center"/>
    </xf>
    <xf numFmtId="201" fontId="103" fillId="39" borderId="0" xfId="14" applyNumberFormat="1" applyFont="1" applyFill="1" applyAlignment="1">
      <alignment horizontal="center"/>
    </xf>
    <xf numFmtId="0" fontId="48" fillId="0" borderId="0" xfId="14"/>
    <xf numFmtId="0" fontId="103" fillId="0" borderId="0" xfId="14" applyFont="1" applyAlignment="1">
      <alignment wrapText="1"/>
    </xf>
    <xf numFmtId="0" fontId="103" fillId="0" borderId="0" xfId="14" applyFont="1"/>
    <xf numFmtId="0" fontId="104" fillId="0" borderId="0" xfId="14" applyFont="1"/>
    <xf numFmtId="0" fontId="103" fillId="0" borderId="0" xfId="14" applyFont="1" applyAlignment="1">
      <alignment horizontal="center"/>
    </xf>
    <xf numFmtId="201" fontId="103" fillId="0" borderId="0" xfId="14" applyNumberFormat="1" applyFont="1" applyAlignment="1">
      <alignment horizontal="center"/>
    </xf>
    <xf numFmtId="0" fontId="105" fillId="0" borderId="0" xfId="14" applyFont="1"/>
    <xf numFmtId="0" fontId="107" fillId="0" borderId="0" xfId="14" applyFont="1"/>
    <xf numFmtId="0" fontId="106" fillId="0" borderId="0" xfId="14" applyFont="1" applyAlignment="1">
      <alignment horizontal="left" vertical="center" indent="1"/>
    </xf>
    <xf numFmtId="0" fontId="108" fillId="0" borderId="0" xfId="14" applyFont="1" applyAlignment="1">
      <alignment horizontal="left" vertical="center" indent="1"/>
    </xf>
    <xf numFmtId="0" fontId="109" fillId="0" borderId="0" xfId="14" applyFont="1" applyAlignment="1">
      <alignment horizontal="left" indent="1"/>
    </xf>
    <xf numFmtId="0" fontId="109" fillId="0" borderId="0" xfId="14" applyFont="1"/>
    <xf numFmtId="0" fontId="107" fillId="0" borderId="0" xfId="14" applyFont="1" applyAlignment="1">
      <alignment horizontal="center"/>
    </xf>
    <xf numFmtId="201" fontId="107" fillId="0" borderId="0" xfId="14" applyNumberFormat="1" applyFont="1" applyAlignment="1">
      <alignment horizontal="center"/>
    </xf>
    <xf numFmtId="0" fontId="48" fillId="0" borderId="0" xfId="14" applyAlignment="1">
      <alignment horizontal="left" indent="1"/>
    </xf>
    <xf numFmtId="0" fontId="5" fillId="0" borderId="0" xfId="14" applyFont="1" applyAlignment="1">
      <alignment horizontal="left" indent="1"/>
    </xf>
    <xf numFmtId="0" fontId="103" fillId="0" borderId="0" xfId="14" applyFont="1" applyAlignment="1">
      <alignment horizontal="left" indent="1"/>
    </xf>
    <xf numFmtId="0" fontId="104" fillId="0" borderId="0" xfId="14" applyFont="1" applyAlignment="1">
      <alignment horizontal="left" indent="1"/>
    </xf>
    <xf numFmtId="201" fontId="48" fillId="0" borderId="0" xfId="14" applyNumberFormat="1" applyAlignment="1">
      <alignment horizontal="center"/>
    </xf>
    <xf numFmtId="0" fontId="48" fillId="0" borderId="0" xfId="14" applyAlignment="1">
      <alignment horizontal="center"/>
    </xf>
    <xf numFmtId="201" fontId="103" fillId="0" borderId="0" xfId="14" applyNumberFormat="1" applyFont="1" applyAlignment="1">
      <alignment horizontal="left" indent="1"/>
    </xf>
    <xf numFmtId="0" fontId="113" fillId="38" borderId="0" xfId="14" applyFont="1" applyFill="1"/>
    <xf numFmtId="0" fontId="113" fillId="38" borderId="0" xfId="14" applyFont="1" applyFill="1" applyAlignment="1">
      <alignment horizontal="center"/>
    </xf>
    <xf numFmtId="0" fontId="113" fillId="39" borderId="0" xfId="14" applyFont="1" applyFill="1"/>
    <xf numFmtId="0" fontId="113" fillId="39" borderId="0" xfId="14" applyFont="1" applyFill="1" applyAlignment="1">
      <alignment horizontal="center"/>
    </xf>
    <xf numFmtId="0" fontId="113" fillId="0" borderId="0" xfId="14" applyFont="1"/>
    <xf numFmtId="0" fontId="113" fillId="0" borderId="0" xfId="14" applyFont="1" applyAlignment="1">
      <alignment horizontal="center"/>
    </xf>
    <xf numFmtId="0" fontId="114" fillId="0" borderId="0" xfId="14" applyFont="1"/>
    <xf numFmtId="0" fontId="114" fillId="0" borderId="70" xfId="14" applyFont="1" applyBorder="1"/>
    <xf numFmtId="0" fontId="115" fillId="0" borderId="0" xfId="14" applyFont="1"/>
    <xf numFmtId="0" fontId="115" fillId="0" borderId="0" xfId="14" applyFont="1" applyAlignment="1">
      <alignment horizontal="center"/>
    </xf>
    <xf numFmtId="0" fontId="113" fillId="0" borderId="0" xfId="14" applyFont="1" applyAlignment="1">
      <alignment horizontal="left" indent="1"/>
    </xf>
    <xf numFmtId="0" fontId="106" fillId="0" borderId="0" xfId="14" applyFont="1" applyAlignment="1">
      <alignment horizontal="left" vertical="center" indent="10"/>
    </xf>
    <xf numFmtId="0" fontId="90" fillId="0" borderId="0" xfId="14" applyFont="1" applyAlignment="1">
      <alignment horizontal="left" vertical="center"/>
    </xf>
    <xf numFmtId="0" fontId="90" fillId="0" borderId="0" xfId="14" applyFont="1" applyAlignment="1">
      <alignment vertical="center"/>
    </xf>
    <xf numFmtId="0" fontId="108" fillId="0" borderId="0" xfId="14" applyFont="1" applyAlignment="1">
      <alignment vertical="center"/>
    </xf>
    <xf numFmtId="0" fontId="106" fillId="0" borderId="0" xfId="14" applyFont="1" applyAlignment="1">
      <alignment horizontal="left" vertical="center" indent="6"/>
    </xf>
    <xf numFmtId="201" fontId="113" fillId="0" borderId="0" xfId="14" applyNumberFormat="1" applyFont="1" applyAlignment="1">
      <alignment horizontal="center"/>
    </xf>
    <xf numFmtId="201" fontId="113" fillId="0" borderId="0" xfId="14" applyNumberFormat="1" applyFont="1" applyAlignment="1">
      <alignment horizontal="left" indent="1"/>
    </xf>
    <xf numFmtId="10" fontId="103" fillId="0" borderId="0" xfId="17" applyNumberFormat="1" applyFont="1" applyAlignment="1" applyProtection="1">
      <alignment horizontal="center"/>
    </xf>
    <xf numFmtId="0" fontId="116" fillId="38" borderId="0" xfId="14" applyFont="1" applyFill="1"/>
    <xf numFmtId="0" fontId="116" fillId="39" borderId="0" xfId="14" applyFont="1" applyFill="1"/>
    <xf numFmtId="0" fontId="116" fillId="0" borderId="0" xfId="14" applyFont="1"/>
    <xf numFmtId="0" fontId="106" fillId="0" borderId="0" xfId="14" applyFont="1" applyAlignment="1">
      <alignment horizontal="center" vertical="center"/>
    </xf>
    <xf numFmtId="0" fontId="116" fillId="0" borderId="0" xfId="14" applyFont="1" applyAlignment="1">
      <alignment horizontal="left" indent="1"/>
    </xf>
    <xf numFmtId="0" fontId="1" fillId="0" borderId="69" xfId="14" applyFont="1" applyBorder="1" applyAlignment="1">
      <alignment horizontal="right" vertical="center" indent="1"/>
    </xf>
    <xf numFmtId="9" fontId="5" fillId="41" borderId="69" xfId="17" applyFont="1" applyFill="1" applyBorder="1" applyAlignment="1" applyProtection="1">
      <alignment horizontal="center" vertical="center"/>
    </xf>
    <xf numFmtId="9" fontId="1" fillId="9" borderId="69" xfId="17" applyFont="1" applyFill="1" applyBorder="1" applyAlignment="1" applyProtection="1">
      <alignment horizontal="center" vertical="center"/>
    </xf>
    <xf numFmtId="9" fontId="5" fillId="40" borderId="69" xfId="17" applyFont="1" applyFill="1" applyBorder="1" applyAlignment="1" applyProtection="1">
      <alignment horizontal="center" vertical="center"/>
    </xf>
    <xf numFmtId="200" fontId="117" fillId="0" borderId="0" xfId="14" applyNumberFormat="1" applyFont="1" applyAlignment="1">
      <alignment vertical="center"/>
    </xf>
    <xf numFmtId="166" fontId="117" fillId="0" borderId="0" xfId="17" applyNumberFormat="1" applyFont="1" applyFill="1" applyBorder="1" applyAlignment="1" applyProtection="1">
      <alignment vertical="center"/>
    </xf>
    <xf numFmtId="201" fontId="118" fillId="0" borderId="0" xfId="14" applyNumberFormat="1" applyFont="1" applyAlignment="1">
      <alignment vertical="center" wrapText="1"/>
    </xf>
    <xf numFmtId="0" fontId="90" fillId="0" borderId="0" xfId="14" applyFont="1" applyAlignment="1">
      <alignment horizontal="left" vertical="center" indent="1"/>
    </xf>
    <xf numFmtId="203" fontId="5" fillId="41" borderId="69" xfId="14" applyNumberFormat="1" applyFont="1" applyFill="1" applyBorder="1" applyAlignment="1">
      <alignment horizontal="center" vertical="center"/>
    </xf>
    <xf numFmtId="203" fontId="1" fillId="9" borderId="69" xfId="14" applyNumberFormat="1" applyFont="1" applyFill="1" applyBorder="1" applyAlignment="1">
      <alignment horizontal="center" vertical="center"/>
    </xf>
    <xf numFmtId="203" fontId="5" fillId="40" borderId="69" xfId="14" applyNumberFormat="1" applyFont="1" applyFill="1" applyBorder="1" applyAlignment="1">
      <alignment horizontal="center" vertical="center"/>
    </xf>
    <xf numFmtId="10" fontId="5" fillId="41" borderId="69" xfId="14" applyNumberFormat="1" applyFont="1" applyFill="1" applyBorder="1" applyAlignment="1">
      <alignment horizontal="center" vertical="center"/>
    </xf>
    <xf numFmtId="10" fontId="1" fillId="9" borderId="69" xfId="14" applyNumberFormat="1" applyFont="1" applyFill="1" applyBorder="1" applyAlignment="1">
      <alignment horizontal="center" vertical="center"/>
    </xf>
    <xf numFmtId="10" fontId="5" fillId="40" borderId="69" xfId="14" applyNumberFormat="1" applyFont="1" applyFill="1" applyBorder="1" applyAlignment="1">
      <alignment horizontal="center" vertical="center"/>
    </xf>
    <xf numFmtId="0" fontId="5" fillId="41" borderId="69" xfId="14" applyFont="1" applyFill="1" applyBorder="1" applyAlignment="1">
      <alignment horizontal="center" vertical="center"/>
    </xf>
    <xf numFmtId="0" fontId="1" fillId="9" borderId="69" xfId="14" applyFont="1" applyFill="1" applyBorder="1" applyAlignment="1">
      <alignment horizontal="center" vertical="center"/>
    </xf>
    <xf numFmtId="0" fontId="5" fillId="40" borderId="69" xfId="14" applyFont="1" applyFill="1" applyBorder="1" applyAlignment="1">
      <alignment horizontal="center" vertical="center"/>
    </xf>
    <xf numFmtId="9" fontId="113" fillId="0" borderId="0" xfId="17" applyFont="1" applyFill="1" applyBorder="1" applyAlignment="1" applyProtection="1">
      <alignment horizontal="center"/>
    </xf>
    <xf numFmtId="9" fontId="103" fillId="0" borderId="0" xfId="17" applyFont="1" applyFill="1" applyBorder="1" applyAlignment="1" applyProtection="1">
      <alignment horizontal="center"/>
    </xf>
    <xf numFmtId="201" fontId="103" fillId="0" borderId="0" xfId="14" applyNumberFormat="1" applyFont="1"/>
    <xf numFmtId="166" fontId="113" fillId="0" borderId="0" xfId="14" applyNumberFormat="1" applyFont="1" applyAlignment="1">
      <alignment horizontal="center"/>
    </xf>
    <xf numFmtId="216" fontId="113" fillId="0" borderId="0" xfId="14" applyNumberFormat="1" applyFont="1"/>
    <xf numFmtId="217" fontId="76" fillId="0" borderId="0" xfId="4" applyNumberFormat="1" applyFont="1" applyAlignment="1">
      <alignment horizontal="center"/>
    </xf>
    <xf numFmtId="43" fontId="67" fillId="3" borderId="0" xfId="12" applyNumberFormat="1" applyFont="1" applyFill="1"/>
    <xf numFmtId="0" fontId="73" fillId="0" borderId="28" xfId="12" applyFont="1" applyBorder="1"/>
    <xf numFmtId="0" fontId="66" fillId="0" borderId="0" xfId="12" applyFont="1" applyBorder="1" applyAlignment="1">
      <alignment horizontal="right"/>
    </xf>
    <xf numFmtId="0" fontId="66" fillId="9" borderId="0" xfId="12" applyFont="1" applyFill="1" applyBorder="1"/>
    <xf numFmtId="0" fontId="66" fillId="9" borderId="29" xfId="12" applyFont="1" applyFill="1" applyBorder="1"/>
    <xf numFmtId="0" fontId="67" fillId="12" borderId="0" xfId="12" applyFont="1" applyFill="1" applyAlignment="1">
      <alignment horizontal="center"/>
    </xf>
    <xf numFmtId="10" fontId="67" fillId="0" borderId="0" xfId="13" applyNumberFormat="1" applyFont="1" applyAlignment="1" applyProtection="1">
      <alignment horizontal="center"/>
      <protection locked="0"/>
    </xf>
    <xf numFmtId="0" fontId="0" fillId="42" borderId="22" xfId="0" applyFill="1" applyBorder="1"/>
    <xf numFmtId="7" fontId="0" fillId="42" borderId="22" xfId="0" applyNumberFormat="1" applyFill="1" applyBorder="1"/>
    <xf numFmtId="7" fontId="0" fillId="0" borderId="10" xfId="2" applyNumberFormat="1" applyFont="1" applyBorder="1"/>
    <xf numFmtId="44" fontId="0" fillId="42" borderId="22" xfId="0" applyNumberFormat="1" applyFill="1" applyBorder="1"/>
    <xf numFmtId="0" fontId="0" fillId="43" borderId="72" xfId="0" applyFill="1" applyBorder="1"/>
    <xf numFmtId="0" fontId="0" fillId="43" borderId="74" xfId="0" applyFill="1" applyBorder="1"/>
    <xf numFmtId="0" fontId="0" fillId="43" borderId="22" xfId="0" applyFill="1" applyBorder="1" applyAlignment="1">
      <alignment horizontal="center"/>
    </xf>
    <xf numFmtId="0" fontId="0" fillId="43" borderId="73" xfId="0" applyFill="1" applyBorder="1" applyAlignment="1">
      <alignment horizontal="center"/>
    </xf>
    <xf numFmtId="44" fontId="0" fillId="43" borderId="22" xfId="2" applyFont="1" applyFill="1" applyBorder="1" applyAlignment="1">
      <alignment horizontal="center"/>
    </xf>
    <xf numFmtId="44" fontId="0" fillId="43" borderId="73" xfId="2" applyFont="1" applyFill="1" applyBorder="1" applyAlignment="1">
      <alignment horizontal="center"/>
    </xf>
    <xf numFmtId="44" fontId="0" fillId="43" borderId="22" xfId="0" applyNumberFormat="1" applyFill="1" applyBorder="1" applyAlignment="1">
      <alignment horizontal="center"/>
    </xf>
    <xf numFmtId="44" fontId="0" fillId="43" borderId="75" xfId="2" applyFont="1" applyFill="1" applyBorder="1" applyAlignment="1">
      <alignment horizontal="center"/>
    </xf>
    <xf numFmtId="44" fontId="0" fillId="43" borderId="76" xfId="2" applyFont="1" applyFill="1" applyBorder="1" applyAlignment="1">
      <alignment horizontal="center"/>
    </xf>
    <xf numFmtId="10" fontId="0" fillId="0" borderId="10" xfId="0" applyNumberFormat="1" applyBorder="1"/>
    <xf numFmtId="165" fontId="0" fillId="0" borderId="0" xfId="0" applyNumberFormat="1"/>
    <xf numFmtId="171" fontId="3" fillId="0" borderId="0" xfId="0" applyNumberFormat="1" applyFont="1" applyProtection="1">
      <protection hidden="1"/>
    </xf>
    <xf numFmtId="4" fontId="47" fillId="0" borderId="0" xfId="12" applyNumberFormat="1" applyFont="1" applyAlignment="1">
      <alignment vertical="center"/>
    </xf>
    <xf numFmtId="218" fontId="16" fillId="0" borderId="0" xfId="4" applyNumberFormat="1"/>
    <xf numFmtId="9" fontId="0" fillId="0" borderId="0" xfId="0" applyNumberFormat="1" applyAlignment="1">
      <alignment horizontal="center"/>
    </xf>
    <xf numFmtId="195" fontId="47" fillId="0" borderId="0" xfId="12" applyNumberFormat="1" applyFont="1" applyAlignment="1">
      <alignment vertical="center"/>
    </xf>
    <xf numFmtId="9" fontId="0" fillId="0" borderId="0" xfId="0" applyNumberFormat="1" applyProtection="1">
      <protection hidden="1"/>
    </xf>
    <xf numFmtId="44" fontId="11" fillId="18" borderId="10" xfId="2" applyFont="1" applyFill="1" applyBorder="1" applyProtection="1">
      <protection hidden="1"/>
    </xf>
    <xf numFmtId="44" fontId="13" fillId="7" borderId="10" xfId="2" applyFont="1" applyFill="1" applyBorder="1" applyProtection="1">
      <protection locked="0"/>
    </xf>
    <xf numFmtId="44" fontId="13" fillId="18" borderId="10" xfId="2" applyFont="1" applyFill="1" applyBorder="1" applyProtection="1">
      <protection locked="0"/>
    </xf>
    <xf numFmtId="185" fontId="4" fillId="44" borderId="15" xfId="0" applyNumberFormat="1" applyFont="1" applyFill="1" applyBorder="1"/>
    <xf numFmtId="185" fontId="0" fillId="44" borderId="6" xfId="0" applyNumberFormat="1" applyFill="1" applyBorder="1"/>
    <xf numFmtId="4" fontId="0" fillId="0" borderId="0" xfId="0" applyNumberFormat="1" applyAlignment="1">
      <alignment horizontal="center"/>
    </xf>
    <xf numFmtId="165" fontId="3" fillId="0" borderId="0" xfId="0" applyNumberFormat="1" applyFont="1" applyAlignment="1"/>
    <xf numFmtId="4" fontId="3" fillId="0" borderId="0" xfId="0" applyNumberFormat="1" applyFont="1" applyAlignment="1">
      <alignment horizontal="center"/>
    </xf>
    <xf numFmtId="165" fontId="3" fillId="0" borderId="0" xfId="0" applyNumberFormat="1" applyFont="1"/>
    <xf numFmtId="185" fontId="0" fillId="0" borderId="0" xfId="0" applyNumberFormat="1"/>
    <xf numFmtId="44" fontId="121" fillId="10" borderId="6" xfId="2" applyFont="1" applyFill="1" applyBorder="1" applyProtection="1">
      <protection locked="0"/>
    </xf>
    <xf numFmtId="166" fontId="13" fillId="18" borderId="10" xfId="0" applyNumberFormat="1" applyFont="1" applyFill="1" applyBorder="1" applyProtection="1">
      <protection locked="0"/>
    </xf>
    <xf numFmtId="44" fontId="13" fillId="18" borderId="6" xfId="2" applyFont="1" applyFill="1" applyBorder="1" applyProtection="1">
      <protection locked="0"/>
    </xf>
    <xf numFmtId="44" fontId="0" fillId="44" borderId="10" xfId="2" applyFont="1" applyFill="1" applyBorder="1"/>
    <xf numFmtId="0" fontId="4" fillId="0" borderId="0" xfId="0" applyFont="1" applyAlignment="1">
      <alignment horizontal="right"/>
    </xf>
    <xf numFmtId="44" fontId="0" fillId="0" borderId="22" xfId="0" applyNumberFormat="1" applyBorder="1"/>
    <xf numFmtId="0" fontId="4" fillId="44" borderId="56" xfId="0" applyFont="1" applyFill="1" applyBorder="1"/>
    <xf numFmtId="0" fontId="16" fillId="44" borderId="0" xfId="4" applyFill="1" applyAlignment="1">
      <alignment horizontal="center" vertical="center" wrapText="1"/>
    </xf>
    <xf numFmtId="166" fontId="16" fillId="44" borderId="0" xfId="4" applyNumberFormat="1" applyFill="1" applyAlignment="1">
      <alignment horizontal="center"/>
    </xf>
    <xf numFmtId="0" fontId="16" fillId="44" borderId="0" xfId="4" applyFill="1"/>
    <xf numFmtId="173" fontId="11" fillId="45" borderId="10" xfId="0" applyNumberFormat="1" applyFont="1" applyFill="1" applyBorder="1" applyAlignment="1">
      <alignment horizontal="center"/>
    </xf>
    <xf numFmtId="0" fontId="4" fillId="0" borderId="0" xfId="0" applyFont="1" applyFill="1" applyBorder="1" applyAlignment="1">
      <alignment horizontal="center"/>
    </xf>
    <xf numFmtId="171" fontId="0" fillId="44" borderId="0" xfId="0" applyNumberFormat="1" applyFill="1" applyProtection="1">
      <protection hidden="1"/>
    </xf>
    <xf numFmtId="10" fontId="16" fillId="44" borderId="0" xfId="3" applyNumberFormat="1" applyFont="1" applyFill="1" applyAlignment="1">
      <alignment horizontal="center"/>
    </xf>
    <xf numFmtId="0" fontId="0" fillId="2" borderId="0" xfId="0" applyFill="1"/>
    <xf numFmtId="44" fontId="1" fillId="0" borderId="0" xfId="2" applyAlignment="1">
      <alignment vertical="center"/>
    </xf>
    <xf numFmtId="171" fontId="0" fillId="12" borderId="0" xfId="0" applyNumberFormat="1" applyFill="1" applyProtection="1">
      <protection hidden="1"/>
    </xf>
    <xf numFmtId="171" fontId="27" fillId="12" borderId="0" xfId="0" applyNumberFormat="1" applyFont="1" applyFill="1" applyProtection="1">
      <protection hidden="1"/>
    </xf>
    <xf numFmtId="0" fontId="0" fillId="46" borderId="22" xfId="0" applyFill="1" applyBorder="1"/>
    <xf numFmtId="9" fontId="0" fillId="46" borderId="22" xfId="0" applyNumberFormat="1" applyFill="1" applyBorder="1"/>
    <xf numFmtId="0" fontId="0" fillId="18" borderId="0" xfId="0" applyFill="1" applyAlignment="1">
      <alignment horizontal="center" textRotation="90" wrapText="1"/>
    </xf>
    <xf numFmtId="0" fontId="0" fillId="43" borderId="53" xfId="0" applyFill="1" applyBorder="1" applyAlignment="1">
      <alignment horizontal="center"/>
    </xf>
    <xf numFmtId="0" fontId="0" fillId="43" borderId="49" xfId="0" applyFill="1" applyBorder="1" applyAlignment="1">
      <alignment horizontal="center"/>
    </xf>
    <xf numFmtId="0" fontId="0" fillId="43" borderId="71" xfId="0" applyFill="1" applyBorder="1" applyAlignment="1">
      <alignment horizontal="center"/>
    </xf>
    <xf numFmtId="0" fontId="122" fillId="2" borderId="0" xfId="0" applyFont="1" applyFill="1" applyAlignment="1" applyProtection="1">
      <alignment horizontal="center" vertical="center"/>
      <protection hidden="1"/>
    </xf>
    <xf numFmtId="0" fontId="0" fillId="46" borderId="22" xfId="0" applyFill="1" applyBorder="1" applyAlignment="1">
      <alignment horizontal="center"/>
    </xf>
    <xf numFmtId="0" fontId="4" fillId="2" borderId="28" xfId="0" applyFont="1" applyFill="1" applyBorder="1" applyAlignment="1" applyProtection="1">
      <alignment horizontal="center"/>
      <protection hidden="1"/>
    </xf>
    <xf numFmtId="0" fontId="4" fillId="2" borderId="0" xfId="0" applyFont="1" applyFill="1" applyAlignment="1" applyProtection="1">
      <alignment horizontal="center"/>
      <protection hidden="1"/>
    </xf>
    <xf numFmtId="0" fontId="16" fillId="0" borderId="22" xfId="12" applyBorder="1" applyAlignment="1">
      <alignment horizontal="center" vertical="center"/>
    </xf>
    <xf numFmtId="0" fontId="16" fillId="0" borderId="19" xfId="12" applyBorder="1" applyAlignment="1">
      <alignment horizontal="center" vertical="center"/>
    </xf>
    <xf numFmtId="0" fontId="16" fillId="0" borderId="4" xfId="12" applyBorder="1" applyAlignment="1">
      <alignment horizontal="center" vertical="center"/>
    </xf>
    <xf numFmtId="0" fontId="16" fillId="0" borderId="5" xfId="12" applyBorder="1" applyAlignment="1">
      <alignment horizontal="center" vertical="center"/>
    </xf>
    <xf numFmtId="0" fontId="16" fillId="0" borderId="20" xfId="12" applyBorder="1" applyAlignment="1">
      <alignment horizontal="center" vertical="center"/>
    </xf>
    <xf numFmtId="0" fontId="16" fillId="0" borderId="0" xfId="12" applyAlignment="1">
      <alignment horizontal="center" vertical="center"/>
    </xf>
    <xf numFmtId="0" fontId="16" fillId="0" borderId="3" xfId="12" applyBorder="1" applyAlignment="1">
      <alignment horizontal="center" vertical="center"/>
    </xf>
    <xf numFmtId="4" fontId="44" fillId="0" borderId="0" xfId="12" applyNumberFormat="1" applyFont="1" applyAlignment="1">
      <alignment horizontal="center" vertical="center"/>
    </xf>
    <xf numFmtId="0" fontId="45" fillId="0" borderId="20" xfId="12" applyFont="1" applyBorder="1" applyAlignment="1">
      <alignment horizontal="left" vertical="center" wrapText="1"/>
    </xf>
    <xf numFmtId="0" fontId="45" fillId="0" borderId="0" xfId="12" applyFont="1" applyAlignment="1">
      <alignment horizontal="left" vertical="center" wrapText="1"/>
    </xf>
    <xf numFmtId="0" fontId="45" fillId="0" borderId="3" xfId="12" applyFont="1" applyBorder="1" applyAlignment="1">
      <alignment horizontal="left" vertical="center" wrapText="1"/>
    </xf>
    <xf numFmtId="0" fontId="43" fillId="0" borderId="21" xfId="12" applyFont="1" applyBorder="1" applyAlignment="1">
      <alignment horizontal="center" vertical="center"/>
    </xf>
    <xf numFmtId="0" fontId="43" fillId="0" borderId="1" xfId="12" applyFont="1" applyBorder="1" applyAlignment="1">
      <alignment horizontal="center" vertical="center"/>
    </xf>
    <xf numFmtId="0" fontId="43" fillId="0" borderId="16" xfId="12" applyFont="1" applyBorder="1" applyAlignment="1">
      <alignment horizontal="center" vertical="center"/>
    </xf>
    <xf numFmtId="0" fontId="43" fillId="0" borderId="18" xfId="12" applyFont="1" applyBorder="1" applyAlignment="1">
      <alignment horizontal="center" vertical="center"/>
    </xf>
    <xf numFmtId="3" fontId="16" fillId="0" borderId="1" xfId="12" applyNumberFormat="1" applyBorder="1" applyAlignment="1">
      <alignment horizontal="center" vertical="center"/>
    </xf>
    <xf numFmtId="0" fontId="16" fillId="0" borderId="1" xfId="12" applyBorder="1" applyAlignment="1">
      <alignment horizontal="center" vertical="center"/>
    </xf>
    <xf numFmtId="0" fontId="49" fillId="22" borderId="17" xfId="14" applyFont="1" applyFill="1" applyBorder="1" applyAlignment="1">
      <alignment horizontal="center" vertical="center"/>
    </xf>
    <xf numFmtId="0" fontId="49" fillId="22" borderId="16" xfId="14" applyFont="1" applyFill="1" applyBorder="1" applyAlignment="1">
      <alignment horizontal="center" vertical="center"/>
    </xf>
    <xf numFmtId="0" fontId="49" fillId="17" borderId="19" xfId="12" applyFont="1" applyFill="1" applyBorder="1" applyAlignment="1">
      <alignment horizontal="center" vertical="center"/>
    </xf>
    <xf numFmtId="0" fontId="49" fillId="17" borderId="4" xfId="12" applyFont="1" applyFill="1" applyBorder="1" applyAlignment="1">
      <alignment horizontal="center" vertical="center"/>
    </xf>
    <xf numFmtId="0" fontId="49" fillId="17" borderId="5" xfId="12" applyFont="1" applyFill="1" applyBorder="1" applyAlignment="1">
      <alignment horizontal="center" vertical="center"/>
    </xf>
    <xf numFmtId="0" fontId="47" fillId="0" borderId="4" xfId="12" applyFont="1" applyBorder="1" applyAlignment="1">
      <alignment horizontal="center" vertical="center" shrinkToFit="1"/>
    </xf>
    <xf numFmtId="0" fontId="16" fillId="0" borderId="4" xfId="12" applyBorder="1" applyAlignment="1">
      <alignment horizontal="center" vertical="center" shrinkToFit="1"/>
    </xf>
    <xf numFmtId="0" fontId="50" fillId="0" borderId="4" xfId="13" applyNumberFormat="1" applyFont="1" applyBorder="1" applyAlignment="1">
      <alignment horizontal="center" vertical="center" shrinkToFit="1"/>
    </xf>
    <xf numFmtId="0" fontId="50" fillId="0" borderId="0" xfId="13" applyNumberFormat="1" applyFont="1" applyBorder="1" applyAlignment="1">
      <alignment horizontal="center" vertical="center" shrinkToFit="1"/>
    </xf>
    <xf numFmtId="0" fontId="50" fillId="0" borderId="1" xfId="13" applyNumberFormat="1" applyFont="1" applyBorder="1" applyAlignment="1">
      <alignment horizontal="center" vertical="center" shrinkToFit="1"/>
    </xf>
    <xf numFmtId="0" fontId="16" fillId="0" borderId="4" xfId="13" applyNumberFormat="1" applyFont="1" applyBorder="1" applyAlignment="1">
      <alignment horizontal="center" vertical="center" shrinkToFit="1"/>
    </xf>
    <xf numFmtId="0" fontId="16" fillId="0" borderId="0" xfId="13" applyNumberFormat="1" applyFont="1" applyBorder="1" applyAlignment="1">
      <alignment horizontal="center" vertical="center"/>
    </xf>
    <xf numFmtId="0" fontId="16" fillId="0" borderId="3" xfId="13" applyNumberFormat="1" applyFont="1" applyBorder="1" applyAlignment="1">
      <alignment horizontal="center" vertical="center"/>
    </xf>
    <xf numFmtId="4" fontId="50" fillId="23" borderId="1" xfId="12" applyNumberFormat="1" applyFont="1" applyFill="1" applyBorder="1" applyAlignment="1">
      <alignment horizontal="center" vertical="center" shrinkToFit="1"/>
    </xf>
    <xf numFmtId="3" fontId="50" fillId="23" borderId="1" xfId="12" applyNumberFormat="1" applyFont="1" applyFill="1" applyBorder="1" applyAlignment="1">
      <alignment horizontal="center" vertical="center" shrinkToFit="1"/>
    </xf>
    <xf numFmtId="37" fontId="51" fillId="0" borderId="1" xfId="15" applyNumberFormat="1" applyFont="1" applyBorder="1" applyAlignment="1">
      <alignment horizontal="center" vertical="center" shrinkToFit="1"/>
    </xf>
    <xf numFmtId="3" fontId="50" fillId="23" borderId="1" xfId="13" applyNumberFormat="1" applyFont="1" applyFill="1" applyBorder="1" applyAlignment="1">
      <alignment horizontal="center" vertical="center" shrinkToFit="1"/>
    </xf>
    <xf numFmtId="3" fontId="50" fillId="0" borderId="1" xfId="13" applyNumberFormat="1" applyFont="1" applyBorder="1" applyAlignment="1">
      <alignment horizontal="center" vertical="center" shrinkToFit="1"/>
    </xf>
    <xf numFmtId="3" fontId="51" fillId="0" borderId="1" xfId="13" applyNumberFormat="1" applyFont="1" applyBorder="1" applyAlignment="1">
      <alignment horizontal="center" vertical="center" shrinkToFit="1"/>
    </xf>
    <xf numFmtId="190" fontId="51" fillId="0" borderId="0" xfId="14" applyNumberFormat="1" applyFont="1" applyAlignment="1">
      <alignment horizontal="center" vertical="center" shrinkToFit="1"/>
    </xf>
    <xf numFmtId="3" fontId="50" fillId="23" borderId="0" xfId="15" applyNumberFormat="1" applyFont="1" applyFill="1" applyBorder="1" applyAlignment="1">
      <alignment horizontal="center" vertical="center" shrinkToFit="1"/>
    </xf>
    <xf numFmtId="0" fontId="16" fillId="0" borderId="0" xfId="15" applyNumberFormat="1" applyFont="1" applyBorder="1" applyAlignment="1">
      <alignment horizontal="center" vertical="center" shrinkToFit="1"/>
    </xf>
    <xf numFmtId="0" fontId="50" fillId="0" borderId="0" xfId="15" applyNumberFormat="1" applyFont="1" applyBorder="1" applyAlignment="1">
      <alignment horizontal="center" vertical="center" shrinkToFit="1"/>
    </xf>
    <xf numFmtId="10" fontId="50" fillId="23" borderId="0" xfId="15" applyNumberFormat="1" applyFont="1" applyFill="1" applyBorder="1" applyAlignment="1">
      <alignment horizontal="center" vertical="center" shrinkToFit="1"/>
    </xf>
    <xf numFmtId="0" fontId="16" fillId="0" borderId="19" xfId="12" applyBorder="1" applyAlignment="1">
      <alignment horizontal="center" vertical="center" shrinkToFit="1"/>
    </xf>
    <xf numFmtId="0" fontId="16" fillId="0" borderId="5" xfId="12" applyBorder="1" applyAlignment="1">
      <alignment horizontal="center" vertical="center" shrinkToFit="1"/>
    </xf>
    <xf numFmtId="0" fontId="16" fillId="0" borderId="4" xfId="14" applyFont="1" applyBorder="1" applyAlignment="1">
      <alignment horizontal="center" vertical="center" shrinkToFit="1"/>
    </xf>
    <xf numFmtId="3" fontId="51" fillId="0" borderId="0" xfId="15" applyNumberFormat="1" applyFont="1" applyBorder="1" applyAlignment="1">
      <alignment horizontal="center" vertical="center" shrinkToFit="1"/>
    </xf>
    <xf numFmtId="181" fontId="51" fillId="0" borderId="20" xfId="12" applyNumberFormat="1" applyFont="1" applyBorder="1" applyAlignment="1">
      <alignment horizontal="center" vertical="center" shrinkToFit="1"/>
    </xf>
    <xf numFmtId="181" fontId="51" fillId="0" borderId="0" xfId="12" applyNumberFormat="1" applyFont="1" applyAlignment="1">
      <alignment horizontal="center" vertical="center" shrinkToFit="1"/>
    </xf>
    <xf numFmtId="181" fontId="51" fillId="0" borderId="3" xfId="12" applyNumberFormat="1" applyFont="1" applyBorder="1" applyAlignment="1">
      <alignment horizontal="center" vertical="center" shrinkToFit="1"/>
    </xf>
    <xf numFmtId="190" fontId="51" fillId="0" borderId="1" xfId="14" applyNumberFormat="1" applyFont="1" applyBorder="1" applyAlignment="1">
      <alignment horizontal="center" vertical="center" shrinkToFit="1"/>
    </xf>
    <xf numFmtId="3" fontId="51" fillId="23" borderId="1" xfId="15" applyNumberFormat="1" applyFont="1" applyFill="1" applyBorder="1" applyAlignment="1">
      <alignment horizontal="center" vertical="center" shrinkToFit="1"/>
    </xf>
    <xf numFmtId="0" fontId="50" fillId="0" borderId="1" xfId="15" applyNumberFormat="1" applyFont="1" applyBorder="1" applyAlignment="1">
      <alignment horizontal="center" vertical="center" shrinkToFit="1"/>
    </xf>
    <xf numFmtId="3" fontId="51" fillId="0" borderId="1" xfId="15" applyNumberFormat="1" applyFont="1" applyBorder="1" applyAlignment="1">
      <alignment horizontal="center" vertical="center" shrinkToFit="1"/>
    </xf>
    <xf numFmtId="9" fontId="16" fillId="23" borderId="0" xfId="16" applyNumberFormat="1" applyFont="1" applyFill="1" applyBorder="1" applyAlignment="1">
      <alignment horizontal="center" vertical="center" shrinkToFit="1"/>
    </xf>
    <xf numFmtId="169" fontId="16" fillId="23" borderId="0" xfId="16" applyFont="1" applyFill="1" applyBorder="1" applyAlignment="1">
      <alignment horizontal="center" vertical="center" shrinkToFit="1"/>
    </xf>
    <xf numFmtId="0" fontId="63" fillId="0" borderId="1" xfId="15" applyNumberFormat="1" applyFont="1" applyBorder="1" applyAlignment="1">
      <alignment horizontal="center" vertical="center" shrinkToFit="1"/>
    </xf>
    <xf numFmtId="0" fontId="16" fillId="0" borderId="20" xfId="12" applyBorder="1" applyAlignment="1">
      <alignment horizontal="center" vertical="center" shrinkToFit="1"/>
    </xf>
    <xf numFmtId="0" fontId="16" fillId="0" borderId="0" xfId="12" applyAlignment="1">
      <alignment horizontal="center" vertical="center" shrinkToFit="1"/>
    </xf>
    <xf numFmtId="0" fontId="16" fillId="0" borderId="3" xfId="12" applyBorder="1" applyAlignment="1">
      <alignment horizontal="center" vertical="center" shrinkToFit="1"/>
    </xf>
    <xf numFmtId="190" fontId="50" fillId="0" borderId="0" xfId="12" applyNumberFormat="1" applyFont="1" applyAlignment="1">
      <alignment horizontal="center" vertical="center" shrinkToFit="1"/>
    </xf>
    <xf numFmtId="190" fontId="50" fillId="0" borderId="3" xfId="12" applyNumberFormat="1" applyFont="1" applyBorder="1" applyAlignment="1">
      <alignment horizontal="center" vertical="center" shrinkToFit="1"/>
    </xf>
    <xf numFmtId="190" fontId="50" fillId="23" borderId="0" xfId="14" applyNumberFormat="1" applyFont="1" applyFill="1" applyAlignment="1">
      <alignment horizontal="center" vertical="center" shrinkToFit="1"/>
    </xf>
    <xf numFmtId="0" fontId="16" fillId="0" borderId="0" xfId="14" applyFont="1" applyAlignment="1">
      <alignment horizontal="center" vertical="center" shrinkToFit="1"/>
    </xf>
    <xf numFmtId="10" fontId="16" fillId="0" borderId="0" xfId="15" applyNumberFormat="1" applyFont="1" applyBorder="1" applyAlignment="1">
      <alignment horizontal="center" vertical="center" shrinkToFit="1"/>
    </xf>
    <xf numFmtId="192" fontId="53" fillId="0" borderId="16" xfId="12" applyNumberFormat="1" applyFont="1" applyBorder="1" applyAlignment="1">
      <alignment horizontal="left" vertical="center"/>
    </xf>
    <xf numFmtId="10" fontId="88" fillId="0" borderId="16" xfId="3" applyNumberFormat="1" applyFont="1" applyBorder="1" applyAlignment="1">
      <alignment horizontal="center" vertical="center"/>
    </xf>
    <xf numFmtId="0" fontId="49" fillId="17" borderId="17" xfId="14" applyFont="1" applyFill="1" applyBorder="1" applyAlignment="1">
      <alignment horizontal="center" vertical="center"/>
    </xf>
    <xf numFmtId="0" fontId="49" fillId="17" borderId="16" xfId="14" applyFont="1" applyFill="1" applyBorder="1" applyAlignment="1">
      <alignment horizontal="center" vertical="center"/>
    </xf>
    <xf numFmtId="191" fontId="50" fillId="23" borderId="20" xfId="12" applyNumberFormat="1" applyFont="1" applyFill="1" applyBorder="1" applyAlignment="1">
      <alignment horizontal="center" vertical="center" shrinkToFit="1"/>
    </xf>
    <xf numFmtId="191" fontId="50" fillId="23" borderId="0" xfId="12" applyNumberFormat="1" applyFont="1" applyFill="1" applyAlignment="1">
      <alignment horizontal="center" vertical="center" shrinkToFit="1"/>
    </xf>
    <xf numFmtId="191" fontId="50" fillId="23" borderId="3" xfId="12" applyNumberFormat="1" applyFont="1" applyFill="1" applyBorder="1" applyAlignment="1">
      <alignment horizontal="center" vertical="center" shrinkToFit="1"/>
    </xf>
    <xf numFmtId="3" fontId="51" fillId="0" borderId="0" xfId="13" applyNumberFormat="1" applyFont="1" applyBorder="1" applyAlignment="1">
      <alignment horizontal="center" vertical="center" shrinkToFit="1"/>
    </xf>
    <xf numFmtId="10" fontId="50" fillId="0" borderId="20" xfId="12" applyNumberFormat="1" applyFont="1" applyBorder="1" applyAlignment="1">
      <alignment horizontal="center" vertical="center" shrinkToFit="1"/>
    </xf>
    <xf numFmtId="10" fontId="50" fillId="0" borderId="0" xfId="12" applyNumberFormat="1" applyFont="1" applyAlignment="1">
      <alignment horizontal="center" vertical="center" shrinkToFit="1"/>
    </xf>
    <xf numFmtId="0" fontId="16" fillId="0" borderId="0" xfId="13" applyNumberFormat="1" applyFont="1" applyBorder="1" applyAlignment="1">
      <alignment horizontal="center" vertical="center" shrinkToFit="1"/>
    </xf>
    <xf numFmtId="191" fontId="50" fillId="23" borderId="21" xfId="12" applyNumberFormat="1" applyFont="1" applyFill="1" applyBorder="1" applyAlignment="1">
      <alignment horizontal="center" vertical="center" shrinkToFit="1"/>
    </xf>
    <xf numFmtId="191" fontId="50" fillId="23" borderId="1" xfId="12" applyNumberFormat="1" applyFont="1" applyFill="1" applyBorder="1" applyAlignment="1">
      <alignment horizontal="center" vertical="center" shrinkToFit="1"/>
    </xf>
    <xf numFmtId="191" fontId="50" fillId="23" borderId="2" xfId="12" applyNumberFormat="1" applyFont="1" applyFill="1" applyBorder="1" applyAlignment="1">
      <alignment horizontal="center" vertical="center" shrinkToFit="1"/>
    </xf>
    <xf numFmtId="3" fontId="50" fillId="0" borderId="1" xfId="12" applyNumberFormat="1" applyFont="1" applyBorder="1" applyAlignment="1">
      <alignment horizontal="center" vertical="center" shrinkToFit="1"/>
    </xf>
    <xf numFmtId="3" fontId="50" fillId="0" borderId="2" xfId="12" applyNumberFormat="1" applyFont="1" applyBorder="1" applyAlignment="1">
      <alignment horizontal="center" vertical="center" shrinkToFit="1"/>
    </xf>
    <xf numFmtId="10" fontId="50" fillId="0" borderId="21" xfId="12" applyNumberFormat="1" applyFont="1" applyBorder="1" applyAlignment="1">
      <alignment horizontal="center" vertical="center" shrinkToFit="1"/>
    </xf>
    <xf numFmtId="10" fontId="50" fillId="0" borderId="1" xfId="12" applyNumberFormat="1" applyFont="1" applyBorder="1" applyAlignment="1">
      <alignment horizontal="center" vertical="center" shrinkToFit="1"/>
    </xf>
    <xf numFmtId="10" fontId="50" fillId="0" borderId="2" xfId="12" applyNumberFormat="1" applyFont="1" applyBorder="1" applyAlignment="1">
      <alignment horizontal="center" vertical="center" shrinkToFit="1"/>
    </xf>
    <xf numFmtId="0" fontId="49" fillId="17" borderId="17" xfId="12" applyFont="1" applyFill="1" applyBorder="1" applyAlignment="1">
      <alignment horizontal="center" vertical="center"/>
    </xf>
    <xf numFmtId="0" fontId="49" fillId="17" borderId="16" xfId="12" applyFont="1" applyFill="1" applyBorder="1" applyAlignment="1">
      <alignment horizontal="center" vertical="center"/>
    </xf>
    <xf numFmtId="0" fontId="49" fillId="17" borderId="18" xfId="12" applyFont="1" applyFill="1" applyBorder="1" applyAlignment="1">
      <alignment horizontal="center" vertical="center"/>
    </xf>
    <xf numFmtId="0" fontId="18" fillId="3" borderId="17" xfId="14" applyFont="1" applyFill="1" applyBorder="1" applyAlignment="1">
      <alignment horizontal="center" vertical="center"/>
    </xf>
    <xf numFmtId="0" fontId="18" fillId="3" borderId="16" xfId="14" applyFont="1" applyFill="1" applyBorder="1" applyAlignment="1">
      <alignment horizontal="center" vertical="center"/>
    </xf>
    <xf numFmtId="0" fontId="18" fillId="3" borderId="18" xfId="14" applyFont="1" applyFill="1" applyBorder="1" applyAlignment="1">
      <alignment horizontal="center" vertical="center"/>
    </xf>
    <xf numFmtId="193" fontId="18" fillId="3" borderId="17" xfId="14" applyNumberFormat="1" applyFont="1" applyFill="1" applyBorder="1" applyAlignment="1">
      <alignment horizontal="center" vertical="center"/>
    </xf>
    <xf numFmtId="193" fontId="18" fillId="3" borderId="18" xfId="14" applyNumberFormat="1" applyFont="1" applyFill="1" applyBorder="1" applyAlignment="1">
      <alignment horizontal="center" vertical="center"/>
    </xf>
    <xf numFmtId="194" fontId="18" fillId="3" borderId="16" xfId="12" applyNumberFormat="1" applyFont="1" applyFill="1" applyBorder="1" applyAlignment="1">
      <alignment horizontal="center" vertical="center"/>
    </xf>
    <xf numFmtId="49" fontId="18" fillId="3" borderId="16" xfId="13" applyNumberFormat="1" applyFont="1" applyFill="1" applyBorder="1" applyAlignment="1">
      <alignment horizontal="center" vertical="center"/>
    </xf>
    <xf numFmtId="49" fontId="18" fillId="3" borderId="18" xfId="13" applyNumberFormat="1" applyFont="1" applyFill="1" applyBorder="1" applyAlignment="1">
      <alignment horizontal="center" vertical="center"/>
    </xf>
    <xf numFmtId="3" fontId="50" fillId="25" borderId="4" xfId="15" applyNumberFormat="1" applyFont="1" applyFill="1" applyBorder="1" applyAlignment="1">
      <alignment horizontal="center" vertical="center"/>
    </xf>
    <xf numFmtId="195" fontId="59" fillId="26" borderId="20" xfId="15" applyNumberFormat="1" applyFont="1" applyFill="1" applyBorder="1" applyAlignment="1">
      <alignment horizontal="center" vertical="center"/>
    </xf>
    <xf numFmtId="195" fontId="59" fillId="26" borderId="35" xfId="15" applyNumberFormat="1" applyFont="1" applyFill="1" applyBorder="1" applyAlignment="1">
      <alignment horizontal="center" vertical="center"/>
    </xf>
    <xf numFmtId="195" fontId="59" fillId="26" borderId="36" xfId="15" applyNumberFormat="1" applyFont="1" applyFill="1" applyBorder="1" applyAlignment="1">
      <alignment horizontal="center" vertical="center"/>
    </xf>
    <xf numFmtId="195" fontId="50" fillId="26" borderId="20" xfId="15" applyNumberFormat="1" applyFont="1" applyFill="1" applyBorder="1" applyAlignment="1">
      <alignment horizontal="center" vertical="center"/>
    </xf>
    <xf numFmtId="195" fontId="50" fillId="26" borderId="3" xfId="15" applyNumberFormat="1" applyFont="1" applyFill="1" applyBorder="1" applyAlignment="1">
      <alignment horizontal="center" vertical="center"/>
    </xf>
    <xf numFmtId="195" fontId="51" fillId="24" borderId="19" xfId="15" applyNumberFormat="1" applyFont="1" applyFill="1" applyBorder="1" applyAlignment="1">
      <alignment horizontal="center" vertical="center"/>
    </xf>
    <xf numFmtId="195" fontId="51" fillId="24" borderId="5" xfId="15" applyNumberFormat="1" applyFont="1" applyFill="1" applyBorder="1" applyAlignment="1">
      <alignment horizontal="center" vertical="center"/>
    </xf>
    <xf numFmtId="0" fontId="18" fillId="3" borderId="17" xfId="14" applyFont="1" applyFill="1" applyBorder="1" applyAlignment="1">
      <alignment horizontal="left" vertical="center"/>
    </xf>
    <xf numFmtId="0" fontId="18" fillId="3" borderId="16" xfId="14" applyFont="1" applyFill="1" applyBorder="1" applyAlignment="1">
      <alignment horizontal="left" vertical="center"/>
    </xf>
    <xf numFmtId="10" fontId="18" fillId="3" borderId="16" xfId="13" applyNumberFormat="1" applyFont="1" applyFill="1" applyBorder="1" applyAlignment="1">
      <alignment horizontal="center" vertical="center"/>
    </xf>
    <xf numFmtId="195" fontId="59" fillId="25" borderId="20" xfId="15" applyNumberFormat="1" applyFont="1" applyFill="1" applyBorder="1" applyAlignment="1">
      <alignment horizontal="center" vertical="center"/>
    </xf>
    <xf numFmtId="195" fontId="59" fillId="25" borderId="35" xfId="15" applyNumberFormat="1" applyFont="1" applyFill="1" applyBorder="1" applyAlignment="1">
      <alignment horizontal="center" vertical="center"/>
    </xf>
    <xf numFmtId="195" fontId="59" fillId="25" borderId="36" xfId="15" applyNumberFormat="1" applyFont="1" applyFill="1" applyBorder="1" applyAlignment="1">
      <alignment horizontal="center" vertical="center"/>
    </xf>
    <xf numFmtId="195" fontId="50" fillId="25" borderId="20" xfId="15" applyNumberFormat="1" applyFont="1" applyFill="1" applyBorder="1" applyAlignment="1">
      <alignment horizontal="center" vertical="center"/>
    </xf>
    <xf numFmtId="195" fontId="50" fillId="25" borderId="3" xfId="15" applyNumberFormat="1" applyFont="1" applyFill="1" applyBorder="1" applyAlignment="1">
      <alignment horizontal="center" vertical="center"/>
    </xf>
    <xf numFmtId="195" fontId="45" fillId="24" borderId="19" xfId="15" applyNumberFormat="1" applyFont="1" applyFill="1" applyBorder="1" applyAlignment="1">
      <alignment horizontal="center" vertical="center"/>
    </xf>
    <xf numFmtId="195" fontId="45" fillId="24" borderId="32" xfId="15" applyNumberFormat="1" applyFont="1" applyFill="1" applyBorder="1" applyAlignment="1">
      <alignment horizontal="center" vertical="center"/>
    </xf>
    <xf numFmtId="195" fontId="45" fillId="24" borderId="33" xfId="15" applyNumberFormat="1" applyFont="1" applyFill="1" applyBorder="1" applyAlignment="1">
      <alignment horizontal="center" vertical="center"/>
    </xf>
    <xf numFmtId="3" fontId="50" fillId="25" borderId="0" xfId="15" applyNumberFormat="1" applyFont="1" applyFill="1" applyBorder="1" applyAlignment="1">
      <alignment horizontal="center" vertical="center"/>
    </xf>
    <xf numFmtId="195" fontId="45" fillId="27" borderId="20" xfId="15" applyNumberFormat="1" applyFont="1" applyFill="1" applyBorder="1" applyAlignment="1">
      <alignment horizontal="center" vertical="center"/>
    </xf>
    <xf numFmtId="195" fontId="45" fillId="27" borderId="35" xfId="15" applyNumberFormat="1" applyFont="1" applyFill="1" applyBorder="1" applyAlignment="1">
      <alignment horizontal="center" vertical="center"/>
    </xf>
    <xf numFmtId="195" fontId="45" fillId="27" borderId="36" xfId="15" applyNumberFormat="1" applyFont="1" applyFill="1" applyBorder="1" applyAlignment="1">
      <alignment horizontal="center" vertical="center"/>
    </xf>
    <xf numFmtId="195" fontId="51" fillId="27" borderId="20" xfId="15" applyNumberFormat="1" applyFont="1" applyFill="1" applyBorder="1" applyAlignment="1">
      <alignment horizontal="center" vertical="center"/>
    </xf>
    <xf numFmtId="195" fontId="51" fillId="27" borderId="3" xfId="15" applyNumberFormat="1" applyFont="1" applyFill="1" applyBorder="1" applyAlignment="1">
      <alignment horizontal="center" vertical="center"/>
    </xf>
    <xf numFmtId="3" fontId="50" fillId="26" borderId="0" xfId="12" applyNumberFormat="1" applyFont="1" applyFill="1" applyAlignment="1">
      <alignment horizontal="center" vertical="center"/>
    </xf>
    <xf numFmtId="195" fontId="50" fillId="0" borderId="20" xfId="15" applyNumberFormat="1" applyFont="1" applyFill="1" applyBorder="1" applyAlignment="1">
      <alignment horizontal="center" vertical="center"/>
    </xf>
    <xf numFmtId="195" fontId="50" fillId="0" borderId="3" xfId="15" applyNumberFormat="1" applyFont="1" applyFill="1" applyBorder="1" applyAlignment="1">
      <alignment horizontal="center" vertical="center"/>
    </xf>
    <xf numFmtId="195" fontId="45" fillId="24" borderId="20" xfId="15" applyNumberFormat="1" applyFont="1" applyFill="1" applyBorder="1" applyAlignment="1">
      <alignment horizontal="center" vertical="center"/>
    </xf>
    <xf numFmtId="195" fontId="45" fillId="24" borderId="35" xfId="15" applyNumberFormat="1" applyFont="1" applyFill="1" applyBorder="1" applyAlignment="1">
      <alignment horizontal="center" vertical="center"/>
    </xf>
    <xf numFmtId="195" fontId="45" fillId="24" borderId="36" xfId="15" applyNumberFormat="1" applyFont="1" applyFill="1" applyBorder="1" applyAlignment="1">
      <alignment horizontal="center" vertical="center"/>
    </xf>
    <xf numFmtId="195" fontId="51" fillId="24" borderId="20" xfId="15" applyNumberFormat="1" applyFont="1" applyFill="1" applyBorder="1" applyAlignment="1">
      <alignment horizontal="center" vertical="center"/>
    </xf>
    <xf numFmtId="195" fontId="51" fillId="24" borderId="3" xfId="15" applyNumberFormat="1" applyFont="1" applyFill="1" applyBorder="1" applyAlignment="1">
      <alignment horizontal="center" vertical="center"/>
    </xf>
    <xf numFmtId="195" fontId="51" fillId="26" borderId="0" xfId="12" applyNumberFormat="1" applyFont="1" applyFill="1" applyAlignment="1">
      <alignment horizontal="center" vertical="center"/>
    </xf>
    <xf numFmtId="195" fontId="59" fillId="0" borderId="20" xfId="15" applyNumberFormat="1" applyFont="1" applyFill="1" applyBorder="1" applyAlignment="1">
      <alignment horizontal="center" vertical="center"/>
    </xf>
    <xf numFmtId="195" fontId="59" fillId="0" borderId="35" xfId="15" applyNumberFormat="1" applyFont="1" applyFill="1" applyBorder="1" applyAlignment="1">
      <alignment horizontal="center" vertical="center"/>
    </xf>
    <xf numFmtId="195" fontId="59" fillId="0" borderId="36" xfId="15" applyNumberFormat="1" applyFont="1" applyFill="1" applyBorder="1" applyAlignment="1">
      <alignment horizontal="center" vertical="center"/>
    </xf>
    <xf numFmtId="3" fontId="51" fillId="25" borderId="0" xfId="15" applyNumberFormat="1" applyFont="1" applyFill="1" applyBorder="1" applyAlignment="1">
      <alignment horizontal="center" vertical="center"/>
    </xf>
    <xf numFmtId="195" fontId="59" fillId="26" borderId="38" xfId="15" applyNumberFormat="1" applyFont="1" applyFill="1" applyBorder="1" applyAlignment="1">
      <alignment horizontal="center" vertical="center"/>
    </xf>
    <xf numFmtId="195" fontId="59" fillId="26" borderId="39" xfId="15" applyNumberFormat="1" applyFont="1" applyFill="1" applyBorder="1" applyAlignment="1">
      <alignment horizontal="center" vertical="center"/>
    </xf>
    <xf numFmtId="195" fontId="59" fillId="26" borderId="0" xfId="15" applyNumberFormat="1" applyFont="1" applyFill="1" applyBorder="1" applyAlignment="1">
      <alignment horizontal="center" vertical="center"/>
    </xf>
    <xf numFmtId="3" fontId="51" fillId="26" borderId="0" xfId="15" applyNumberFormat="1" applyFont="1" applyFill="1" applyBorder="1" applyAlignment="1">
      <alignment horizontal="center" vertical="center"/>
    </xf>
    <xf numFmtId="10" fontId="51" fillId="25" borderId="0" xfId="13" applyNumberFormat="1" applyFont="1" applyFill="1" applyBorder="1" applyAlignment="1">
      <alignment horizontal="center" vertical="center"/>
    </xf>
    <xf numFmtId="10" fontId="51" fillId="26" borderId="0" xfId="13" applyNumberFormat="1" applyFont="1" applyFill="1" applyBorder="1" applyAlignment="1">
      <alignment horizontal="center" vertical="center"/>
    </xf>
    <xf numFmtId="0" fontId="51" fillId="27" borderId="20" xfId="12" applyFont="1" applyFill="1" applyBorder="1" applyAlignment="1">
      <alignment horizontal="center" vertical="center"/>
    </xf>
    <xf numFmtId="0" fontId="51" fillId="27" borderId="0" xfId="12" applyFont="1" applyFill="1" applyAlignment="1">
      <alignment horizontal="center" vertical="center"/>
    </xf>
    <xf numFmtId="0" fontId="51" fillId="27" borderId="3" xfId="12" applyFont="1" applyFill="1" applyBorder="1" applyAlignment="1">
      <alignment horizontal="center" vertical="center"/>
    </xf>
    <xf numFmtId="195" fontId="59" fillId="0" borderId="38" xfId="15" applyNumberFormat="1" applyFont="1" applyFill="1" applyBorder="1" applyAlignment="1">
      <alignment horizontal="center" vertical="center"/>
    </xf>
    <xf numFmtId="195" fontId="59" fillId="0" borderId="39" xfId="15" applyNumberFormat="1" applyFont="1" applyFill="1" applyBorder="1" applyAlignment="1">
      <alignment horizontal="center" vertical="center"/>
    </xf>
    <xf numFmtId="195" fontId="59" fillId="0" borderId="0" xfId="15" applyNumberFormat="1" applyFont="1" applyFill="1" applyBorder="1" applyAlignment="1">
      <alignment horizontal="center" vertical="center"/>
    </xf>
    <xf numFmtId="195" fontId="45" fillId="27" borderId="38" xfId="15" applyNumberFormat="1" applyFont="1" applyFill="1" applyBorder="1" applyAlignment="1">
      <alignment horizontal="center" vertical="center"/>
    </xf>
    <xf numFmtId="195" fontId="45" fillId="27" borderId="39" xfId="15" applyNumberFormat="1" applyFont="1" applyFill="1" applyBorder="1" applyAlignment="1">
      <alignment horizontal="center" vertical="center"/>
    </xf>
    <xf numFmtId="195" fontId="45" fillId="27" borderId="0" xfId="15" applyNumberFormat="1" applyFont="1" applyFill="1" applyBorder="1" applyAlignment="1">
      <alignment horizontal="center" vertical="center"/>
    </xf>
    <xf numFmtId="3" fontId="50" fillId="26" borderId="0" xfId="15" applyNumberFormat="1" applyFont="1" applyFill="1" applyBorder="1" applyAlignment="1">
      <alignment horizontal="center" vertical="center"/>
    </xf>
    <xf numFmtId="195" fontId="59" fillId="25" borderId="38" xfId="15" applyNumberFormat="1" applyFont="1" applyFill="1" applyBorder="1" applyAlignment="1">
      <alignment horizontal="center" vertical="center"/>
    </xf>
    <xf numFmtId="195" fontId="59" fillId="25" borderId="39" xfId="15" applyNumberFormat="1" applyFont="1" applyFill="1" applyBorder="1" applyAlignment="1">
      <alignment horizontal="center" vertical="center"/>
    </xf>
    <xf numFmtId="195" fontId="59" fillId="25" borderId="0" xfId="15" applyNumberFormat="1" applyFont="1" applyFill="1" applyBorder="1" applyAlignment="1">
      <alignment horizontal="center" vertical="center"/>
    </xf>
    <xf numFmtId="195" fontId="45" fillId="24" borderId="38" xfId="15" applyNumberFormat="1" applyFont="1" applyFill="1" applyBorder="1" applyAlignment="1">
      <alignment horizontal="center" vertical="center"/>
    </xf>
    <xf numFmtId="195" fontId="45" fillId="24" borderId="39" xfId="15" applyNumberFormat="1" applyFont="1" applyFill="1" applyBorder="1" applyAlignment="1">
      <alignment horizontal="center" vertical="center"/>
    </xf>
    <xf numFmtId="195" fontId="45" fillId="24" borderId="0" xfId="15" applyNumberFormat="1" applyFont="1" applyFill="1" applyBorder="1" applyAlignment="1">
      <alignment horizontal="center" vertical="center"/>
    </xf>
    <xf numFmtId="10" fontId="51" fillId="25" borderId="0" xfId="15" applyNumberFormat="1" applyFont="1" applyFill="1" applyBorder="1" applyAlignment="1">
      <alignment horizontal="center" vertical="center"/>
    </xf>
    <xf numFmtId="211" fontId="50" fillId="26" borderId="20" xfId="14" applyNumberFormat="1" applyFont="1" applyFill="1" applyBorder="1" applyAlignment="1">
      <alignment horizontal="left" vertical="center"/>
    </xf>
    <xf numFmtId="211" fontId="50" fillId="26" borderId="0" xfId="14" applyNumberFormat="1" applyFont="1" applyFill="1" applyBorder="1" applyAlignment="1">
      <alignment horizontal="left" vertical="center"/>
    </xf>
    <xf numFmtId="10" fontId="51" fillId="26" borderId="0" xfId="15" applyNumberFormat="1" applyFont="1" applyFill="1" applyBorder="1" applyAlignment="1">
      <alignment horizontal="center" vertical="center"/>
    </xf>
    <xf numFmtId="166" fontId="57" fillId="0" borderId="0" xfId="15" applyNumberFormat="1" applyFont="1" applyBorder="1" applyAlignment="1">
      <alignment horizontal="center" vertical="center"/>
    </xf>
    <xf numFmtId="0" fontId="50" fillId="0" borderId="20" xfId="12" applyFont="1" applyBorder="1" applyAlignment="1">
      <alignment horizontal="center" vertical="center"/>
    </xf>
    <xf numFmtId="0" fontId="50" fillId="0" borderId="0" xfId="12" applyFont="1" applyAlignment="1">
      <alignment horizontal="center" vertical="center"/>
    </xf>
    <xf numFmtId="0" fontId="62" fillId="0" borderId="20" xfId="12" applyFont="1" applyBorder="1" applyAlignment="1">
      <alignment horizontal="center" vertical="center"/>
    </xf>
    <xf numFmtId="0" fontId="62" fillId="0" borderId="0" xfId="12" applyFont="1" applyAlignment="1">
      <alignment horizontal="center" vertical="center"/>
    </xf>
    <xf numFmtId="195" fontId="52" fillId="0" borderId="0" xfId="12" applyNumberFormat="1" applyFont="1" applyAlignment="1">
      <alignment horizontal="center" vertical="center"/>
    </xf>
    <xf numFmtId="198" fontId="57" fillId="0" borderId="20" xfId="12" applyNumberFormat="1" applyFont="1" applyBorder="1" applyAlignment="1">
      <alignment horizontal="center" vertical="center"/>
    </xf>
    <xf numFmtId="198" fontId="57" fillId="0" borderId="0" xfId="12" applyNumberFormat="1" applyFont="1" applyAlignment="1">
      <alignment horizontal="center" vertical="center"/>
    </xf>
    <xf numFmtId="195" fontId="63" fillId="0" borderId="0" xfId="12" applyNumberFormat="1" applyFont="1" applyAlignment="1">
      <alignment horizontal="center" vertical="center"/>
    </xf>
    <xf numFmtId="199" fontId="50" fillId="0" borderId="20" xfId="12" applyNumberFormat="1" applyFont="1" applyBorder="1" applyAlignment="1">
      <alignment horizontal="center" vertical="center"/>
    </xf>
    <xf numFmtId="199" fontId="50" fillId="0" borderId="0" xfId="12" applyNumberFormat="1" applyFont="1" applyBorder="1" applyAlignment="1">
      <alignment horizontal="center" vertical="center"/>
    </xf>
    <xf numFmtId="9" fontId="64" fillId="0" borderId="0" xfId="17" applyFont="1" applyBorder="1" applyAlignment="1">
      <alignment horizontal="center" vertical="center"/>
    </xf>
    <xf numFmtId="3" fontId="89" fillId="25" borderId="0" xfId="15" applyNumberFormat="1" applyFont="1" applyFill="1" applyBorder="1" applyAlignment="1">
      <alignment horizontal="center" vertical="center"/>
    </xf>
    <xf numFmtId="199" fontId="50" fillId="0" borderId="0" xfId="12" applyNumberFormat="1" applyFont="1" applyAlignment="1">
      <alignment horizontal="center" vertical="center"/>
    </xf>
    <xf numFmtId="10" fontId="64" fillId="0" borderId="0" xfId="17" applyNumberFormat="1" applyFont="1" applyAlignment="1">
      <alignment horizontal="center" vertical="center"/>
    </xf>
    <xf numFmtId="3" fontId="89" fillId="25" borderId="4" xfId="15" applyNumberFormat="1" applyFont="1" applyFill="1" applyBorder="1" applyAlignment="1">
      <alignment horizontal="center" vertical="center"/>
    </xf>
    <xf numFmtId="3" fontId="89" fillId="25" borderId="5" xfId="15" applyNumberFormat="1" applyFont="1" applyFill="1" applyBorder="1" applyAlignment="1">
      <alignment horizontal="center" vertical="center"/>
    </xf>
    <xf numFmtId="9" fontId="64" fillId="0" borderId="1" xfId="17" applyFont="1" applyBorder="1" applyAlignment="1">
      <alignment horizontal="center" vertical="center"/>
    </xf>
    <xf numFmtId="199" fontId="50" fillId="0" borderId="19" xfId="12" applyNumberFormat="1" applyFont="1" applyBorder="1" applyAlignment="1">
      <alignment horizontal="center" vertical="center"/>
    </xf>
    <xf numFmtId="199" fontId="50" fillId="0" borderId="4" xfId="12" applyNumberFormat="1" applyFont="1" applyBorder="1" applyAlignment="1">
      <alignment horizontal="center" vertical="center"/>
    </xf>
    <xf numFmtId="10" fontId="64" fillId="0" borderId="4" xfId="17" applyNumberFormat="1" applyFont="1" applyBorder="1" applyAlignment="1">
      <alignment horizontal="center" vertical="center"/>
    </xf>
    <xf numFmtId="199" fontId="50" fillId="0" borderId="21" xfId="12" applyNumberFormat="1" applyFont="1" applyBorder="1" applyAlignment="1">
      <alignment horizontal="center" vertical="center"/>
    </xf>
    <xf numFmtId="199" fontId="50" fillId="0" borderId="1" xfId="12" applyNumberFormat="1" applyFont="1" applyBorder="1" applyAlignment="1">
      <alignment horizontal="center" vertical="center"/>
    </xf>
    <xf numFmtId="3" fontId="50" fillId="25" borderId="1" xfId="15" applyNumberFormat="1" applyFont="1" applyFill="1" applyBorder="1" applyAlignment="1">
      <alignment horizontal="center" vertical="center"/>
    </xf>
    <xf numFmtId="3" fontId="50" fillId="25" borderId="2" xfId="15" applyNumberFormat="1" applyFont="1" applyFill="1" applyBorder="1" applyAlignment="1">
      <alignment horizontal="center" vertical="center"/>
    </xf>
    <xf numFmtId="0" fontId="60" fillId="0" borderId="20" xfId="12" applyFont="1" applyBorder="1" applyAlignment="1">
      <alignment horizontal="center" vertical="center"/>
    </xf>
    <xf numFmtId="0" fontId="60" fillId="0" borderId="0" xfId="12" applyFont="1" applyAlignment="1">
      <alignment horizontal="center" vertical="center"/>
    </xf>
    <xf numFmtId="195" fontId="50" fillId="0" borderId="0" xfId="12" applyNumberFormat="1" applyFont="1" applyAlignment="1">
      <alignment horizontal="center" vertical="center"/>
    </xf>
    <xf numFmtId="195" fontId="50" fillId="0" borderId="3" xfId="12" applyNumberFormat="1" applyFont="1" applyBorder="1" applyAlignment="1">
      <alignment horizontal="center" vertical="center"/>
    </xf>
    <xf numFmtId="195" fontId="50" fillId="0" borderId="0" xfId="12" applyNumberFormat="1" applyFont="1" applyAlignment="1">
      <alignment horizontal="center" vertical="center" wrapText="1"/>
    </xf>
    <xf numFmtId="195" fontId="50" fillId="0" borderId="3" xfId="12" applyNumberFormat="1" applyFont="1" applyBorder="1" applyAlignment="1">
      <alignment horizontal="center" vertical="center" wrapText="1"/>
    </xf>
    <xf numFmtId="195" fontId="16" fillId="0" borderId="20" xfId="12" applyNumberFormat="1" applyBorder="1" applyAlignment="1">
      <alignment horizontal="center" vertical="center"/>
    </xf>
    <xf numFmtId="195" fontId="16" fillId="0" borderId="0" xfId="12" applyNumberFormat="1" applyAlignment="1">
      <alignment horizontal="center" vertical="center"/>
    </xf>
    <xf numFmtId="200" fontId="50" fillId="0" borderId="1" xfId="12" applyNumberFormat="1" applyFont="1" applyBorder="1" applyAlignment="1">
      <alignment horizontal="center" vertical="center"/>
    </xf>
    <xf numFmtId="0" fontId="50" fillId="0" borderId="1" xfId="12" applyFont="1" applyBorder="1" applyAlignment="1">
      <alignment horizontal="center" vertical="center"/>
    </xf>
    <xf numFmtId="169" fontId="60" fillId="0" borderId="0" xfId="12" applyNumberFormat="1" applyFont="1" applyAlignment="1">
      <alignment horizontal="center" vertical="center"/>
    </xf>
    <xf numFmtId="9" fontId="60" fillId="0" borderId="0" xfId="17" applyFont="1" applyAlignment="1">
      <alignment horizontal="center" vertical="center"/>
    </xf>
    <xf numFmtId="195" fontId="59" fillId="0" borderId="40" xfId="15" applyNumberFormat="1" applyFont="1" applyFill="1" applyBorder="1" applyAlignment="1">
      <alignment horizontal="center" vertical="center"/>
    </xf>
    <xf numFmtId="195" fontId="59" fillId="0" borderId="41" xfId="15" applyNumberFormat="1" applyFont="1" applyFill="1" applyBorder="1" applyAlignment="1">
      <alignment horizontal="center" vertical="center"/>
    </xf>
    <xf numFmtId="195" fontId="59" fillId="0" borderId="21" xfId="15" applyNumberFormat="1" applyFont="1" applyFill="1" applyBorder="1" applyAlignment="1">
      <alignment horizontal="center" vertical="center"/>
    </xf>
    <xf numFmtId="195" fontId="59" fillId="0" borderId="1" xfId="15" applyNumberFormat="1" applyFont="1" applyFill="1" applyBorder="1" applyAlignment="1">
      <alignment horizontal="center" vertical="center"/>
    </xf>
    <xf numFmtId="195" fontId="50" fillId="0" borderId="21" xfId="15" applyNumberFormat="1" applyFont="1" applyFill="1" applyBorder="1" applyAlignment="1">
      <alignment horizontal="center" vertical="center"/>
    </xf>
    <xf numFmtId="195" fontId="50" fillId="0" borderId="2" xfId="15" applyNumberFormat="1" applyFont="1" applyFill="1" applyBorder="1" applyAlignment="1">
      <alignment horizontal="center" vertical="center"/>
    </xf>
    <xf numFmtId="0" fontId="90" fillId="0" borderId="58" xfId="14" applyFont="1" applyBorder="1" applyAlignment="1">
      <alignment horizontal="center"/>
    </xf>
    <xf numFmtId="0" fontId="90" fillId="0" borderId="59" xfId="14" applyFont="1" applyBorder="1" applyAlignment="1">
      <alignment horizontal="center"/>
    </xf>
    <xf numFmtId="0" fontId="90" fillId="0" borderId="60" xfId="14" applyFont="1" applyBorder="1" applyAlignment="1">
      <alignment horizontal="center"/>
    </xf>
    <xf numFmtId="0" fontId="90" fillId="34" borderId="17" xfId="14" applyFont="1" applyFill="1" applyBorder="1" applyAlignment="1">
      <alignment horizontal="center" vertical="center"/>
    </xf>
    <xf numFmtId="0" fontId="90" fillId="34" borderId="16" xfId="14" applyFont="1" applyFill="1" applyBorder="1" applyAlignment="1">
      <alignment horizontal="center" vertical="center"/>
    </xf>
    <xf numFmtId="0" fontId="90" fillId="34" borderId="18" xfId="14" applyFont="1" applyFill="1" applyBorder="1" applyAlignment="1">
      <alignment horizontal="center" vertical="center"/>
    </xf>
    <xf numFmtId="0" fontId="90" fillId="0" borderId="19" xfId="14" applyFont="1" applyBorder="1" applyAlignment="1">
      <alignment horizontal="center"/>
    </xf>
    <xf numFmtId="0" fontId="90" fillId="0" borderId="4" xfId="14" applyFont="1" applyBorder="1" applyAlignment="1">
      <alignment horizontal="center"/>
    </xf>
    <xf numFmtId="0" fontId="90" fillId="0" borderId="5" xfId="14" applyFont="1" applyBorder="1" applyAlignment="1">
      <alignment horizontal="center"/>
    </xf>
    <xf numFmtId="0" fontId="48" fillId="34" borderId="65" xfId="14" applyFill="1" applyBorder="1" applyAlignment="1">
      <alignment horizontal="right" indent="1"/>
    </xf>
    <xf numFmtId="0" fontId="48" fillId="34" borderId="66" xfId="14" applyFill="1" applyBorder="1" applyAlignment="1">
      <alignment horizontal="right" indent="1"/>
    </xf>
    <xf numFmtId="0" fontId="48" fillId="34" borderId="67" xfId="14" applyFill="1" applyBorder="1" applyAlignment="1">
      <alignment horizontal="right" indent="1"/>
    </xf>
    <xf numFmtId="169" fontId="48" fillId="34" borderId="65" xfId="14" applyNumberFormat="1" applyFill="1" applyBorder="1" applyAlignment="1">
      <alignment horizontal="right" indent="1"/>
    </xf>
    <xf numFmtId="0" fontId="4" fillId="14" borderId="17" xfId="23" applyFont="1" applyFill="1" applyBorder="1" applyAlignment="1">
      <alignment horizontal="center" vertical="center"/>
    </xf>
    <xf numFmtId="0" fontId="4" fillId="14" borderId="16" xfId="23" applyFont="1" applyFill="1" applyBorder="1" applyAlignment="1">
      <alignment horizontal="center" vertical="center"/>
    </xf>
    <xf numFmtId="0" fontId="4" fillId="14" borderId="18" xfId="23" applyFont="1" applyFill="1" applyBorder="1" applyAlignment="1">
      <alignment horizontal="center" vertical="center"/>
    </xf>
    <xf numFmtId="0" fontId="76" fillId="31" borderId="0" xfId="4" applyFont="1" applyFill="1" applyAlignment="1">
      <alignment horizontal="center"/>
    </xf>
    <xf numFmtId="0" fontId="71" fillId="11" borderId="19" xfId="12" applyFont="1" applyFill="1" applyBorder="1" applyAlignment="1">
      <alignment horizontal="center"/>
    </xf>
    <xf numFmtId="0" fontId="71" fillId="11" borderId="4" xfId="12" applyFont="1" applyFill="1" applyBorder="1" applyAlignment="1">
      <alignment horizontal="center"/>
    </xf>
    <xf numFmtId="0" fontId="71" fillId="11" borderId="5" xfId="12" applyFont="1" applyFill="1" applyBorder="1" applyAlignment="1">
      <alignment horizontal="center"/>
    </xf>
    <xf numFmtId="0" fontId="104" fillId="0" borderId="0" xfId="14" applyFont="1" applyAlignment="1">
      <alignment horizontal="center"/>
    </xf>
    <xf numFmtId="0" fontId="106" fillId="0" borderId="0" xfId="14" applyFont="1" applyAlignment="1">
      <alignment horizontal="left" vertical="center" indent="1"/>
    </xf>
    <xf numFmtId="10" fontId="110" fillId="0" borderId="69" xfId="17" applyNumberFormat="1" applyFont="1" applyFill="1" applyBorder="1" applyAlignment="1" applyProtection="1">
      <alignment horizontal="center" vertical="center" wrapText="1"/>
    </xf>
    <xf numFmtId="201" fontId="111" fillId="9" borderId="69" xfId="14" applyNumberFormat="1" applyFont="1" applyFill="1" applyBorder="1" applyAlignment="1">
      <alignment horizontal="center" vertical="center" wrapText="1"/>
    </xf>
    <xf numFmtId="200" fontId="110" fillId="0" borderId="69" xfId="14" applyNumberFormat="1" applyFont="1" applyBorder="1" applyAlignment="1">
      <alignment horizontal="center" vertical="center"/>
    </xf>
    <xf numFmtId="200" fontId="112" fillId="40" borderId="69" xfId="14" applyNumberFormat="1" applyFont="1" applyFill="1" applyBorder="1" applyAlignment="1">
      <alignment horizontal="center" vertical="center"/>
    </xf>
    <xf numFmtId="200" fontId="112" fillId="41" borderId="69" xfId="14" applyNumberFormat="1" applyFont="1" applyFill="1" applyBorder="1" applyAlignment="1">
      <alignment horizontal="center" vertical="center"/>
    </xf>
    <xf numFmtId="0" fontId="110" fillId="0" borderId="69" xfId="17" applyNumberFormat="1" applyFont="1" applyFill="1" applyBorder="1" applyAlignment="1" applyProtection="1">
      <alignment horizontal="center" vertical="center"/>
    </xf>
    <xf numFmtId="0" fontId="113" fillId="0" borderId="0" xfId="14" applyFont="1" applyAlignment="1">
      <alignment horizontal="center"/>
    </xf>
    <xf numFmtId="166" fontId="110" fillId="0" borderId="69" xfId="17" applyNumberFormat="1" applyFont="1" applyFill="1" applyBorder="1" applyAlignment="1" applyProtection="1">
      <alignment horizontal="center" vertical="center"/>
    </xf>
    <xf numFmtId="0" fontId="103" fillId="0" borderId="0" xfId="14" applyFont="1" applyAlignment="1">
      <alignment horizontal="center"/>
    </xf>
    <xf numFmtId="0" fontId="50" fillId="0" borderId="19" xfId="12" applyFont="1" applyBorder="1" applyAlignment="1">
      <alignment horizontal="center" vertical="center"/>
    </xf>
    <xf numFmtId="0" fontId="50" fillId="0" borderId="4" xfId="12" applyFont="1" applyBorder="1" applyAlignment="1">
      <alignment horizontal="center" vertical="center"/>
    </xf>
    <xf numFmtId="195" fontId="50" fillId="0" borderId="4" xfId="12" applyNumberFormat="1" applyFont="1" applyBorder="1" applyAlignment="1">
      <alignment horizontal="center" vertical="center"/>
    </xf>
  </cellXfs>
  <cellStyles count="27">
    <cellStyle name="Comma 2 2 2" xfId="7" xr:uid="{5B911934-933D-4C03-8814-0C5AF5C8C9BE}"/>
    <cellStyle name="Comma 4" xfId="10" xr:uid="{F7C81410-13D6-41B0-809A-AE03B8BFDA6C}"/>
    <cellStyle name="Comma 5" xfId="6" xr:uid="{A74898F2-CF83-4CCB-BCCC-8A357D77E193}"/>
    <cellStyle name="Hiperlink" xfId="5" builtinId="8"/>
    <cellStyle name="Hiperlink 2" xfId="18" xr:uid="{A4DE6232-B495-49D5-A508-6B202EC8FAA0}"/>
    <cellStyle name="Moeda" xfId="2" builtinId="4"/>
    <cellStyle name="Moeda 2" xfId="11" xr:uid="{CD42EDB8-DEE9-4985-A4B1-433C24A8CC7B}"/>
    <cellStyle name="Moeda 2 2" xfId="19" xr:uid="{F481A763-5313-46C4-8DD7-0875E66E5EC5}"/>
    <cellStyle name="Moeda 3" xfId="16" xr:uid="{8CA2A962-006F-4B96-8D6B-73400CE6C0B8}"/>
    <cellStyle name="Moeda 4" xfId="25" xr:uid="{64D3CC3E-98B0-4ABA-8AF4-8DA4CF0A6F1D}"/>
    <cellStyle name="Normal" xfId="0" builtinId="0"/>
    <cellStyle name="Normal 2" xfId="4" xr:uid="{C180A7DF-A4F2-42B0-994B-617A477E4D6A}"/>
    <cellStyle name="Normal 3" xfId="14" xr:uid="{65246E11-FB20-432C-A217-065E0126B12D}"/>
    <cellStyle name="Normal 3 2" xfId="8" xr:uid="{B4E70401-D274-46EE-81CC-871B6008A38A}"/>
    <cellStyle name="Normal 4" xfId="12" xr:uid="{C74B67A3-353D-4146-A643-BA96A3AFE59D}"/>
    <cellStyle name="Normal 5" xfId="21" xr:uid="{9AD62DB8-AA2F-4D7A-A72C-2DF8031FDA1A}"/>
    <cellStyle name="Normal 5 2" xfId="23" xr:uid="{5016D69F-E923-4E56-A318-87F43B8D5774}"/>
    <cellStyle name="Percent 2" xfId="9" xr:uid="{C49609B7-8DFC-4069-859E-25BF4F52F435}"/>
    <cellStyle name="Porcentagem" xfId="3" builtinId="5"/>
    <cellStyle name="Porcentagem 2" xfId="17" xr:uid="{97FF6D83-0F67-4FE5-9361-0D7B69035D7C}"/>
    <cellStyle name="Porcentagem 2 2" xfId="26" xr:uid="{D1BA176A-D332-4FCB-9BAF-41BC3720F397}"/>
    <cellStyle name="Porcentagem 3" xfId="13" xr:uid="{D3443CDD-8411-45D2-93EC-35E9CF14D4C8}"/>
    <cellStyle name="Vírgula" xfId="1" builtinId="3"/>
    <cellStyle name="Vírgula 2" xfId="20" xr:uid="{BF72CCE7-EAE3-483E-AFBB-A7AD778F9239}"/>
    <cellStyle name="Vírgula 3" xfId="15" xr:uid="{EABF327F-9DA0-42FD-B276-A9E7588C3A0C}"/>
    <cellStyle name="Vírgula 4" xfId="22" xr:uid="{8F779386-1C88-4A11-AA80-3F896BE66346}"/>
    <cellStyle name="Vírgula 4 2" xfId="24" xr:uid="{EA68A3CF-3840-4607-A52D-F674E884F39D}"/>
  </cellStyles>
  <dxfs count="45">
    <dxf>
      <font>
        <color rgb="FF55B03E"/>
      </font>
      <fill>
        <patternFill patternType="none">
          <bgColor auto="1"/>
        </patternFill>
      </fill>
    </dxf>
    <dxf>
      <font>
        <color rgb="FFF0462E"/>
      </font>
      <fill>
        <patternFill patternType="none">
          <bgColor auto="1"/>
        </patternFill>
      </fill>
    </dxf>
    <dxf>
      <font>
        <color rgb="FFF0462E"/>
      </font>
      <fill>
        <patternFill>
          <bgColor theme="0"/>
        </patternFill>
      </fill>
    </dxf>
    <dxf>
      <font>
        <color rgb="FF55B03E"/>
      </font>
      <fill>
        <patternFill>
          <bgColor theme="0"/>
        </patternFill>
      </fill>
    </dxf>
    <dxf>
      <font>
        <color rgb="FFF0462E"/>
      </font>
      <fill>
        <patternFill patternType="none">
          <bgColor auto="1"/>
        </patternFill>
      </fill>
    </dxf>
    <dxf>
      <font>
        <color rgb="FF55B03E"/>
      </font>
      <fill>
        <patternFill patternType="none">
          <bgColor auto="1"/>
        </patternFill>
      </fill>
    </dxf>
    <dxf>
      <font>
        <color theme="0"/>
      </font>
      <fill>
        <patternFill patternType="solid">
          <bgColor rgb="FFF0462E"/>
        </patternFill>
      </fill>
    </dxf>
    <dxf>
      <font>
        <color theme="0"/>
      </font>
      <fill>
        <patternFill patternType="solid">
          <bgColor rgb="FF55B03E"/>
        </patternFill>
      </fill>
    </dxf>
    <dxf>
      <font>
        <color theme="0"/>
      </font>
      <fill>
        <patternFill patternType="solid">
          <bgColor rgb="FFF0462E"/>
        </patternFill>
      </fill>
    </dxf>
    <dxf>
      <font>
        <color theme="0"/>
      </font>
      <fill>
        <patternFill patternType="solid">
          <bgColor rgb="FF55B03E"/>
        </patternFill>
      </fill>
    </dxf>
    <dxf>
      <font>
        <color theme="0"/>
      </font>
      <fill>
        <patternFill patternType="solid">
          <bgColor rgb="FFF0462E"/>
        </patternFill>
      </fill>
    </dxf>
    <dxf>
      <font>
        <color theme="0"/>
      </font>
      <fill>
        <patternFill patternType="solid">
          <bgColor rgb="FF55B03E"/>
        </patternFill>
      </fill>
    </dxf>
    <dxf>
      <font>
        <color theme="0"/>
      </font>
      <fill>
        <patternFill patternType="solid">
          <bgColor rgb="FFF0462E"/>
        </patternFill>
      </fill>
    </dxf>
    <dxf>
      <font>
        <color theme="0"/>
      </font>
      <fill>
        <patternFill patternType="solid">
          <bgColor rgb="FF55B03E"/>
        </patternFill>
      </fill>
    </dxf>
    <dxf>
      <font>
        <color theme="0"/>
      </font>
      <fill>
        <patternFill patternType="solid">
          <bgColor rgb="FFF0462E"/>
        </patternFill>
      </fill>
    </dxf>
    <dxf>
      <font>
        <color theme="0"/>
      </font>
      <fill>
        <patternFill patternType="solid">
          <bgColor rgb="FF55B03E"/>
        </patternFill>
      </fill>
    </dxf>
    <dxf>
      <font>
        <color theme="0"/>
      </font>
      <fill>
        <patternFill patternType="solid">
          <bgColor rgb="FFF0462E"/>
        </patternFill>
      </fill>
    </dxf>
    <dxf>
      <font>
        <color theme="0"/>
      </font>
      <fill>
        <patternFill patternType="solid">
          <bgColor rgb="FF55B03E"/>
        </patternFill>
      </fill>
    </dxf>
    <dxf>
      <font>
        <color theme="0"/>
      </font>
      <fill>
        <patternFill patternType="solid">
          <bgColor rgb="FFF0462E"/>
        </patternFill>
      </fill>
    </dxf>
    <dxf>
      <font>
        <color theme="0"/>
      </font>
      <fill>
        <patternFill patternType="solid">
          <bgColor rgb="FF55B03E"/>
        </patternFill>
      </fill>
    </dxf>
    <dxf>
      <font>
        <b/>
        <i val="0"/>
        <color theme="0"/>
      </font>
      <fill>
        <patternFill>
          <bgColor theme="2" tint="-0.749961851863155"/>
        </patternFill>
      </fill>
    </dxf>
    <dxf>
      <font>
        <b/>
        <i val="0"/>
      </font>
      <fill>
        <patternFill>
          <bgColor theme="2" tint="-0.499984740745262"/>
        </patternFill>
      </fill>
    </dxf>
    <dxf>
      <font>
        <b/>
        <i val="0"/>
      </font>
      <fill>
        <patternFill>
          <bgColor theme="2" tint="-0.24994659260841701"/>
        </patternFill>
      </fill>
    </dxf>
    <dxf>
      <font>
        <b/>
        <i val="0"/>
      </font>
      <fill>
        <patternFill>
          <bgColor theme="2" tint="-9.9948118533890809E-2"/>
        </patternFill>
      </fill>
    </dxf>
    <dxf>
      <font>
        <b/>
        <i val="0"/>
      </font>
      <fill>
        <patternFill>
          <bgColor theme="6" tint="0.79998168889431442"/>
        </patternFill>
      </fill>
    </dxf>
    <dxf>
      <font>
        <b/>
        <i val="0"/>
        <color theme="0"/>
      </font>
      <fill>
        <patternFill>
          <bgColor theme="2" tint="-0.749961851863155"/>
        </patternFill>
      </fill>
    </dxf>
    <dxf>
      <font>
        <b/>
        <i val="0"/>
      </font>
      <fill>
        <patternFill>
          <bgColor theme="2" tint="-0.499984740745262"/>
        </patternFill>
      </fill>
    </dxf>
    <dxf>
      <font>
        <b/>
        <i val="0"/>
      </font>
      <fill>
        <patternFill>
          <bgColor theme="2" tint="-0.24994659260841701"/>
        </patternFill>
      </fill>
    </dxf>
    <dxf>
      <font>
        <b/>
        <i val="0"/>
      </font>
      <fill>
        <patternFill>
          <bgColor theme="2" tint="-9.9948118533890809E-2"/>
        </patternFill>
      </fill>
    </dxf>
    <dxf>
      <font>
        <b/>
        <i val="0"/>
      </font>
      <fill>
        <patternFill>
          <bgColor theme="6" tint="0.79998168889431442"/>
        </patternFill>
      </fill>
    </dxf>
    <dxf>
      <font>
        <b/>
        <i val="0"/>
        <color theme="0"/>
      </font>
      <fill>
        <patternFill>
          <bgColor theme="2" tint="-0.749961851863155"/>
        </patternFill>
      </fill>
    </dxf>
    <dxf>
      <font>
        <b/>
        <i val="0"/>
      </font>
      <fill>
        <patternFill>
          <bgColor theme="2" tint="-0.499984740745262"/>
        </patternFill>
      </fill>
    </dxf>
    <dxf>
      <font>
        <b/>
        <i val="0"/>
      </font>
      <fill>
        <patternFill>
          <bgColor theme="2" tint="-0.24994659260841701"/>
        </patternFill>
      </fill>
    </dxf>
    <dxf>
      <font>
        <b/>
        <i val="0"/>
      </font>
      <fill>
        <patternFill>
          <bgColor theme="2" tint="-9.9948118533890809E-2"/>
        </patternFill>
      </fill>
    </dxf>
    <dxf>
      <font>
        <b/>
        <i val="0"/>
      </font>
      <fill>
        <patternFill>
          <bgColor theme="6" tint="0.79998168889431442"/>
        </patternFill>
      </fill>
    </dxf>
    <dxf>
      <font>
        <b/>
        <i val="0"/>
        <color theme="0"/>
      </font>
      <fill>
        <patternFill>
          <bgColor theme="2" tint="-0.749961851863155"/>
        </patternFill>
      </fill>
    </dxf>
    <dxf>
      <font>
        <b/>
        <i val="0"/>
      </font>
      <fill>
        <patternFill>
          <bgColor theme="2" tint="-0.499984740745262"/>
        </patternFill>
      </fill>
    </dxf>
    <dxf>
      <font>
        <b/>
        <i val="0"/>
      </font>
      <fill>
        <patternFill>
          <bgColor theme="2" tint="-0.24994659260841701"/>
        </patternFill>
      </fill>
    </dxf>
    <dxf>
      <font>
        <b/>
        <i val="0"/>
      </font>
      <fill>
        <patternFill>
          <bgColor theme="2" tint="-9.9948118533890809E-2"/>
        </patternFill>
      </fill>
    </dxf>
    <dxf>
      <font>
        <b/>
        <i val="0"/>
      </font>
      <fill>
        <patternFill>
          <bgColor theme="6" tint="0.79998168889431442"/>
        </patternFill>
      </fill>
    </dxf>
    <dxf>
      <font>
        <b/>
        <i val="0"/>
        <color theme="0"/>
      </font>
      <fill>
        <patternFill>
          <bgColor theme="2" tint="-0.749961851863155"/>
        </patternFill>
      </fill>
    </dxf>
    <dxf>
      <font>
        <b/>
        <i val="0"/>
      </font>
      <fill>
        <patternFill>
          <bgColor theme="2" tint="-0.499984740745262"/>
        </patternFill>
      </fill>
    </dxf>
    <dxf>
      <font>
        <b/>
        <i val="0"/>
      </font>
      <fill>
        <patternFill>
          <bgColor theme="2" tint="-0.24994659260841701"/>
        </patternFill>
      </fill>
    </dxf>
    <dxf>
      <font>
        <b/>
        <i val="0"/>
      </font>
      <fill>
        <patternFill>
          <bgColor theme="2" tint="-9.9948118533890809E-2"/>
        </patternFill>
      </fill>
    </dxf>
    <dxf>
      <font>
        <b/>
        <i val="0"/>
      </font>
      <fill>
        <patternFill>
          <bgColor theme="6"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4.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3.xml"/><Relationship Id="rId33" Type="http://schemas.openxmlformats.org/officeDocument/2006/relationships/externalLink" Target="externalLinks/externalLink11.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7.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2.xml"/><Relationship Id="rId32" Type="http://schemas.openxmlformats.org/officeDocument/2006/relationships/externalLink" Target="externalLinks/externalLink10.xml"/><Relationship Id="rId37"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1.xml"/><Relationship Id="rId28" Type="http://schemas.openxmlformats.org/officeDocument/2006/relationships/externalLink" Target="externalLinks/externalLink6.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5.xml"/><Relationship Id="rId30" Type="http://schemas.openxmlformats.org/officeDocument/2006/relationships/externalLink" Target="externalLinks/externalLink8.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6.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7.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8.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9.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0.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1.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3.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4.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5.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ysClr val="windowText" lastClr="000000"/>
                </a:solidFill>
                <a:latin typeface="+mn-lt"/>
                <a:ea typeface="+mn-ea"/>
                <a:cs typeface="+mn-cs"/>
              </a:defRPr>
            </a:pPr>
            <a:r>
              <a:rPr lang="pt-BR" sz="1600" b="1">
                <a:solidFill>
                  <a:sysClr val="windowText" lastClr="000000"/>
                </a:solidFill>
              </a:rPr>
              <a:t>Detalhamento</a:t>
            </a:r>
            <a:r>
              <a:rPr lang="pt-BR" sz="1600" b="1" baseline="0">
                <a:solidFill>
                  <a:sysClr val="windowText" lastClr="000000"/>
                </a:solidFill>
              </a:rPr>
              <a:t> dos valores do investimento</a:t>
            </a:r>
            <a:endParaRPr lang="pt-BR" sz="1600" b="1">
              <a:solidFill>
                <a:sysClr val="windowText" lastClr="000000"/>
              </a:solidFill>
            </a:endParaRPr>
          </a:p>
        </c:rich>
      </c:tx>
      <c:overlay val="0"/>
      <c:spPr>
        <a:noFill/>
        <a:ln>
          <a:noFill/>
        </a:ln>
        <a:effectLst/>
      </c:spPr>
      <c:txPr>
        <a:bodyPr rot="0" spcFirstLastPara="1" vertOverflow="ellipsis" vert="horz" wrap="square" anchor="ctr" anchorCtr="1"/>
        <a:lstStyle/>
        <a:p>
          <a:pPr>
            <a:defRPr sz="1600" b="1" i="0" u="none" strike="noStrike" kern="1200" spc="0" baseline="0">
              <a:solidFill>
                <a:sysClr val="windowText" lastClr="000000"/>
              </a:solidFill>
              <a:latin typeface="+mn-lt"/>
              <a:ea typeface="+mn-ea"/>
              <a:cs typeface="+mn-cs"/>
            </a:defRPr>
          </a:pPr>
          <a:endParaRPr lang="pt-BR"/>
        </a:p>
      </c:txPr>
    </c:title>
    <c:autoTitleDeleted val="0"/>
    <c:plotArea>
      <c:layout/>
      <c:barChart>
        <c:barDir val="col"/>
        <c:grouping val="stacked"/>
        <c:varyColors val="0"/>
        <c:ser>
          <c:idx val="2"/>
          <c:order val="0"/>
          <c:spPr>
            <a:noFill/>
            <a:ln>
              <a:noFill/>
            </a:ln>
            <a:effectLst/>
          </c:spPr>
          <c:invertIfNegative val="0"/>
          <c:cat>
            <c:strRef>
              <c:f>'Painel de Controle para SCP-Inv'!$C$51:$C$60</c:f>
              <c:strCache>
                <c:ptCount val="10"/>
                <c:pt idx="0">
                  <c:v>Entrada</c:v>
                </c:pt>
                <c:pt idx="1">
                  <c:v>Valor da Parcela</c:v>
                </c:pt>
                <c:pt idx="2">
                  <c:v>Aditivo de Obra</c:v>
                </c:pt>
                <c:pt idx="3">
                  <c:v>ITBI e Escritura</c:v>
                </c:pt>
                <c:pt idx="4">
                  <c:v>Condomínio</c:v>
                </c:pt>
                <c:pt idx="5">
                  <c:v>Investimento total</c:v>
                </c:pt>
                <c:pt idx="6">
                  <c:v>Comissão na venda</c:v>
                </c:pt>
                <c:pt idx="7">
                  <c:v>Imposto de Renda sobre Ganho de Capital</c:v>
                </c:pt>
                <c:pt idx="8">
                  <c:v>Margem</c:v>
                </c:pt>
                <c:pt idx="9">
                  <c:v>Valor de Venda</c:v>
                </c:pt>
              </c:strCache>
            </c:strRef>
          </c:cat>
          <c:val>
            <c:numRef>
              <c:f>'Painel de Controle para SCP-Inv'!$F$51:$F$60</c:f>
              <c:numCache>
                <c:formatCode>#,##0.0;\(#,##0.0\);\-</c:formatCode>
                <c:ptCount val="10"/>
                <c:pt idx="0">
                  <c:v>0</c:v>
                </c:pt>
                <c:pt idx="1">
                  <c:v>7003.8910505836575</c:v>
                </c:pt>
                <c:pt idx="2">
                  <c:v>14745.151750972775</c:v>
                </c:pt>
                <c:pt idx="3">
                  <c:v>16219.666926070051</c:v>
                </c:pt>
                <c:pt idx="4">
                  <c:v>16868.453603112852</c:v>
                </c:pt>
                <c:pt idx="5">
                  <c:v>0</c:v>
                </c:pt>
                <c:pt idx="6">
                  <c:v>16957.623103112852</c:v>
                </c:pt>
                <c:pt idx="7">
                  <c:v>18417.391813529535</c:v>
                </c:pt>
                <c:pt idx="8">
                  <c:v>19384.568332167106</c:v>
                </c:pt>
                <c:pt idx="9">
                  <c:v>0</c:v>
                </c:pt>
              </c:numCache>
            </c:numRef>
          </c:val>
          <c:extLst>
            <c:ext xmlns:c16="http://schemas.microsoft.com/office/drawing/2014/chart" uri="{C3380CC4-5D6E-409C-BE32-E72D297353CC}">
              <c16:uniqueId val="{00000000-0392-4D90-AEF2-F9EA28E0BABE}"/>
            </c:ext>
          </c:extLst>
        </c:ser>
        <c:ser>
          <c:idx val="1"/>
          <c:order val="1"/>
          <c:spPr>
            <a:solidFill>
              <a:schemeClr val="accent2"/>
            </a:solidFill>
            <a:ln>
              <a:noFill/>
            </a:ln>
            <a:effectLst/>
          </c:spPr>
          <c:invertIfNegative val="0"/>
          <c:dPt>
            <c:idx val="5"/>
            <c:invertIfNegative val="0"/>
            <c:bubble3D val="0"/>
            <c:spPr>
              <a:solidFill>
                <a:schemeClr val="accent6"/>
              </a:solidFill>
              <a:ln>
                <a:noFill/>
              </a:ln>
              <a:effectLst/>
            </c:spPr>
            <c:extLst>
              <c:ext xmlns:c16="http://schemas.microsoft.com/office/drawing/2014/chart" uri="{C3380CC4-5D6E-409C-BE32-E72D297353CC}">
                <c16:uniqueId val="{00000002-0392-4D90-AEF2-F9EA28E0BABE}"/>
              </c:ext>
            </c:extLst>
          </c:dPt>
          <c:dPt>
            <c:idx val="8"/>
            <c:invertIfNegative val="0"/>
            <c:bubble3D val="0"/>
            <c:spPr>
              <a:solidFill>
                <a:schemeClr val="accent5"/>
              </a:solidFill>
              <a:ln>
                <a:noFill/>
              </a:ln>
              <a:effectLst/>
            </c:spPr>
            <c:extLst>
              <c:ext xmlns:c16="http://schemas.microsoft.com/office/drawing/2014/chart" uri="{C3380CC4-5D6E-409C-BE32-E72D297353CC}">
                <c16:uniqueId val="{00000004-0392-4D90-AEF2-F9EA28E0BABE}"/>
              </c:ext>
            </c:extLst>
          </c:dPt>
          <c:dPt>
            <c:idx val="9"/>
            <c:invertIfNegative val="0"/>
            <c:bubble3D val="0"/>
            <c:spPr>
              <a:solidFill>
                <a:schemeClr val="accent4"/>
              </a:solidFill>
              <a:ln>
                <a:noFill/>
              </a:ln>
              <a:effectLst/>
            </c:spPr>
            <c:extLst>
              <c:ext xmlns:c16="http://schemas.microsoft.com/office/drawing/2014/chart" uri="{C3380CC4-5D6E-409C-BE32-E72D297353CC}">
                <c16:uniqueId val="{00000006-0392-4D90-AEF2-F9EA28E0BABE}"/>
              </c:ext>
            </c:extLst>
          </c:dPt>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ysClr val="windowText" lastClr="000000"/>
                    </a:solidFill>
                    <a:latin typeface="+mn-lt"/>
                    <a:ea typeface="+mn-ea"/>
                    <a:cs typeface="+mn-cs"/>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'Painel de Controle para SCP-Inv'!$C$51:$C$60</c:f>
              <c:strCache>
                <c:ptCount val="10"/>
                <c:pt idx="0">
                  <c:v>Entrada</c:v>
                </c:pt>
                <c:pt idx="1">
                  <c:v>Valor da Parcela</c:v>
                </c:pt>
                <c:pt idx="2">
                  <c:v>Aditivo de Obra</c:v>
                </c:pt>
                <c:pt idx="3">
                  <c:v>ITBI e Escritura</c:v>
                </c:pt>
                <c:pt idx="4">
                  <c:v>Condomínio</c:v>
                </c:pt>
                <c:pt idx="5">
                  <c:v>Investimento total</c:v>
                </c:pt>
                <c:pt idx="6">
                  <c:v>Comissão na venda</c:v>
                </c:pt>
                <c:pt idx="7">
                  <c:v>Imposto de Renda sobre Ganho de Capital</c:v>
                </c:pt>
                <c:pt idx="8">
                  <c:v>Margem</c:v>
                </c:pt>
                <c:pt idx="9">
                  <c:v>Valor de Venda</c:v>
                </c:pt>
              </c:strCache>
            </c:strRef>
          </c:cat>
          <c:val>
            <c:numRef>
              <c:f>'Painel de Controle para SCP-Inv'!$E$51:$E$60</c:f>
              <c:numCache>
                <c:formatCode>#,##0;\(#,##0\);\-</c:formatCode>
                <c:ptCount val="10"/>
                <c:pt idx="0">
                  <c:v>7003.8910505836575</c:v>
                </c:pt>
                <c:pt idx="1">
                  <c:v>7741.2607003891171</c:v>
                </c:pt>
                <c:pt idx="2">
                  <c:v>1474.5151750972773</c:v>
                </c:pt>
                <c:pt idx="3">
                  <c:v>648.78667704280213</c:v>
                </c:pt>
                <c:pt idx="4">
                  <c:v>89.169499999999971</c:v>
                </c:pt>
                <c:pt idx="5">
                  <c:v>16957.623103112852</c:v>
                </c:pt>
                <c:pt idx="6">
                  <c:v>1459.7687104166841</c:v>
                </c:pt>
                <c:pt idx="7">
                  <c:v>967.17651863756885</c:v>
                </c:pt>
                <c:pt idx="8">
                  <c:v>9810.8058761665779</c:v>
                </c:pt>
                <c:pt idx="9">
                  <c:v>29195.374208333684</c:v>
                </c:pt>
              </c:numCache>
            </c:numRef>
          </c:val>
          <c:extLst>
            <c:ext xmlns:c16="http://schemas.microsoft.com/office/drawing/2014/chart" uri="{C3380CC4-5D6E-409C-BE32-E72D297353CC}">
              <c16:uniqueId val="{00000007-0392-4D90-AEF2-F9EA28E0BABE}"/>
            </c:ext>
          </c:extLst>
        </c:ser>
        <c:dLbls>
          <c:showLegendKey val="0"/>
          <c:showVal val="0"/>
          <c:showCatName val="0"/>
          <c:showSerName val="0"/>
          <c:showPercent val="0"/>
          <c:showBubbleSize val="0"/>
        </c:dLbls>
        <c:gapWidth val="80"/>
        <c:overlap val="100"/>
        <c:axId val="217988096"/>
        <c:axId val="218002176"/>
      </c:barChart>
      <c:catAx>
        <c:axId val="217988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pt-BR"/>
          </a:p>
        </c:txPr>
        <c:crossAx val="218002176"/>
        <c:crosses val="autoZero"/>
        <c:auto val="1"/>
        <c:lblAlgn val="ctr"/>
        <c:lblOffset val="100"/>
        <c:noMultiLvlLbl val="0"/>
      </c:catAx>
      <c:valAx>
        <c:axId val="218002176"/>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pt-BR"/>
          </a:p>
        </c:txPr>
        <c:crossAx val="2179880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pt-B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pt-BR">
                <a:solidFill>
                  <a:sysClr val="windowText" lastClr="000000"/>
                </a:solidFill>
              </a:rPr>
              <a:t>Comparação de Indicadores</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pt-BR"/>
        </a:p>
      </c:txPr>
    </c:title>
    <c:autoTitleDeleted val="0"/>
    <c:plotArea>
      <c:layout/>
      <c:barChart>
        <c:barDir val="col"/>
        <c:grouping val="stacked"/>
        <c:varyColors val="0"/>
        <c:ser>
          <c:idx val="1"/>
          <c:order val="0"/>
          <c:spPr>
            <a:noFill/>
            <a:ln>
              <a:noFill/>
            </a:ln>
            <a:effectLst/>
          </c:spPr>
          <c:invertIfNegative val="0"/>
          <c:cat>
            <c:strRef>
              <c:f>'Painel de Controle para SCP-Inv'!$C$69:$C$73</c:f>
              <c:strCache>
                <c:ptCount val="5"/>
                <c:pt idx="0">
                  <c:v>CDI</c:v>
                </c:pt>
                <c:pt idx="1">
                  <c:v>IR sobre CDI</c:v>
                </c:pt>
                <c:pt idx="2">
                  <c:v>CDI líquido de IR</c:v>
                </c:pt>
                <c:pt idx="3">
                  <c:v>TIR nominal do negócio</c:v>
                </c:pt>
                <c:pt idx="4">
                  <c:v>Inflação (IGP-M)</c:v>
                </c:pt>
              </c:strCache>
            </c:strRef>
          </c:cat>
          <c:val>
            <c:numRef>
              <c:f>'Painel de Controle para SCP-Inv'!$E$69:$E$73</c:f>
              <c:numCache>
                <c:formatCode>0.00%</c:formatCode>
                <c:ptCount val="5"/>
                <c:pt idx="0" formatCode="General">
                  <c:v>0</c:v>
                </c:pt>
                <c:pt idx="1">
                  <c:v>0.112625</c:v>
                </c:pt>
                <c:pt idx="2" formatCode="General">
                  <c:v>0</c:v>
                </c:pt>
                <c:pt idx="3" formatCode="General">
                  <c:v>0</c:v>
                </c:pt>
                <c:pt idx="4" formatCode="General">
                  <c:v>0</c:v>
                </c:pt>
              </c:numCache>
            </c:numRef>
          </c:val>
          <c:extLst>
            <c:ext xmlns:c16="http://schemas.microsoft.com/office/drawing/2014/chart" uri="{C3380CC4-5D6E-409C-BE32-E72D297353CC}">
              <c16:uniqueId val="{00000000-27A1-426F-9252-243E1ABDA79E}"/>
            </c:ext>
          </c:extLst>
        </c:ser>
        <c:ser>
          <c:idx val="0"/>
          <c:order val="1"/>
          <c:spPr>
            <a:solidFill>
              <a:schemeClr val="accent1"/>
            </a:solidFill>
            <a:ln>
              <a:noFill/>
            </a:ln>
            <a:effectLst/>
          </c:spPr>
          <c:invertIfNegative val="0"/>
          <c:dPt>
            <c:idx val="0"/>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2-27A1-426F-9252-243E1ABDA79E}"/>
              </c:ext>
            </c:extLst>
          </c:dPt>
          <c:dPt>
            <c:idx val="1"/>
            <c:invertIfNegative val="0"/>
            <c:bubble3D val="0"/>
            <c:spPr>
              <a:solidFill>
                <a:schemeClr val="accent2">
                  <a:lumMod val="40000"/>
                  <a:lumOff val="60000"/>
                </a:schemeClr>
              </a:solidFill>
              <a:ln>
                <a:noFill/>
              </a:ln>
              <a:effectLst/>
            </c:spPr>
            <c:extLst>
              <c:ext xmlns:c16="http://schemas.microsoft.com/office/drawing/2014/chart" uri="{C3380CC4-5D6E-409C-BE32-E72D297353CC}">
                <c16:uniqueId val="{00000004-27A1-426F-9252-243E1ABDA79E}"/>
              </c:ext>
            </c:extLst>
          </c:dPt>
          <c:dPt>
            <c:idx val="3"/>
            <c:invertIfNegative val="0"/>
            <c:bubble3D val="0"/>
            <c:spPr>
              <a:solidFill>
                <a:schemeClr val="accent6"/>
              </a:solidFill>
              <a:ln>
                <a:noFill/>
              </a:ln>
              <a:effectLst/>
            </c:spPr>
            <c:extLst>
              <c:ext xmlns:c16="http://schemas.microsoft.com/office/drawing/2014/chart" uri="{C3380CC4-5D6E-409C-BE32-E72D297353CC}">
                <c16:uniqueId val="{00000006-27A1-426F-9252-243E1ABDA79E}"/>
              </c:ext>
            </c:extLst>
          </c:dPt>
          <c:dPt>
            <c:idx val="4"/>
            <c:invertIfNegative val="0"/>
            <c:bubble3D val="0"/>
            <c:spPr>
              <a:solidFill>
                <a:schemeClr val="accent4"/>
              </a:solidFill>
              <a:ln>
                <a:noFill/>
              </a:ln>
              <a:effectLst/>
            </c:spPr>
            <c:extLst>
              <c:ext xmlns:c16="http://schemas.microsoft.com/office/drawing/2014/chart" uri="{C3380CC4-5D6E-409C-BE32-E72D297353CC}">
                <c16:uniqueId val="{00000008-27A1-426F-9252-243E1ABDA79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'Painel de Controle para SCP-Inv'!$C$69:$C$73</c:f>
              <c:strCache>
                <c:ptCount val="5"/>
                <c:pt idx="0">
                  <c:v>CDI</c:v>
                </c:pt>
                <c:pt idx="1">
                  <c:v>IR sobre CDI</c:v>
                </c:pt>
                <c:pt idx="2">
                  <c:v>CDI líquido de IR</c:v>
                </c:pt>
                <c:pt idx="3">
                  <c:v>TIR nominal do negócio</c:v>
                </c:pt>
                <c:pt idx="4">
                  <c:v>Inflação (IGP-M)</c:v>
                </c:pt>
              </c:strCache>
            </c:strRef>
          </c:cat>
          <c:val>
            <c:numRef>
              <c:f>'Painel de Controle para SCP-Inv'!$D$69:$D$73</c:f>
              <c:numCache>
                <c:formatCode>0.00%</c:formatCode>
                <c:ptCount val="5"/>
                <c:pt idx="0">
                  <c:v>0.13250000000000001</c:v>
                </c:pt>
                <c:pt idx="1">
                  <c:v>1.9875000000000004E-2</c:v>
                </c:pt>
                <c:pt idx="2">
                  <c:v>0.112625</c:v>
                </c:pt>
                <c:pt idx="3">
                  <c:v>0.18202218413352972</c:v>
                </c:pt>
                <c:pt idx="4">
                  <c:v>0.1477</c:v>
                </c:pt>
              </c:numCache>
            </c:numRef>
          </c:val>
          <c:extLst>
            <c:ext xmlns:c16="http://schemas.microsoft.com/office/drawing/2014/chart" uri="{C3380CC4-5D6E-409C-BE32-E72D297353CC}">
              <c16:uniqueId val="{00000009-27A1-426F-9252-243E1ABDA79E}"/>
            </c:ext>
          </c:extLst>
        </c:ser>
        <c:dLbls>
          <c:showLegendKey val="0"/>
          <c:showVal val="0"/>
          <c:showCatName val="0"/>
          <c:showSerName val="0"/>
          <c:showPercent val="0"/>
          <c:showBubbleSize val="0"/>
        </c:dLbls>
        <c:gapWidth val="59"/>
        <c:overlap val="100"/>
        <c:axId val="218126208"/>
        <c:axId val="218127744"/>
      </c:barChart>
      <c:catAx>
        <c:axId val="218126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pt-BR"/>
          </a:p>
        </c:txPr>
        <c:crossAx val="218127744"/>
        <c:crosses val="autoZero"/>
        <c:auto val="1"/>
        <c:lblAlgn val="ctr"/>
        <c:lblOffset val="100"/>
        <c:noMultiLvlLbl val="0"/>
      </c:catAx>
      <c:valAx>
        <c:axId val="218127744"/>
        <c:scaling>
          <c:orientation val="minMax"/>
        </c:scaling>
        <c:delete val="0"/>
        <c:axPos val="l"/>
        <c:majorGridlines>
          <c:spPr>
            <a:ln w="9525" cap="flat" cmpd="sng" algn="ctr">
              <a:noFill/>
              <a:round/>
            </a:ln>
            <a:effectLst/>
          </c:spPr>
        </c:majorGridlines>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2181262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pt-B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baseline="0">
                <a:effectLst/>
              </a:rPr>
              <a:t>Projeção de Fluxo de Caixa mensal e acumulado</a:t>
            </a:r>
            <a:endParaRPr lang="pt-BR" sz="1200">
              <a:effectLst/>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pt-BR"/>
        </a:p>
      </c:txPr>
    </c:title>
    <c:autoTitleDeleted val="0"/>
    <c:plotArea>
      <c:layout>
        <c:manualLayout>
          <c:layoutTarget val="inner"/>
          <c:xMode val="edge"/>
          <c:yMode val="edge"/>
          <c:x val="0.11978754380392694"/>
          <c:y val="0.11639625242912631"/>
          <c:w val="0.76965013698913731"/>
          <c:h val="0.68811316238762521"/>
        </c:manualLayout>
      </c:layout>
      <c:barChart>
        <c:barDir val="col"/>
        <c:grouping val="clustered"/>
        <c:varyColors val="0"/>
        <c:ser>
          <c:idx val="0"/>
          <c:order val="0"/>
          <c:tx>
            <c:strRef>
              <c:f>'Painel de Controle para SCP-Inv'!$N$49</c:f>
              <c:strCache>
                <c:ptCount val="1"/>
                <c:pt idx="0">
                  <c:v>Fluxo Mensal</c:v>
                </c:pt>
              </c:strCache>
            </c:strRef>
          </c:tx>
          <c:spPr>
            <a:solidFill>
              <a:schemeClr val="accent1"/>
            </a:solidFill>
            <a:ln>
              <a:noFill/>
            </a:ln>
            <a:effectLst/>
          </c:spPr>
          <c:invertIfNegative val="0"/>
          <c:cat>
            <c:numRef>
              <c:f>'Painel de Controle para SCP-Inv'!$O$37:$W$37</c:f>
              <c:numCache>
                <c:formatCode>0</c:formatCode>
                <c:ptCount val="9"/>
                <c:pt idx="0">
                  <c:v>2022</c:v>
                </c:pt>
                <c:pt idx="1">
                  <c:v>2023</c:v>
                </c:pt>
                <c:pt idx="2">
                  <c:v>2024</c:v>
                </c:pt>
                <c:pt idx="3">
                  <c:v>2025</c:v>
                </c:pt>
                <c:pt idx="4">
                  <c:v>2026</c:v>
                </c:pt>
                <c:pt idx="5">
                  <c:v>2027</c:v>
                </c:pt>
                <c:pt idx="6">
                  <c:v>2028</c:v>
                </c:pt>
                <c:pt idx="7">
                  <c:v>2029</c:v>
                </c:pt>
                <c:pt idx="8">
                  <c:v>2030</c:v>
                </c:pt>
              </c:numCache>
            </c:numRef>
          </c:cat>
          <c:val>
            <c:numRef>
              <c:f>'Painel de Controle para SCP-Inv'!$O$49:$W$49</c:f>
              <c:numCache>
                <c:formatCode>#,##0;\(#,##0\);\-</c:formatCode>
                <c:ptCount val="9"/>
                <c:pt idx="0">
                  <c:v>-7003891.0505836578</c:v>
                </c:pt>
                <c:pt idx="1">
                  <c:v>-3405683.270817122</c:v>
                </c:pt>
                <c:pt idx="2">
                  <c:v>-3990956.1747081769</c:v>
                </c:pt>
                <c:pt idx="3">
                  <c:v>-2557092.6070038942</c:v>
                </c:pt>
                <c:pt idx="4">
                  <c:v>26768428.979279429</c:v>
                </c:pt>
                <c:pt idx="5">
                  <c:v>0</c:v>
                </c:pt>
                <c:pt idx="6">
                  <c:v>0</c:v>
                </c:pt>
                <c:pt idx="7">
                  <c:v>0</c:v>
                </c:pt>
                <c:pt idx="8">
                  <c:v>0</c:v>
                </c:pt>
              </c:numCache>
            </c:numRef>
          </c:val>
          <c:extLst>
            <c:ext xmlns:c16="http://schemas.microsoft.com/office/drawing/2014/chart" uri="{C3380CC4-5D6E-409C-BE32-E72D297353CC}">
              <c16:uniqueId val="{00000000-B7AA-4938-8F74-0771ACE5A290}"/>
            </c:ext>
          </c:extLst>
        </c:ser>
        <c:ser>
          <c:idx val="1"/>
          <c:order val="1"/>
          <c:tx>
            <c:strRef>
              <c:f>'Painel de Controle para SCP-Inv'!$N$50</c:f>
              <c:strCache>
                <c:ptCount val="1"/>
                <c:pt idx="0">
                  <c:v>Fluxo Mensal @IGP-M</c:v>
                </c:pt>
              </c:strCache>
            </c:strRef>
          </c:tx>
          <c:spPr>
            <a:solidFill>
              <a:schemeClr val="accent2"/>
            </a:solidFill>
            <a:ln>
              <a:noFill/>
            </a:ln>
            <a:effectLst/>
          </c:spPr>
          <c:invertIfNegative val="0"/>
          <c:cat>
            <c:numRef>
              <c:f>'Painel de Controle para SCP-Inv'!$O$37:$W$37</c:f>
              <c:numCache>
                <c:formatCode>0</c:formatCode>
                <c:ptCount val="9"/>
                <c:pt idx="0">
                  <c:v>2022</c:v>
                </c:pt>
                <c:pt idx="1">
                  <c:v>2023</c:v>
                </c:pt>
                <c:pt idx="2">
                  <c:v>2024</c:v>
                </c:pt>
                <c:pt idx="3">
                  <c:v>2025</c:v>
                </c:pt>
                <c:pt idx="4">
                  <c:v>2026</c:v>
                </c:pt>
                <c:pt idx="5">
                  <c:v>2027</c:v>
                </c:pt>
                <c:pt idx="6">
                  <c:v>2028</c:v>
                </c:pt>
                <c:pt idx="7">
                  <c:v>2029</c:v>
                </c:pt>
                <c:pt idx="8">
                  <c:v>2030</c:v>
                </c:pt>
              </c:numCache>
            </c:numRef>
          </c:cat>
          <c:val>
            <c:numRef>
              <c:f>'Painel de Controle para SCP-Inv'!$O$50:$W$50</c:f>
              <c:numCache>
                <c:formatCode>#,##0;\(#,##0\);\-</c:formatCode>
                <c:ptCount val="9"/>
                <c:pt idx="0">
                  <c:v>-7003891.0505836578</c:v>
                </c:pt>
                <c:pt idx="1">
                  <c:v>-3119006.8001513584</c:v>
                </c:pt>
                <c:pt idx="2">
                  <c:v>-3190705.4124131636</c:v>
                </c:pt>
                <c:pt idx="3">
                  <c:v>-1821346.5739411723</c:v>
                </c:pt>
                <c:pt idx="4">
                  <c:v>16429229.173415415</c:v>
                </c:pt>
                <c:pt idx="5">
                  <c:v>0</c:v>
                </c:pt>
                <c:pt idx="6">
                  <c:v>0</c:v>
                </c:pt>
                <c:pt idx="7">
                  <c:v>0</c:v>
                </c:pt>
                <c:pt idx="8">
                  <c:v>0</c:v>
                </c:pt>
              </c:numCache>
            </c:numRef>
          </c:val>
          <c:extLst>
            <c:ext xmlns:c16="http://schemas.microsoft.com/office/drawing/2014/chart" uri="{C3380CC4-5D6E-409C-BE32-E72D297353CC}">
              <c16:uniqueId val="{00000001-B7AA-4938-8F74-0771ACE5A290}"/>
            </c:ext>
          </c:extLst>
        </c:ser>
        <c:dLbls>
          <c:showLegendKey val="0"/>
          <c:showVal val="0"/>
          <c:showCatName val="0"/>
          <c:showSerName val="0"/>
          <c:showPercent val="0"/>
          <c:showBubbleSize val="0"/>
        </c:dLbls>
        <c:gapWidth val="30"/>
        <c:overlap val="-14"/>
        <c:axId val="1973024544"/>
        <c:axId val="1968772112"/>
      </c:barChart>
      <c:lineChart>
        <c:grouping val="standard"/>
        <c:varyColors val="0"/>
        <c:ser>
          <c:idx val="2"/>
          <c:order val="2"/>
          <c:tx>
            <c:strRef>
              <c:f>'Painel de Controle para SCP-Inv'!$N$51</c:f>
              <c:strCache>
                <c:ptCount val="1"/>
                <c:pt idx="0">
                  <c:v>Fluxo Acumulado</c:v>
                </c:pt>
              </c:strCache>
            </c:strRef>
          </c:tx>
          <c:spPr>
            <a:ln w="28575" cap="rnd">
              <a:solidFill>
                <a:schemeClr val="accent1">
                  <a:lumMod val="60000"/>
                  <a:lumOff val="40000"/>
                </a:schemeClr>
              </a:solidFill>
              <a:prstDash val="sysDash"/>
              <a:round/>
            </a:ln>
            <a:effectLst/>
          </c:spPr>
          <c:marker>
            <c:symbol val="none"/>
          </c:marker>
          <c:dLbls>
            <c:dLbl>
              <c:idx val="8"/>
              <c:layout>
                <c:manualLayout>
                  <c:x val="-5.3045041432699169E-2"/>
                  <c:y val="-6.20344683352987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B7AA-4938-8F74-0771ACE5A29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'Painel de Controle para SCP-Inv'!$O$37:$W$37</c:f>
              <c:numCache>
                <c:formatCode>0</c:formatCode>
                <c:ptCount val="9"/>
                <c:pt idx="0">
                  <c:v>2022</c:v>
                </c:pt>
                <c:pt idx="1">
                  <c:v>2023</c:v>
                </c:pt>
                <c:pt idx="2">
                  <c:v>2024</c:v>
                </c:pt>
                <c:pt idx="3">
                  <c:v>2025</c:v>
                </c:pt>
                <c:pt idx="4">
                  <c:v>2026</c:v>
                </c:pt>
                <c:pt idx="5">
                  <c:v>2027</c:v>
                </c:pt>
                <c:pt idx="6">
                  <c:v>2028</c:v>
                </c:pt>
                <c:pt idx="7">
                  <c:v>2029</c:v>
                </c:pt>
                <c:pt idx="8">
                  <c:v>2030</c:v>
                </c:pt>
              </c:numCache>
            </c:numRef>
          </c:cat>
          <c:val>
            <c:numRef>
              <c:f>'Painel de Controle para SCP-Inv'!$O$51:$W$51</c:f>
              <c:numCache>
                <c:formatCode>#,##0;\(#,##0\);\-</c:formatCode>
                <c:ptCount val="9"/>
                <c:pt idx="0">
                  <c:v>-7003891.0505836578</c:v>
                </c:pt>
                <c:pt idx="1">
                  <c:v>-10409574.32140078</c:v>
                </c:pt>
                <c:pt idx="2">
                  <c:v>-14400530.496108957</c:v>
                </c:pt>
                <c:pt idx="3">
                  <c:v>-16957623.10311285</c:v>
                </c:pt>
                <c:pt idx="4">
                  <c:v>9810805.8761665784</c:v>
                </c:pt>
                <c:pt idx="5">
                  <c:v>9810805.8761665784</c:v>
                </c:pt>
                <c:pt idx="6">
                  <c:v>9810805.8761665784</c:v>
                </c:pt>
                <c:pt idx="7">
                  <c:v>9810805.8761665784</c:v>
                </c:pt>
                <c:pt idx="8">
                  <c:v>9810805.8761665784</c:v>
                </c:pt>
              </c:numCache>
            </c:numRef>
          </c:val>
          <c:smooth val="0"/>
          <c:extLst>
            <c:ext xmlns:c16="http://schemas.microsoft.com/office/drawing/2014/chart" uri="{C3380CC4-5D6E-409C-BE32-E72D297353CC}">
              <c16:uniqueId val="{00000003-B7AA-4938-8F74-0771ACE5A290}"/>
            </c:ext>
          </c:extLst>
        </c:ser>
        <c:ser>
          <c:idx val="3"/>
          <c:order val="3"/>
          <c:tx>
            <c:strRef>
              <c:f>'Painel de Controle para SCP-Inv'!$N$52</c:f>
              <c:strCache>
                <c:ptCount val="1"/>
                <c:pt idx="0">
                  <c:v>Fluxo Acumulado @IGP-M</c:v>
                </c:pt>
              </c:strCache>
            </c:strRef>
          </c:tx>
          <c:spPr>
            <a:ln w="28575" cap="rnd">
              <a:solidFill>
                <a:schemeClr val="accent2">
                  <a:lumMod val="60000"/>
                  <a:lumOff val="40000"/>
                </a:schemeClr>
              </a:solidFill>
              <a:prstDash val="sysDash"/>
              <a:round/>
            </a:ln>
            <a:effectLst/>
          </c:spPr>
          <c:marker>
            <c:symbol val="none"/>
          </c:marker>
          <c:dLbls>
            <c:dLbl>
              <c:idx val="8"/>
              <c:layout>
                <c:manualLayout>
                  <c:x val="-5.5351347581946965E-2"/>
                  <c:y val="6.203446833529874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B7AA-4938-8F74-0771ACE5A29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'Painel de Controle para SCP-Inv'!$O$37:$W$37</c:f>
              <c:numCache>
                <c:formatCode>0</c:formatCode>
                <c:ptCount val="9"/>
                <c:pt idx="0">
                  <c:v>2022</c:v>
                </c:pt>
                <c:pt idx="1">
                  <c:v>2023</c:v>
                </c:pt>
                <c:pt idx="2">
                  <c:v>2024</c:v>
                </c:pt>
                <c:pt idx="3">
                  <c:v>2025</c:v>
                </c:pt>
                <c:pt idx="4">
                  <c:v>2026</c:v>
                </c:pt>
                <c:pt idx="5">
                  <c:v>2027</c:v>
                </c:pt>
                <c:pt idx="6">
                  <c:v>2028</c:v>
                </c:pt>
                <c:pt idx="7">
                  <c:v>2029</c:v>
                </c:pt>
                <c:pt idx="8">
                  <c:v>2030</c:v>
                </c:pt>
              </c:numCache>
            </c:numRef>
          </c:cat>
          <c:val>
            <c:numRef>
              <c:f>'Painel de Controle para SCP-Inv'!$O$52:$W$52</c:f>
              <c:numCache>
                <c:formatCode>#,##0;\(#,##0\);\-</c:formatCode>
                <c:ptCount val="9"/>
                <c:pt idx="0">
                  <c:v>-7003891.0505836578</c:v>
                </c:pt>
                <c:pt idx="1">
                  <c:v>-10122897.850735016</c:v>
                </c:pt>
                <c:pt idx="2">
                  <c:v>-13313603.263148179</c:v>
                </c:pt>
                <c:pt idx="3">
                  <c:v>-15134949.837089352</c:v>
                </c:pt>
                <c:pt idx="4">
                  <c:v>1294279.3363260627</c:v>
                </c:pt>
                <c:pt idx="5">
                  <c:v>1294279.3363260627</c:v>
                </c:pt>
                <c:pt idx="6">
                  <c:v>1294279.3363260627</c:v>
                </c:pt>
                <c:pt idx="7">
                  <c:v>1294279.3363260627</c:v>
                </c:pt>
                <c:pt idx="8">
                  <c:v>1294279.3363260627</c:v>
                </c:pt>
              </c:numCache>
            </c:numRef>
          </c:val>
          <c:smooth val="0"/>
          <c:extLst>
            <c:ext xmlns:c16="http://schemas.microsoft.com/office/drawing/2014/chart" uri="{C3380CC4-5D6E-409C-BE32-E72D297353CC}">
              <c16:uniqueId val="{00000005-B7AA-4938-8F74-0771ACE5A290}"/>
            </c:ext>
          </c:extLst>
        </c:ser>
        <c:dLbls>
          <c:showLegendKey val="0"/>
          <c:showVal val="0"/>
          <c:showCatName val="0"/>
          <c:showSerName val="0"/>
          <c:showPercent val="0"/>
          <c:showBubbleSize val="0"/>
        </c:dLbls>
        <c:marker val="1"/>
        <c:smooth val="0"/>
        <c:axId val="1971444272"/>
        <c:axId val="1968807056"/>
      </c:lineChart>
      <c:catAx>
        <c:axId val="197302454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low"/>
        <c:spPr>
          <a:noFill/>
          <a:ln w="9525" cap="flat" cmpd="sng" algn="ctr">
            <a:solidFill>
              <a:schemeClr val="tx1">
                <a:alpha val="9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968772112"/>
        <c:crosses val="autoZero"/>
        <c:auto val="1"/>
        <c:lblAlgn val="ctr"/>
        <c:lblOffset val="100"/>
        <c:noMultiLvlLbl val="0"/>
      </c:catAx>
      <c:valAx>
        <c:axId val="1968772112"/>
        <c:scaling>
          <c:orientation val="minMax"/>
          <c:min val="-600000"/>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973024544"/>
        <c:crosses val="autoZero"/>
        <c:crossBetween val="between"/>
      </c:valAx>
      <c:valAx>
        <c:axId val="1968807056"/>
        <c:scaling>
          <c:orientation val="minMax"/>
          <c:max val="600000"/>
          <c:min val="-600000"/>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971444272"/>
        <c:crosses val="max"/>
        <c:crossBetween val="between"/>
      </c:valAx>
      <c:catAx>
        <c:axId val="1971444272"/>
        <c:scaling>
          <c:orientation val="minMax"/>
        </c:scaling>
        <c:delete val="1"/>
        <c:axPos val="b"/>
        <c:numFmt formatCode="0" sourceLinked="1"/>
        <c:majorTickMark val="out"/>
        <c:minorTickMark val="none"/>
        <c:tickLblPos val="nextTo"/>
        <c:crossAx val="1968807056"/>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pt-B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008000"/>
            </a:solidFill>
          </c:spPr>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(Inputs!$H$23,Inputs!$H$31)</c:f>
              <c:strCache>
                <c:ptCount val="2"/>
                <c:pt idx="0">
                  <c:v>Taxa de Retorno (TIR)</c:v>
                </c:pt>
                <c:pt idx="1">
                  <c:v>Renda fixa (Rend. Líq.)</c:v>
                </c:pt>
              </c:strCache>
            </c:strRef>
          </c:cat>
          <c:val>
            <c:numRef>
              <c:f>(Inputs!$I$23,Inputs!$I$31)</c:f>
              <c:numCache>
                <c:formatCode>0.00%</c:formatCode>
                <c:ptCount val="2"/>
                <c:pt idx="0" formatCode="0.0%&quot; a.a.&quot;">
                  <c:v>0.95816833616164176</c:v>
                </c:pt>
                <c:pt idx="1">
                  <c:v>0.11687500000000006</c:v>
                </c:pt>
              </c:numCache>
            </c:numRef>
          </c:val>
          <c:extLst>
            <c:ext xmlns:c16="http://schemas.microsoft.com/office/drawing/2014/chart" uri="{C3380CC4-5D6E-409C-BE32-E72D297353CC}">
              <c16:uniqueId val="{00000000-6538-4B6B-8546-3A23FD9F6245}"/>
            </c:ext>
          </c:extLst>
        </c:ser>
        <c:dLbls>
          <c:showLegendKey val="0"/>
          <c:showVal val="0"/>
          <c:showCatName val="0"/>
          <c:showSerName val="0"/>
          <c:showPercent val="0"/>
          <c:showBubbleSize val="0"/>
        </c:dLbls>
        <c:gapWidth val="150"/>
        <c:axId val="44033152"/>
        <c:axId val="44035456"/>
      </c:barChart>
      <c:catAx>
        <c:axId val="44033152"/>
        <c:scaling>
          <c:orientation val="minMax"/>
        </c:scaling>
        <c:delete val="0"/>
        <c:axPos val="b"/>
        <c:numFmt formatCode="General" sourceLinked="0"/>
        <c:majorTickMark val="out"/>
        <c:minorTickMark val="none"/>
        <c:tickLblPos val="nextTo"/>
        <c:spPr>
          <a:ln>
            <a:noFill/>
          </a:ln>
        </c:spPr>
        <c:crossAx val="44035456"/>
        <c:crosses val="autoZero"/>
        <c:auto val="1"/>
        <c:lblAlgn val="ctr"/>
        <c:lblOffset val="100"/>
        <c:noMultiLvlLbl val="0"/>
      </c:catAx>
      <c:valAx>
        <c:axId val="44035456"/>
        <c:scaling>
          <c:orientation val="minMax"/>
        </c:scaling>
        <c:delete val="0"/>
        <c:axPos val="l"/>
        <c:majorGridlines>
          <c:spPr>
            <a:ln>
              <a:noFill/>
            </a:ln>
          </c:spPr>
        </c:majorGridlines>
        <c:numFmt formatCode="0.0%&quot; a.a.&quot;" sourceLinked="1"/>
        <c:majorTickMark val="out"/>
        <c:minorTickMark val="none"/>
        <c:tickLblPos val="none"/>
        <c:spPr>
          <a:ln>
            <a:noFill/>
          </a:ln>
        </c:spPr>
        <c:crossAx val="44033152"/>
        <c:crosses val="autoZero"/>
        <c:crossBetween val="between"/>
      </c:valAx>
      <c:spPr>
        <a:ln>
          <a:noFill/>
        </a:ln>
      </c:spPr>
    </c:plotArea>
    <c:plotVisOnly val="1"/>
    <c:dispBlanksAs val="gap"/>
    <c:showDLblsOverMax val="0"/>
  </c:chart>
  <c:spPr>
    <a:ln>
      <a:noFill/>
    </a:ln>
  </c:spPr>
  <c:txPr>
    <a:bodyPr/>
    <a:lstStyle/>
    <a:p>
      <a:pPr>
        <a:defRPr sz="1050" b="1"/>
      </a:pPr>
      <a:endParaRPr lang="pt-B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pt-BR"/>
              <a:t>Fluxo de Caixa - Investimento em Casas</a:t>
            </a:r>
          </a:p>
        </c:rich>
      </c:tx>
      <c:layout>
        <c:manualLayout>
          <c:xMode val="edge"/>
          <c:yMode val="edge"/>
          <c:x val="0.30271136640989965"/>
          <c:y val="3.7313432835820892E-2"/>
        </c:manualLayout>
      </c:layout>
      <c:overlay val="0"/>
    </c:title>
    <c:autoTitleDeleted val="0"/>
    <c:plotArea>
      <c:layout>
        <c:manualLayout>
          <c:layoutTarget val="inner"/>
          <c:xMode val="edge"/>
          <c:yMode val="edge"/>
          <c:x val="7.5078468103629198E-2"/>
          <c:y val="0.21909840560974655"/>
          <c:w val="0.91044308503885185"/>
          <c:h val="0.67564852900850081"/>
        </c:manualLayout>
      </c:layout>
      <c:barChart>
        <c:barDir val="col"/>
        <c:grouping val="clustered"/>
        <c:varyColors val="0"/>
        <c:ser>
          <c:idx val="1"/>
          <c:order val="0"/>
          <c:tx>
            <c:strRef>
              <c:f>'Fluxo_de_Caixa Casas'!$B$5</c:f>
              <c:strCache>
                <c:ptCount val="1"/>
                <c:pt idx="0">
                  <c:v>Aquisição do terreno</c:v>
                </c:pt>
              </c:strCache>
            </c:strRef>
          </c:tx>
          <c:spPr>
            <a:gradFill flip="none" rotWithShape="1">
              <a:gsLst>
                <a:gs pos="0">
                  <a:srgbClr val="C00000">
                    <a:shade val="30000"/>
                    <a:satMod val="115000"/>
                  </a:srgbClr>
                </a:gs>
                <a:gs pos="50000">
                  <a:srgbClr val="C00000">
                    <a:shade val="67500"/>
                    <a:satMod val="115000"/>
                  </a:srgbClr>
                </a:gs>
                <a:gs pos="100000">
                  <a:srgbClr val="C00000">
                    <a:shade val="100000"/>
                    <a:satMod val="115000"/>
                  </a:srgbClr>
                </a:gs>
              </a:gsLst>
              <a:lin ang="2700000" scaled="1"/>
              <a:tileRect/>
            </a:gradFill>
          </c:spPr>
          <c:invertIfNegative val="0"/>
          <c:dLbls>
            <c:numFmt formatCode="_(* #,##0_);_(* \(#,##0\);_(* &quot;-&quot;_);_(@_)" sourceLinked="0"/>
            <c:spPr>
              <a:noFill/>
              <a:ln>
                <a:noFill/>
              </a:ln>
              <a:effectLst/>
            </c:spPr>
            <c:txPr>
              <a:bodyPr rot="-5400000" vert="horz"/>
              <a:lstStyle/>
              <a:p>
                <a:pPr>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'Fluxo_de_Caixa Casas'!$G$4:$AD$4</c:f>
              <c:numCache>
                <c:formatCode>mmm\-yy</c:formatCode>
                <c:ptCount val="24"/>
                <c:pt idx="0">
                  <c:v>44910</c:v>
                </c:pt>
                <c:pt idx="1">
                  <c:v>44957</c:v>
                </c:pt>
                <c:pt idx="2">
                  <c:v>44985</c:v>
                </c:pt>
                <c:pt idx="3">
                  <c:v>45016</c:v>
                </c:pt>
                <c:pt idx="4">
                  <c:v>45046</c:v>
                </c:pt>
                <c:pt idx="5">
                  <c:v>45077</c:v>
                </c:pt>
                <c:pt idx="6">
                  <c:v>45107</c:v>
                </c:pt>
                <c:pt idx="7">
                  <c:v>45138</c:v>
                </c:pt>
                <c:pt idx="8">
                  <c:v>45169</c:v>
                </c:pt>
                <c:pt idx="9">
                  <c:v>45199</c:v>
                </c:pt>
                <c:pt idx="10">
                  <c:v>45230</c:v>
                </c:pt>
                <c:pt idx="11">
                  <c:v>45260</c:v>
                </c:pt>
                <c:pt idx="12">
                  <c:v>45291</c:v>
                </c:pt>
                <c:pt idx="13">
                  <c:v>45322</c:v>
                </c:pt>
                <c:pt idx="14">
                  <c:v>45351</c:v>
                </c:pt>
                <c:pt idx="15">
                  <c:v>45382</c:v>
                </c:pt>
                <c:pt idx="16">
                  <c:v>45412</c:v>
                </c:pt>
                <c:pt idx="17">
                  <c:v>45443</c:v>
                </c:pt>
                <c:pt idx="18">
                  <c:v>45473</c:v>
                </c:pt>
                <c:pt idx="19">
                  <c:v>45504</c:v>
                </c:pt>
                <c:pt idx="20">
                  <c:v>45535</c:v>
                </c:pt>
                <c:pt idx="21">
                  <c:v>45565</c:v>
                </c:pt>
                <c:pt idx="22">
                  <c:v>45596</c:v>
                </c:pt>
                <c:pt idx="23">
                  <c:v>45626</c:v>
                </c:pt>
              </c:numCache>
            </c:numRef>
          </c:cat>
          <c:val>
            <c:numRef>
              <c:f>'Fluxo_de_Caixa Casas'!$G$12:$AD$12</c:f>
              <c:numCache>
                <c:formatCode>#,##0_);\(#,##0\);\-</c:formatCode>
                <c:ptCount val="24"/>
                <c:pt idx="0">
                  <c:v>-45494943.729999997</c:v>
                </c:pt>
                <c:pt idx="1">
                  <c:v>0</c:v>
                </c:pt>
                <c:pt idx="2">
                  <c:v>0</c:v>
                </c:pt>
                <c:pt idx="3">
                  <c:v>0</c:v>
                </c:pt>
                <c:pt idx="4">
                  <c:v>15000000</c:v>
                </c:pt>
                <c:pt idx="5">
                  <c:v>0</c:v>
                </c:pt>
                <c:pt idx="6">
                  <c:v>0</c:v>
                </c:pt>
                <c:pt idx="7">
                  <c:v>0</c:v>
                </c:pt>
                <c:pt idx="8">
                  <c:v>35900518.761277698</c:v>
                </c:pt>
                <c:pt idx="9">
                  <c:v>486390.18129813182</c:v>
                </c:pt>
                <c:pt idx="10">
                  <c:v>651178.50445214938</c:v>
                </c:pt>
                <c:pt idx="11">
                  <c:v>-1302099.0290981033</c:v>
                </c:pt>
                <c:pt idx="12">
                  <c:v>-3362227.1304662954</c:v>
                </c:pt>
                <c:pt idx="13">
                  <c:v>-4113813.5104250051</c:v>
                </c:pt>
                <c:pt idx="14">
                  <c:v>-5285130.7138202097</c:v>
                </c:pt>
                <c:pt idx="15">
                  <c:v>-6551022.8587653283</c:v>
                </c:pt>
                <c:pt idx="16">
                  <c:v>-4134193.1176342331</c:v>
                </c:pt>
                <c:pt idx="17">
                  <c:v>2216709.2018468659</c:v>
                </c:pt>
                <c:pt idx="18">
                  <c:v>-534547.37124136882</c:v>
                </c:pt>
                <c:pt idx="19">
                  <c:v>559811.58869989403</c:v>
                </c:pt>
                <c:pt idx="20">
                  <c:v>1814164.5486325698</c:v>
                </c:pt>
                <c:pt idx="21">
                  <c:v>2377343.428602343</c:v>
                </c:pt>
                <c:pt idx="22">
                  <c:v>2569336.2285920382</c:v>
                </c:pt>
                <c:pt idx="23">
                  <c:v>7709690.9206486596</c:v>
                </c:pt>
              </c:numCache>
            </c:numRef>
          </c:val>
          <c:extLst>
            <c:ext xmlns:c16="http://schemas.microsoft.com/office/drawing/2014/chart" uri="{C3380CC4-5D6E-409C-BE32-E72D297353CC}">
              <c16:uniqueId val="{00000000-FC87-4144-A464-BCB82A9E549B}"/>
            </c:ext>
          </c:extLst>
        </c:ser>
        <c:dLbls>
          <c:showLegendKey val="0"/>
          <c:showVal val="0"/>
          <c:showCatName val="0"/>
          <c:showSerName val="0"/>
          <c:showPercent val="0"/>
          <c:showBubbleSize val="0"/>
        </c:dLbls>
        <c:gapWidth val="10"/>
        <c:axId val="42199680"/>
        <c:axId val="134546944"/>
      </c:barChart>
      <c:lineChart>
        <c:grouping val="standard"/>
        <c:varyColors val="0"/>
        <c:ser>
          <c:idx val="0"/>
          <c:order val="1"/>
          <c:tx>
            <c:strRef>
              <c:f>'Fluxo_de_Caixa Casas'!$B$13</c:f>
              <c:strCache>
                <c:ptCount val="1"/>
                <c:pt idx="0">
                  <c:v>Fluxo de Caixa Acumulado</c:v>
                </c:pt>
              </c:strCache>
            </c:strRef>
          </c:tx>
          <c:spPr>
            <a:ln>
              <a:solidFill>
                <a:srgbClr val="002060">
                  <a:alpha val="69804"/>
                </a:srgbClr>
              </a:solidFill>
            </a:ln>
          </c:spPr>
          <c:marker>
            <c:symbol val="none"/>
          </c:marker>
          <c:cat>
            <c:numRef>
              <c:f>'Fluxo_de_Caixa Casas'!$G$4:$AD$4</c:f>
              <c:numCache>
                <c:formatCode>mmm\-yy</c:formatCode>
                <c:ptCount val="24"/>
                <c:pt idx="0">
                  <c:v>44910</c:v>
                </c:pt>
                <c:pt idx="1">
                  <c:v>44957</c:v>
                </c:pt>
                <c:pt idx="2">
                  <c:v>44985</c:v>
                </c:pt>
                <c:pt idx="3">
                  <c:v>45016</c:v>
                </c:pt>
                <c:pt idx="4">
                  <c:v>45046</c:v>
                </c:pt>
                <c:pt idx="5">
                  <c:v>45077</c:v>
                </c:pt>
                <c:pt idx="6">
                  <c:v>45107</c:v>
                </c:pt>
                <c:pt idx="7">
                  <c:v>45138</c:v>
                </c:pt>
                <c:pt idx="8">
                  <c:v>45169</c:v>
                </c:pt>
                <c:pt idx="9">
                  <c:v>45199</c:v>
                </c:pt>
                <c:pt idx="10">
                  <c:v>45230</c:v>
                </c:pt>
                <c:pt idx="11">
                  <c:v>45260</c:v>
                </c:pt>
                <c:pt idx="12">
                  <c:v>45291</c:v>
                </c:pt>
                <c:pt idx="13">
                  <c:v>45322</c:v>
                </c:pt>
                <c:pt idx="14">
                  <c:v>45351</c:v>
                </c:pt>
                <c:pt idx="15">
                  <c:v>45382</c:v>
                </c:pt>
                <c:pt idx="16">
                  <c:v>45412</c:v>
                </c:pt>
                <c:pt idx="17">
                  <c:v>45443</c:v>
                </c:pt>
                <c:pt idx="18">
                  <c:v>45473</c:v>
                </c:pt>
                <c:pt idx="19">
                  <c:v>45504</c:v>
                </c:pt>
                <c:pt idx="20">
                  <c:v>45535</c:v>
                </c:pt>
                <c:pt idx="21">
                  <c:v>45565</c:v>
                </c:pt>
                <c:pt idx="22">
                  <c:v>45596</c:v>
                </c:pt>
                <c:pt idx="23">
                  <c:v>45626</c:v>
                </c:pt>
              </c:numCache>
            </c:numRef>
          </c:cat>
          <c:val>
            <c:numRef>
              <c:f>'Fluxo_de_Caixa Casas'!$G$13:$AD$13</c:f>
              <c:numCache>
                <c:formatCode>#,##0_);\(#,##0\);\-</c:formatCode>
                <c:ptCount val="24"/>
                <c:pt idx="0">
                  <c:v>-45494943.729999997</c:v>
                </c:pt>
                <c:pt idx="1">
                  <c:v>-45494943.729999997</c:v>
                </c:pt>
                <c:pt idx="2">
                  <c:v>-45494943.729999997</c:v>
                </c:pt>
                <c:pt idx="3">
                  <c:v>-45494943.729999997</c:v>
                </c:pt>
                <c:pt idx="4">
                  <c:v>-30494943.729999997</c:v>
                </c:pt>
                <c:pt idx="5">
                  <c:v>-30494943.729999997</c:v>
                </c:pt>
                <c:pt idx="6">
                  <c:v>-30494943.729999997</c:v>
                </c:pt>
                <c:pt idx="7">
                  <c:v>-30494943.729999997</c:v>
                </c:pt>
                <c:pt idx="8">
                  <c:v>5405575.0312777013</c:v>
                </c:pt>
                <c:pt idx="9">
                  <c:v>5891965.2125758333</c:v>
                </c:pt>
                <c:pt idx="10">
                  <c:v>6543143.7170279827</c:v>
                </c:pt>
                <c:pt idx="11">
                  <c:v>5241044.6879298799</c:v>
                </c:pt>
                <c:pt idx="12">
                  <c:v>1878817.5574635845</c:v>
                </c:pt>
                <c:pt idx="13">
                  <c:v>-2234995.9529614206</c:v>
                </c:pt>
                <c:pt idx="14">
                  <c:v>-7520126.6667816304</c:v>
                </c:pt>
                <c:pt idx="15">
                  <c:v>-14071149.525546959</c:v>
                </c:pt>
                <c:pt idx="16">
                  <c:v>-18205342.64318119</c:v>
                </c:pt>
                <c:pt idx="17">
                  <c:v>-15988633.441334324</c:v>
                </c:pt>
                <c:pt idx="18">
                  <c:v>-16523180.812575692</c:v>
                </c:pt>
                <c:pt idx="19">
                  <c:v>-15963369.223875798</c:v>
                </c:pt>
                <c:pt idx="20">
                  <c:v>-14149204.675243229</c:v>
                </c:pt>
                <c:pt idx="21">
                  <c:v>-11771861.246640885</c:v>
                </c:pt>
                <c:pt idx="22">
                  <c:v>-9202525.0180488471</c:v>
                </c:pt>
                <c:pt idx="23">
                  <c:v>-1492834.0974001875</c:v>
                </c:pt>
              </c:numCache>
            </c:numRef>
          </c:val>
          <c:smooth val="0"/>
          <c:extLst>
            <c:ext xmlns:c16="http://schemas.microsoft.com/office/drawing/2014/chart" uri="{C3380CC4-5D6E-409C-BE32-E72D297353CC}">
              <c16:uniqueId val="{00000001-FC87-4144-A464-BCB82A9E549B}"/>
            </c:ext>
          </c:extLst>
        </c:ser>
        <c:dLbls>
          <c:showLegendKey val="0"/>
          <c:showVal val="0"/>
          <c:showCatName val="0"/>
          <c:showSerName val="0"/>
          <c:showPercent val="0"/>
          <c:showBubbleSize val="0"/>
        </c:dLbls>
        <c:marker val="1"/>
        <c:smooth val="0"/>
        <c:axId val="42199680"/>
        <c:axId val="134546944"/>
      </c:lineChart>
      <c:dateAx>
        <c:axId val="42199680"/>
        <c:scaling>
          <c:orientation val="minMax"/>
        </c:scaling>
        <c:delete val="0"/>
        <c:axPos val="b"/>
        <c:majorGridlines>
          <c:spPr>
            <a:ln>
              <a:solidFill>
                <a:schemeClr val="bg1">
                  <a:lumMod val="85000"/>
                </a:schemeClr>
              </a:solidFill>
            </a:ln>
          </c:spPr>
        </c:majorGridlines>
        <c:numFmt formatCode="[$-416]mmm\-yy;@" sourceLinked="0"/>
        <c:majorTickMark val="out"/>
        <c:minorTickMark val="none"/>
        <c:tickLblPos val="low"/>
        <c:crossAx val="134546944"/>
        <c:crosses val="autoZero"/>
        <c:auto val="1"/>
        <c:lblOffset val="100"/>
        <c:baseTimeUnit val="months"/>
      </c:dateAx>
      <c:valAx>
        <c:axId val="134546944"/>
        <c:scaling>
          <c:orientation val="minMax"/>
        </c:scaling>
        <c:delete val="0"/>
        <c:axPos val="l"/>
        <c:majorGridlines>
          <c:spPr>
            <a:ln>
              <a:solidFill>
                <a:schemeClr val="bg1">
                  <a:lumMod val="85000"/>
                </a:schemeClr>
              </a:solidFill>
            </a:ln>
          </c:spPr>
        </c:majorGridlines>
        <c:numFmt formatCode="_(* #,##0_);_(* \(#,##0\);_(* &quot;-&quot;_);_(@_)" sourceLinked="0"/>
        <c:majorTickMark val="out"/>
        <c:minorTickMark val="none"/>
        <c:tickLblPos val="nextTo"/>
        <c:spPr>
          <a:ln>
            <a:noFill/>
          </a:ln>
        </c:spPr>
        <c:crossAx val="42199680"/>
        <c:crosses val="autoZero"/>
        <c:crossBetween val="between"/>
      </c:valAx>
    </c:plotArea>
    <c:plotVisOnly val="1"/>
    <c:dispBlanksAs val="gap"/>
    <c:showDLblsOverMax val="0"/>
  </c:chart>
  <c:spPr>
    <a:ln>
      <a:noFill/>
    </a:ln>
  </c:spPr>
  <c:txPr>
    <a:bodyPr/>
    <a:lstStyle/>
    <a:p>
      <a:pPr>
        <a:defRPr>
          <a:latin typeface="Futura Bk BT" panose="020B0502020204020303" pitchFamily="34" charset="0"/>
        </a:defRPr>
      </a:pPr>
      <a:endParaRPr lang="pt-B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5309527611468565"/>
          <c:y val="7.9695936742084472E-2"/>
          <c:w val="0.75802468174154292"/>
          <c:h val="0.69971519275830252"/>
        </c:manualLayout>
      </c:layout>
      <c:barChart>
        <c:barDir val="col"/>
        <c:grouping val="clustered"/>
        <c:varyColors val="0"/>
        <c:ser>
          <c:idx val="0"/>
          <c:order val="0"/>
          <c:tx>
            <c:strRef>
              <c:f>'Desembolso - LV'!$B$4</c:f>
              <c:strCache>
                <c:ptCount val="1"/>
                <c:pt idx="0">
                  <c:v>R$ Mensal</c:v>
                </c:pt>
              </c:strCache>
            </c:strRef>
          </c:tx>
          <c:spPr>
            <a:solidFill>
              <a:schemeClr val="accent2"/>
            </a:solidFill>
            <a:ln>
              <a:noFill/>
            </a:ln>
            <a:effectLst/>
          </c:spPr>
          <c:invertIfNegative val="0"/>
          <c:cat>
            <c:numRef>
              <c:f>'Desembolso - LV'!$A$5:$A$33</c:f>
              <c:numCache>
                <c:formatCode>mmm\-yy</c:formatCode>
                <c:ptCount val="29"/>
                <c:pt idx="0">
                  <c:v>45077</c:v>
                </c:pt>
                <c:pt idx="1">
                  <c:v>45107</c:v>
                </c:pt>
                <c:pt idx="2">
                  <c:v>45138</c:v>
                </c:pt>
                <c:pt idx="3">
                  <c:v>45169</c:v>
                </c:pt>
                <c:pt idx="4">
                  <c:v>45199</c:v>
                </c:pt>
                <c:pt idx="5">
                  <c:v>45230</c:v>
                </c:pt>
                <c:pt idx="6">
                  <c:v>45260</c:v>
                </c:pt>
                <c:pt idx="7">
                  <c:v>45291</c:v>
                </c:pt>
                <c:pt idx="8">
                  <c:v>45322</c:v>
                </c:pt>
                <c:pt idx="9">
                  <c:v>45351</c:v>
                </c:pt>
                <c:pt idx="10">
                  <c:v>45382</c:v>
                </c:pt>
                <c:pt idx="11">
                  <c:v>45412</c:v>
                </c:pt>
                <c:pt idx="12">
                  <c:v>45443</c:v>
                </c:pt>
                <c:pt idx="13">
                  <c:v>45473</c:v>
                </c:pt>
                <c:pt idx="14">
                  <c:v>45504</c:v>
                </c:pt>
                <c:pt idx="15">
                  <c:v>45535</c:v>
                </c:pt>
                <c:pt idx="16">
                  <c:v>45565</c:v>
                </c:pt>
                <c:pt idx="17">
                  <c:v>45596</c:v>
                </c:pt>
                <c:pt idx="18">
                  <c:v>45626</c:v>
                </c:pt>
                <c:pt idx="19">
                  <c:v>45657</c:v>
                </c:pt>
                <c:pt idx="20">
                  <c:v>45688</c:v>
                </c:pt>
                <c:pt idx="21">
                  <c:v>45716</c:v>
                </c:pt>
                <c:pt idx="22">
                  <c:v>45747</c:v>
                </c:pt>
                <c:pt idx="23">
                  <c:v>45777</c:v>
                </c:pt>
              </c:numCache>
            </c:numRef>
          </c:cat>
          <c:val>
            <c:numRef>
              <c:f>'Desembolso - LV'!$B$5:$B$33</c:f>
              <c:numCache>
                <c:formatCode>_(* #,##0.00_);_(* \(#,##0.00\);_(* "-"??_);_(@_)</c:formatCode>
                <c:ptCount val="29"/>
                <c:pt idx="0">
                  <c:v>1255852.347133494</c:v>
                </c:pt>
                <c:pt idx="1">
                  <c:v>2042610.9829731216</c:v>
                </c:pt>
                <c:pt idx="2">
                  <c:v>1049011.5190327356</c:v>
                </c:pt>
                <c:pt idx="3">
                  <c:v>1589576.8577699165</c:v>
                </c:pt>
                <c:pt idx="4">
                  <c:v>2078878.0091780585</c:v>
                </c:pt>
                <c:pt idx="5">
                  <c:v>1914089.6860240409</c:v>
                </c:pt>
                <c:pt idx="6">
                  <c:v>3867367.2195742936</c:v>
                </c:pt>
                <c:pt idx="7">
                  <c:v>5927495.3209424857</c:v>
                </c:pt>
                <c:pt idx="8">
                  <c:v>6679081.7009011954</c:v>
                </c:pt>
                <c:pt idx="9">
                  <c:v>7850398.9042964</c:v>
                </c:pt>
                <c:pt idx="10">
                  <c:v>9116291.0492415186</c:v>
                </c:pt>
                <c:pt idx="11">
                  <c:v>6699461.3081104234</c:v>
                </c:pt>
                <c:pt idx="12">
                  <c:v>5102216.0552959908</c:v>
                </c:pt>
                <c:pt idx="13">
                  <c:v>3487869.1998127974</c:v>
                </c:pt>
                <c:pt idx="14">
                  <c:v>2393510.2398715345</c:v>
                </c:pt>
                <c:pt idx="15">
                  <c:v>1139157.2799388587</c:v>
                </c:pt>
                <c:pt idx="16">
                  <c:v>575978.3999690857</c:v>
                </c:pt>
                <c:pt idx="17">
                  <c:v>383985.59997939056</c:v>
                </c:pt>
                <c:pt idx="18">
                  <c:v>255990.39998626037</c:v>
                </c:pt>
                <c:pt idx="19">
                  <c:v>204792.31998900831</c:v>
                </c:pt>
                <c:pt idx="20">
                  <c:v>153594.23999175619</c:v>
                </c:pt>
                <c:pt idx="21">
                  <c:v>95996.399994847641</c:v>
                </c:pt>
                <c:pt idx="22">
                  <c:v>89596.63999519113</c:v>
                </c:pt>
                <c:pt idx="23">
                  <c:v>44798.319997595565</c:v>
                </c:pt>
              </c:numCache>
            </c:numRef>
          </c:val>
          <c:extLst>
            <c:ext xmlns:c16="http://schemas.microsoft.com/office/drawing/2014/chart" uri="{C3380CC4-5D6E-409C-BE32-E72D297353CC}">
              <c16:uniqueId val="{00000000-DCDA-4E96-8E56-8DAC84C84E9F}"/>
            </c:ext>
          </c:extLst>
        </c:ser>
        <c:dLbls>
          <c:showLegendKey val="0"/>
          <c:showVal val="0"/>
          <c:showCatName val="0"/>
          <c:showSerName val="0"/>
          <c:showPercent val="0"/>
          <c:showBubbleSize val="0"/>
        </c:dLbls>
        <c:gapWidth val="219"/>
        <c:overlap val="-27"/>
        <c:axId val="1836148591"/>
        <c:axId val="1836150671"/>
        <c:extLst>
          <c:ext xmlns:c15="http://schemas.microsoft.com/office/drawing/2012/chart" uri="{02D57815-91ED-43cb-92C2-25804820EDAC}">
            <c15:filteredBarSeries>
              <c15:ser>
                <c:idx val="1"/>
                <c:order val="1"/>
                <c:tx>
                  <c:strRef>
                    <c:extLst>
                      <c:ext uri="{02D57815-91ED-43cb-92C2-25804820EDAC}">
                        <c15:formulaRef>
                          <c15:sqref>'Desembolso - LV'!$C$4</c15:sqref>
                        </c15:formulaRef>
                      </c:ext>
                    </c:extLst>
                    <c:strCache>
                      <c:ptCount val="1"/>
                      <c:pt idx="0">
                        <c:v>R$ Acumulado</c:v>
                      </c:pt>
                    </c:strCache>
                  </c:strRef>
                </c:tx>
                <c:spPr>
                  <a:solidFill>
                    <a:schemeClr val="accent4"/>
                  </a:solidFill>
                  <a:ln>
                    <a:noFill/>
                  </a:ln>
                  <a:effectLst/>
                </c:spPr>
                <c:invertIfNegative val="0"/>
                <c:cat>
                  <c:numRef>
                    <c:extLst>
                      <c:ext uri="{02D57815-91ED-43cb-92C2-25804820EDAC}">
                        <c15:formulaRef>
                          <c15:sqref>'Desembolso - LV'!$A$5:$A$33</c15:sqref>
                        </c15:formulaRef>
                      </c:ext>
                    </c:extLst>
                    <c:numCache>
                      <c:formatCode>mmm\-yy</c:formatCode>
                      <c:ptCount val="29"/>
                      <c:pt idx="0">
                        <c:v>45077</c:v>
                      </c:pt>
                      <c:pt idx="1">
                        <c:v>45107</c:v>
                      </c:pt>
                      <c:pt idx="2">
                        <c:v>45138</c:v>
                      </c:pt>
                      <c:pt idx="3">
                        <c:v>45169</c:v>
                      </c:pt>
                      <c:pt idx="4">
                        <c:v>45199</c:v>
                      </c:pt>
                      <c:pt idx="5">
                        <c:v>45230</c:v>
                      </c:pt>
                      <c:pt idx="6">
                        <c:v>45260</c:v>
                      </c:pt>
                      <c:pt idx="7">
                        <c:v>45291</c:v>
                      </c:pt>
                      <c:pt idx="8">
                        <c:v>45322</c:v>
                      </c:pt>
                      <c:pt idx="9">
                        <c:v>45351</c:v>
                      </c:pt>
                      <c:pt idx="10">
                        <c:v>45382</c:v>
                      </c:pt>
                      <c:pt idx="11">
                        <c:v>45412</c:v>
                      </c:pt>
                      <c:pt idx="12">
                        <c:v>45443</c:v>
                      </c:pt>
                      <c:pt idx="13">
                        <c:v>45473</c:v>
                      </c:pt>
                      <c:pt idx="14">
                        <c:v>45504</c:v>
                      </c:pt>
                      <c:pt idx="15">
                        <c:v>45535</c:v>
                      </c:pt>
                      <c:pt idx="16">
                        <c:v>45565</c:v>
                      </c:pt>
                      <c:pt idx="17">
                        <c:v>45596</c:v>
                      </c:pt>
                      <c:pt idx="18">
                        <c:v>45626</c:v>
                      </c:pt>
                      <c:pt idx="19">
                        <c:v>45657</c:v>
                      </c:pt>
                      <c:pt idx="20">
                        <c:v>45688</c:v>
                      </c:pt>
                      <c:pt idx="21">
                        <c:v>45716</c:v>
                      </c:pt>
                      <c:pt idx="22">
                        <c:v>45747</c:v>
                      </c:pt>
                      <c:pt idx="23">
                        <c:v>45777</c:v>
                      </c:pt>
                    </c:numCache>
                  </c:numRef>
                </c:cat>
                <c:val>
                  <c:numRef>
                    <c:extLst>
                      <c:ext uri="{02D57815-91ED-43cb-92C2-25804820EDAC}">
                        <c15:formulaRef>
                          <c15:sqref>'Desembolso - LV'!$C$5:$C$33</c15:sqref>
                        </c15:formulaRef>
                      </c:ext>
                    </c:extLst>
                    <c:numCache>
                      <c:formatCode>_(* #,##0.00_);_(* \(#,##0.00\);_(* "-"??_);_(@_)</c:formatCode>
                      <c:ptCount val="29"/>
                      <c:pt idx="0">
                        <c:v>1255852.347133494</c:v>
                      </c:pt>
                      <c:pt idx="1">
                        <c:v>3298463.3301066156</c:v>
                      </c:pt>
                      <c:pt idx="2">
                        <c:v>4347474.8491393514</c:v>
                      </c:pt>
                      <c:pt idx="3">
                        <c:v>5937051.7069092682</c:v>
                      </c:pt>
                      <c:pt idx="4">
                        <c:v>8015929.7160873264</c:v>
                      </c:pt>
                      <c:pt idx="5">
                        <c:v>9930019.4021113664</c:v>
                      </c:pt>
                      <c:pt idx="6">
                        <c:v>13797386.62168566</c:v>
                      </c:pt>
                      <c:pt idx="7">
                        <c:v>19724881.942628145</c:v>
                      </c:pt>
                      <c:pt idx="8">
                        <c:v>26403963.643529341</c:v>
                      </c:pt>
                      <c:pt idx="9">
                        <c:v>34254362.547825739</c:v>
                      </c:pt>
                      <c:pt idx="10">
                        <c:v>43370653.597067259</c:v>
                      </c:pt>
                      <c:pt idx="11">
                        <c:v>50070114.905177683</c:v>
                      </c:pt>
                      <c:pt idx="12">
                        <c:v>55172330.960473672</c:v>
                      </c:pt>
                      <c:pt idx="13">
                        <c:v>58660200.160286471</c:v>
                      </c:pt>
                      <c:pt idx="14">
                        <c:v>61053710.400158003</c:v>
                      </c:pt>
                      <c:pt idx="15">
                        <c:v>62192867.680096865</c:v>
                      </c:pt>
                      <c:pt idx="16">
                        <c:v>62768846.080065951</c:v>
                      </c:pt>
                      <c:pt idx="17">
                        <c:v>63152831.680045344</c:v>
                      </c:pt>
                      <c:pt idx="18">
                        <c:v>63408822.080031604</c:v>
                      </c:pt>
                      <c:pt idx="19">
                        <c:v>63613614.400020614</c:v>
                      </c:pt>
                      <c:pt idx="20">
                        <c:v>63767208.640012369</c:v>
                      </c:pt>
                      <c:pt idx="21">
                        <c:v>63863205.040007219</c:v>
                      </c:pt>
                      <c:pt idx="22">
                        <c:v>63952801.680002406</c:v>
                      </c:pt>
                      <c:pt idx="23">
                        <c:v>63997600</c:v>
                      </c:pt>
                    </c:numCache>
                  </c:numRef>
                </c:val>
                <c:extLst>
                  <c:ext xmlns:c16="http://schemas.microsoft.com/office/drawing/2014/chart" uri="{C3380CC4-5D6E-409C-BE32-E72D297353CC}">
                    <c16:uniqueId val="{00000002-DCDA-4E96-8E56-8DAC84C84E9F}"/>
                  </c:ext>
                </c:extLst>
              </c15:ser>
            </c15:filteredBarSeries>
          </c:ext>
        </c:extLst>
      </c:barChart>
      <c:lineChart>
        <c:grouping val="standard"/>
        <c:varyColors val="0"/>
        <c:ser>
          <c:idx val="3"/>
          <c:order val="3"/>
          <c:tx>
            <c:strRef>
              <c:f>'Desembolso - LV'!$E$4</c:f>
              <c:strCache>
                <c:ptCount val="1"/>
                <c:pt idx="0">
                  <c:v> % Acumulada </c:v>
                </c:pt>
              </c:strCache>
            </c:strRef>
          </c:tx>
          <c:spPr>
            <a:ln w="28575" cap="rnd">
              <a:solidFill>
                <a:schemeClr val="accent2">
                  <a:lumMod val="60000"/>
                </a:schemeClr>
              </a:solidFill>
              <a:round/>
            </a:ln>
            <a:effectLst/>
          </c:spPr>
          <c:marker>
            <c:symbol val="none"/>
          </c:marker>
          <c:cat>
            <c:numRef>
              <c:f>'Desembolso - LV'!$A$5:$A$33</c:f>
              <c:numCache>
                <c:formatCode>mmm\-yy</c:formatCode>
                <c:ptCount val="29"/>
                <c:pt idx="0">
                  <c:v>45077</c:v>
                </c:pt>
                <c:pt idx="1">
                  <c:v>45107</c:v>
                </c:pt>
                <c:pt idx="2">
                  <c:v>45138</c:v>
                </c:pt>
                <c:pt idx="3">
                  <c:v>45169</c:v>
                </c:pt>
                <c:pt idx="4">
                  <c:v>45199</c:v>
                </c:pt>
                <c:pt idx="5">
                  <c:v>45230</c:v>
                </c:pt>
                <c:pt idx="6">
                  <c:v>45260</c:v>
                </c:pt>
                <c:pt idx="7">
                  <c:v>45291</c:v>
                </c:pt>
                <c:pt idx="8">
                  <c:v>45322</c:v>
                </c:pt>
                <c:pt idx="9">
                  <c:v>45351</c:v>
                </c:pt>
                <c:pt idx="10">
                  <c:v>45382</c:v>
                </c:pt>
                <c:pt idx="11">
                  <c:v>45412</c:v>
                </c:pt>
                <c:pt idx="12">
                  <c:v>45443</c:v>
                </c:pt>
                <c:pt idx="13">
                  <c:v>45473</c:v>
                </c:pt>
                <c:pt idx="14">
                  <c:v>45504</c:v>
                </c:pt>
                <c:pt idx="15">
                  <c:v>45535</c:v>
                </c:pt>
                <c:pt idx="16">
                  <c:v>45565</c:v>
                </c:pt>
                <c:pt idx="17">
                  <c:v>45596</c:v>
                </c:pt>
                <c:pt idx="18">
                  <c:v>45626</c:v>
                </c:pt>
                <c:pt idx="19">
                  <c:v>45657</c:v>
                </c:pt>
                <c:pt idx="20">
                  <c:v>45688</c:v>
                </c:pt>
                <c:pt idx="21">
                  <c:v>45716</c:v>
                </c:pt>
                <c:pt idx="22">
                  <c:v>45747</c:v>
                </c:pt>
                <c:pt idx="23">
                  <c:v>45777</c:v>
                </c:pt>
              </c:numCache>
            </c:numRef>
          </c:cat>
          <c:val>
            <c:numRef>
              <c:f>'Desembolso - LV'!$E$5:$E$33</c:f>
              <c:numCache>
                <c:formatCode>0.00%</c:formatCode>
                <c:ptCount val="29"/>
                <c:pt idx="0">
                  <c:v>1.9623428802540938E-2</c:v>
                </c:pt>
                <c:pt idx="1">
                  <c:v>5.1540422298752067E-2</c:v>
                </c:pt>
                <c:pt idx="2">
                  <c:v>6.7931841961875933E-2</c:v>
                </c:pt>
                <c:pt idx="3">
                  <c:v>9.2769911792149509E-2</c:v>
                </c:pt>
                <c:pt idx="4">
                  <c:v>0.12525359882382037</c:v>
                </c:pt>
                <c:pt idx="5">
                  <c:v>0.15516237174693062</c:v>
                </c:pt>
                <c:pt idx="6">
                  <c:v>0.2155922506732387</c:v>
                </c:pt>
                <c:pt idx="7">
                  <c:v>0.30821283833500235</c:v>
                </c:pt>
                <c:pt idx="8">
                  <c:v>0.41257740358278033</c:v>
                </c:pt>
                <c:pt idx="9">
                  <c:v>0.53524448647802014</c:v>
                </c:pt>
                <c:pt idx="10">
                  <c:v>0.67769187589952218</c:v>
                </c:pt>
                <c:pt idx="11">
                  <c:v>0.78237488445156822</c:v>
                </c:pt>
                <c:pt idx="12">
                  <c:v>0.86210000000740139</c:v>
                </c:pt>
                <c:pt idx="13">
                  <c:v>0.91660000000447628</c:v>
                </c:pt>
                <c:pt idx="14">
                  <c:v>0.95400000000246887</c:v>
                </c:pt>
                <c:pt idx="15">
                  <c:v>0.97180000000151345</c:v>
                </c:pt>
                <c:pt idx="16">
                  <c:v>0.9808000000010304</c:v>
                </c:pt>
                <c:pt idx="17">
                  <c:v>0.98680000000070833</c:v>
                </c:pt>
                <c:pt idx="18">
                  <c:v>0.99080000000049362</c:v>
                </c:pt>
                <c:pt idx="19">
                  <c:v>0.99400000000032185</c:v>
                </c:pt>
                <c:pt idx="20">
                  <c:v>0.99640000000019302</c:v>
                </c:pt>
                <c:pt idx="21">
                  <c:v>0.99790000000011247</c:v>
                </c:pt>
                <c:pt idx="22">
                  <c:v>0.99930000000003738</c:v>
                </c:pt>
                <c:pt idx="23">
                  <c:v>0.99999999999999978</c:v>
                </c:pt>
              </c:numCache>
            </c:numRef>
          </c:val>
          <c:smooth val="0"/>
          <c:extLst>
            <c:ext xmlns:c16="http://schemas.microsoft.com/office/drawing/2014/chart" uri="{C3380CC4-5D6E-409C-BE32-E72D297353CC}">
              <c16:uniqueId val="{00000001-DCDA-4E96-8E56-8DAC84C84E9F}"/>
            </c:ext>
          </c:extLst>
        </c:ser>
        <c:dLbls>
          <c:showLegendKey val="0"/>
          <c:showVal val="0"/>
          <c:showCatName val="0"/>
          <c:showSerName val="0"/>
          <c:showPercent val="0"/>
          <c:showBubbleSize val="0"/>
        </c:dLbls>
        <c:marker val="1"/>
        <c:smooth val="0"/>
        <c:axId val="2046182271"/>
        <c:axId val="2046171039"/>
        <c:extLst>
          <c:ext xmlns:c15="http://schemas.microsoft.com/office/drawing/2012/chart" uri="{02D57815-91ED-43cb-92C2-25804820EDAC}">
            <c15:filteredLineSeries>
              <c15:ser>
                <c:idx val="2"/>
                <c:order val="2"/>
                <c:tx>
                  <c:strRef>
                    <c:extLst>
                      <c:ext uri="{02D57815-91ED-43cb-92C2-25804820EDAC}">
                        <c15:formulaRef>
                          <c15:sqref>'Desembolso - LV'!$D$4</c15:sqref>
                        </c15:formulaRef>
                      </c:ext>
                    </c:extLst>
                    <c:strCache>
                      <c:ptCount val="1"/>
                      <c:pt idx="0">
                        <c:v> % Mensal </c:v>
                      </c:pt>
                    </c:strCache>
                  </c:strRef>
                </c:tx>
                <c:spPr>
                  <a:ln w="28575" cap="rnd">
                    <a:solidFill>
                      <a:schemeClr val="accent6"/>
                    </a:solidFill>
                    <a:round/>
                  </a:ln>
                  <a:effectLst/>
                </c:spPr>
                <c:marker>
                  <c:symbol val="none"/>
                </c:marker>
                <c:cat>
                  <c:numRef>
                    <c:extLst>
                      <c:ext uri="{02D57815-91ED-43cb-92C2-25804820EDAC}">
                        <c15:formulaRef>
                          <c15:sqref>'Desembolso - LV'!$A$5:$A$33</c15:sqref>
                        </c15:formulaRef>
                      </c:ext>
                    </c:extLst>
                    <c:numCache>
                      <c:formatCode>mmm\-yy</c:formatCode>
                      <c:ptCount val="29"/>
                      <c:pt idx="0">
                        <c:v>45077</c:v>
                      </c:pt>
                      <c:pt idx="1">
                        <c:v>45107</c:v>
                      </c:pt>
                      <c:pt idx="2">
                        <c:v>45138</c:v>
                      </c:pt>
                      <c:pt idx="3">
                        <c:v>45169</c:v>
                      </c:pt>
                      <c:pt idx="4">
                        <c:v>45199</c:v>
                      </c:pt>
                      <c:pt idx="5">
                        <c:v>45230</c:v>
                      </c:pt>
                      <c:pt idx="6">
                        <c:v>45260</c:v>
                      </c:pt>
                      <c:pt idx="7">
                        <c:v>45291</c:v>
                      </c:pt>
                      <c:pt idx="8">
                        <c:v>45322</c:v>
                      </c:pt>
                      <c:pt idx="9">
                        <c:v>45351</c:v>
                      </c:pt>
                      <c:pt idx="10">
                        <c:v>45382</c:v>
                      </c:pt>
                      <c:pt idx="11">
                        <c:v>45412</c:v>
                      </c:pt>
                      <c:pt idx="12">
                        <c:v>45443</c:v>
                      </c:pt>
                      <c:pt idx="13">
                        <c:v>45473</c:v>
                      </c:pt>
                      <c:pt idx="14">
                        <c:v>45504</c:v>
                      </c:pt>
                      <c:pt idx="15">
                        <c:v>45535</c:v>
                      </c:pt>
                      <c:pt idx="16">
                        <c:v>45565</c:v>
                      </c:pt>
                      <c:pt idx="17">
                        <c:v>45596</c:v>
                      </c:pt>
                      <c:pt idx="18">
                        <c:v>45626</c:v>
                      </c:pt>
                      <c:pt idx="19">
                        <c:v>45657</c:v>
                      </c:pt>
                      <c:pt idx="20">
                        <c:v>45688</c:v>
                      </c:pt>
                      <c:pt idx="21">
                        <c:v>45716</c:v>
                      </c:pt>
                      <c:pt idx="22">
                        <c:v>45747</c:v>
                      </c:pt>
                      <c:pt idx="23">
                        <c:v>45777</c:v>
                      </c:pt>
                    </c:numCache>
                  </c:numRef>
                </c:cat>
                <c:val>
                  <c:numRef>
                    <c:extLst>
                      <c:ext uri="{02D57815-91ED-43cb-92C2-25804820EDAC}">
                        <c15:formulaRef>
                          <c15:sqref>'Desembolso - LV'!$D$5:$D$33</c15:sqref>
                        </c15:formulaRef>
                      </c:ext>
                    </c:extLst>
                    <c:numCache>
                      <c:formatCode>0.00%</c:formatCode>
                      <c:ptCount val="29"/>
                      <c:pt idx="0">
                        <c:v>1.9623428802540938E-2</c:v>
                      </c:pt>
                      <c:pt idx="1">
                        <c:v>3.1916993496211132E-2</c:v>
                      </c:pt>
                      <c:pt idx="2">
                        <c:v>1.6391419663123862E-2</c:v>
                      </c:pt>
                      <c:pt idx="3">
                        <c:v>2.483806983027358E-2</c:v>
                      </c:pt>
                      <c:pt idx="4">
                        <c:v>3.2483687031670851E-2</c:v>
                      </c:pt>
                      <c:pt idx="5">
                        <c:v>2.9908772923110255E-2</c:v>
                      </c:pt>
                      <c:pt idx="6">
                        <c:v>6.0429878926308071E-2</c:v>
                      </c:pt>
                      <c:pt idx="7">
                        <c:v>9.2620587661763662E-2</c:v>
                      </c:pt>
                      <c:pt idx="8">
                        <c:v>0.10436456524777797</c:v>
                      </c:pt>
                      <c:pt idx="9">
                        <c:v>0.12266708289523982</c:v>
                      </c:pt>
                      <c:pt idx="10">
                        <c:v>0.14244738942150204</c:v>
                      </c:pt>
                      <c:pt idx="11">
                        <c:v>0.10468300855204607</c:v>
                      </c:pt>
                      <c:pt idx="12">
                        <c:v>7.9725115555833198E-2</c:v>
                      </c:pt>
                      <c:pt idx="13">
                        <c:v>5.4499999997074847E-2</c:v>
                      </c:pt>
                      <c:pt idx="14">
                        <c:v>3.739999999799265E-2</c:v>
                      </c:pt>
                      <c:pt idx="15">
                        <c:v>1.7799999999044632E-2</c:v>
                      </c:pt>
                      <c:pt idx="16">
                        <c:v>8.9999999995169465E-3</c:v>
                      </c:pt>
                      <c:pt idx="17">
                        <c:v>5.9999999996779652E-3</c:v>
                      </c:pt>
                      <c:pt idx="18">
                        <c:v>3.9999999997853098E-3</c:v>
                      </c:pt>
                      <c:pt idx="19">
                        <c:v>3.1999999998282482E-3</c:v>
                      </c:pt>
                      <c:pt idx="20">
                        <c:v>2.3999999998711857E-3</c:v>
                      </c:pt>
                      <c:pt idx="21">
                        <c:v>1.4999999999194913E-3</c:v>
                      </c:pt>
                      <c:pt idx="22">
                        <c:v>1.3999999999248585E-3</c:v>
                      </c:pt>
                      <c:pt idx="23">
                        <c:v>6.9999999996242924E-4</c:v>
                      </c:pt>
                    </c:numCache>
                  </c:numRef>
                </c:val>
                <c:smooth val="0"/>
                <c:extLst>
                  <c:ext xmlns:c16="http://schemas.microsoft.com/office/drawing/2014/chart" uri="{C3380CC4-5D6E-409C-BE32-E72D297353CC}">
                    <c16:uniqueId val="{00000003-DCDA-4E96-8E56-8DAC84C84E9F}"/>
                  </c:ext>
                </c:extLst>
              </c15:ser>
            </c15:filteredLineSeries>
          </c:ext>
        </c:extLst>
      </c:lineChart>
      <c:dateAx>
        <c:axId val="1836148591"/>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pt-BR"/>
          </a:p>
        </c:txPr>
        <c:crossAx val="1836150671"/>
        <c:crosses val="autoZero"/>
        <c:auto val="1"/>
        <c:lblOffset val="100"/>
        <c:baseTimeUnit val="months"/>
      </c:dateAx>
      <c:valAx>
        <c:axId val="1836150671"/>
        <c:scaling>
          <c:orientation val="minMax"/>
        </c:scaling>
        <c:delete val="0"/>
        <c:axPos val="l"/>
        <c:majorGridlines>
          <c:spPr>
            <a:ln w="9525" cap="flat" cmpd="sng" algn="ctr">
              <a:solidFill>
                <a:schemeClr val="tx1">
                  <a:lumMod val="15000"/>
                  <a:lumOff val="85000"/>
                </a:schemeClr>
              </a:solidFill>
              <a:round/>
            </a:ln>
            <a:effectLst/>
          </c:spPr>
        </c:majorGridlines>
        <c:numFmt formatCode="_(&quot;R$&quot;* #,##0.00_);_(&quot;R$&quot;* \(#,##0.00\);_(&quot;R$&quot;* &quot;-&quot;??_);_(@_)"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836148591"/>
        <c:crosses val="autoZero"/>
        <c:crossBetween val="between"/>
        <c:majorUnit val="1000000"/>
      </c:valAx>
      <c:valAx>
        <c:axId val="2046171039"/>
        <c:scaling>
          <c:orientation val="minMax"/>
        </c:scaling>
        <c:delete val="0"/>
        <c:axPos val="r"/>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2046182271"/>
        <c:crosses val="max"/>
        <c:crossBetween val="between"/>
        <c:majorUnit val="0.1"/>
      </c:valAx>
      <c:dateAx>
        <c:axId val="2046182271"/>
        <c:scaling>
          <c:orientation val="minMax"/>
        </c:scaling>
        <c:delete val="1"/>
        <c:axPos val="b"/>
        <c:numFmt formatCode="mmm\-yy" sourceLinked="1"/>
        <c:majorTickMark val="out"/>
        <c:minorTickMark val="none"/>
        <c:tickLblPos val="nextTo"/>
        <c:crossAx val="2046171039"/>
        <c:crosses val="autoZero"/>
        <c:auto val="1"/>
        <c:lblOffset val="100"/>
        <c:baseTimeUnit val="month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[11]Rel_Viab!$L$5</c:f>
              <c:strCache>
                <c:ptCount val="1"/>
                <c:pt idx="0">
                  <c:v>Receita Bruta</c:v>
                </c:pt>
              </c:strCache>
            </c:strRef>
          </c:tx>
          <c:spPr>
            <a:solidFill>
              <a:srgbClr val="55B03E"/>
            </a:solidFill>
            <a:ln>
              <a:noFill/>
            </a:ln>
            <a:effectLst/>
          </c:spPr>
          <c:invertIfNegative val="0"/>
          <c:cat>
            <c:strRef>
              <c:f>[11]Rel_Viab!$M$4:$O$4</c:f>
              <c:strCache>
                <c:ptCount val="3"/>
                <c:pt idx="0">
                  <c:v>Ano 1</c:v>
                </c:pt>
                <c:pt idx="1">
                  <c:v>Ano 2</c:v>
                </c:pt>
                <c:pt idx="2">
                  <c:v>Ano 3</c:v>
                </c:pt>
              </c:strCache>
            </c:strRef>
          </c:cat>
          <c:val>
            <c:numRef>
              <c:f>[11]Rel_Viab!$M$5:$O$5</c:f>
              <c:numCache>
                <c:formatCode>General</c:formatCode>
                <c:ptCount val="3"/>
                <c:pt idx="0">
                  <c:v>71999999.999999985</c:v>
                </c:pt>
                <c:pt idx="1">
                  <c:v>179999999.99999994</c:v>
                </c:pt>
                <c:pt idx="2">
                  <c:v>0</c:v>
                </c:pt>
              </c:numCache>
            </c:numRef>
          </c:val>
          <c:extLst>
            <c:ext xmlns:c16="http://schemas.microsoft.com/office/drawing/2014/chart" uri="{C3380CC4-5D6E-409C-BE32-E72D297353CC}">
              <c16:uniqueId val="{00000000-BA8B-443B-87E1-C8F14E3BC6A7}"/>
            </c:ext>
          </c:extLst>
        </c:ser>
        <c:ser>
          <c:idx val="1"/>
          <c:order val="1"/>
          <c:tx>
            <c:strRef>
              <c:f>[11]Rel_Viab!$L$6</c:f>
              <c:strCache>
                <c:ptCount val="1"/>
                <c:pt idx="0">
                  <c:v>Despesas</c:v>
                </c:pt>
              </c:strCache>
            </c:strRef>
          </c:tx>
          <c:spPr>
            <a:solidFill>
              <a:srgbClr val="F0462E"/>
            </a:solidFill>
            <a:ln>
              <a:noFill/>
            </a:ln>
            <a:effectLst/>
          </c:spPr>
          <c:invertIfNegative val="0"/>
          <c:cat>
            <c:strRef>
              <c:f>[11]Rel_Viab!$M$4:$O$4</c:f>
              <c:strCache>
                <c:ptCount val="3"/>
                <c:pt idx="0">
                  <c:v>Ano 1</c:v>
                </c:pt>
                <c:pt idx="1">
                  <c:v>Ano 2</c:v>
                </c:pt>
                <c:pt idx="2">
                  <c:v>Ano 3</c:v>
                </c:pt>
              </c:strCache>
            </c:strRef>
          </c:cat>
          <c:val>
            <c:numRef>
              <c:f>[11]Rel_Viab!$M$6:$O$6</c:f>
              <c:numCache>
                <c:formatCode>General</c:formatCode>
                <c:ptCount val="3"/>
                <c:pt idx="0">
                  <c:v>50637428.571428575</c:v>
                </c:pt>
                <c:pt idx="1">
                  <c:v>133674421.42857145</c:v>
                </c:pt>
                <c:pt idx="2">
                  <c:v>5000</c:v>
                </c:pt>
              </c:numCache>
            </c:numRef>
          </c:val>
          <c:extLst>
            <c:ext xmlns:c16="http://schemas.microsoft.com/office/drawing/2014/chart" uri="{C3380CC4-5D6E-409C-BE32-E72D297353CC}">
              <c16:uniqueId val="{00000001-BA8B-443B-87E1-C8F14E3BC6A7}"/>
            </c:ext>
          </c:extLst>
        </c:ser>
        <c:dLbls>
          <c:showLegendKey val="0"/>
          <c:showVal val="0"/>
          <c:showCatName val="0"/>
          <c:showSerName val="0"/>
          <c:showPercent val="0"/>
          <c:showBubbleSize val="0"/>
        </c:dLbls>
        <c:gapWidth val="70"/>
        <c:axId val="-1754285008"/>
        <c:axId val="-1754287184"/>
      </c:barChart>
      <c:lineChart>
        <c:grouping val="standard"/>
        <c:varyColors val="0"/>
        <c:ser>
          <c:idx val="2"/>
          <c:order val="2"/>
          <c:tx>
            <c:strRef>
              <c:f>[11]Rel_Viab!$L$7</c:f>
              <c:strCache>
                <c:ptCount val="1"/>
                <c:pt idx="0">
                  <c:v>Lucro Livre</c:v>
                </c:pt>
              </c:strCache>
            </c:strRef>
          </c:tx>
          <c:spPr>
            <a:ln w="12700" cap="rnd">
              <a:solidFill>
                <a:schemeClr val="tx1">
                  <a:lumMod val="75000"/>
                  <a:lumOff val="25000"/>
                </a:schemeClr>
              </a:solidFill>
              <a:round/>
            </a:ln>
            <a:effectLst/>
          </c:spPr>
          <c:marker>
            <c:symbol val="none"/>
          </c:marker>
          <c:dLbls>
            <c:numFmt formatCode="&quot;R$&quo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pt-B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[11]Rel_Viab!$M$4:$O$4</c:f>
              <c:strCache>
                <c:ptCount val="3"/>
                <c:pt idx="0">
                  <c:v>Ano 1</c:v>
                </c:pt>
                <c:pt idx="1">
                  <c:v>Ano 2</c:v>
                </c:pt>
                <c:pt idx="2">
                  <c:v>Ano 3</c:v>
                </c:pt>
              </c:strCache>
            </c:strRef>
          </c:cat>
          <c:val>
            <c:numRef>
              <c:f>[11]Rel_Viab!$M$7:$O$7</c:f>
              <c:numCache>
                <c:formatCode>General</c:formatCode>
                <c:ptCount val="3"/>
                <c:pt idx="0">
                  <c:v>21362571.42857141</c:v>
                </c:pt>
                <c:pt idx="1">
                  <c:v>46325578.571428493</c:v>
                </c:pt>
                <c:pt idx="2">
                  <c:v>-5000</c:v>
                </c:pt>
              </c:numCache>
            </c:numRef>
          </c:val>
          <c:smooth val="1"/>
          <c:extLst>
            <c:ext xmlns:c16="http://schemas.microsoft.com/office/drawing/2014/chart" uri="{C3380CC4-5D6E-409C-BE32-E72D297353CC}">
              <c16:uniqueId val="{00000002-BA8B-443B-87E1-C8F14E3BC6A7}"/>
            </c:ext>
          </c:extLst>
        </c:ser>
        <c:dLbls>
          <c:showLegendKey val="0"/>
          <c:showVal val="0"/>
          <c:showCatName val="0"/>
          <c:showSerName val="0"/>
          <c:showPercent val="0"/>
          <c:showBubbleSize val="0"/>
        </c:dLbls>
        <c:marker val="1"/>
        <c:smooth val="0"/>
        <c:axId val="-1754285552"/>
        <c:axId val="-1754284464"/>
      </c:lineChart>
      <c:catAx>
        <c:axId val="-1754285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754287184"/>
        <c:crosses val="autoZero"/>
        <c:auto val="1"/>
        <c:lblAlgn val="ctr"/>
        <c:lblOffset val="100"/>
        <c:noMultiLvlLbl val="0"/>
      </c:catAx>
      <c:valAx>
        <c:axId val="-1754287184"/>
        <c:scaling>
          <c:orientation val="minMax"/>
        </c:scaling>
        <c:delete val="1"/>
        <c:axPos val="l"/>
        <c:numFmt formatCode="General" sourceLinked="1"/>
        <c:majorTickMark val="none"/>
        <c:minorTickMark val="none"/>
        <c:tickLblPos val="nextTo"/>
        <c:crossAx val="-1754285008"/>
        <c:crosses val="autoZero"/>
        <c:crossBetween val="between"/>
      </c:valAx>
      <c:valAx>
        <c:axId val="-1754284464"/>
        <c:scaling>
          <c:orientation val="minMax"/>
        </c:scaling>
        <c:delete val="1"/>
        <c:axPos val="r"/>
        <c:numFmt formatCode="&quot;R$&quot;#,##0.00" sourceLinked="0"/>
        <c:majorTickMark val="out"/>
        <c:minorTickMark val="none"/>
        <c:tickLblPos val="nextTo"/>
        <c:crossAx val="-1754285552"/>
        <c:crosses val="max"/>
        <c:crossBetween val="between"/>
      </c:valAx>
      <c:catAx>
        <c:axId val="-1754285552"/>
        <c:scaling>
          <c:orientation val="minMax"/>
        </c:scaling>
        <c:delete val="1"/>
        <c:axPos val="b"/>
        <c:numFmt formatCode="General" sourceLinked="1"/>
        <c:majorTickMark val="out"/>
        <c:minorTickMark val="none"/>
        <c:tickLblPos val="nextTo"/>
        <c:crossAx val="-1754284464"/>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showDLblsOverMax val="0"/>
  </c:chart>
  <c:spPr>
    <a:solidFill>
      <a:schemeClr val="bg1"/>
    </a:solidFill>
    <a:ln w="6350" cap="flat" cmpd="sng" algn="ctr">
      <a:solidFill>
        <a:schemeClr val="bg1">
          <a:lumMod val="85000"/>
        </a:schemeClr>
      </a:solidFill>
      <a:round/>
    </a:ln>
    <a:effectLst/>
  </c:spPr>
  <c:txPr>
    <a:bodyPr/>
    <a:lstStyle/>
    <a:p>
      <a:pPr>
        <a:defRPr/>
      </a:pPr>
      <a:endParaRPr lang="pt-BR"/>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Dash_Viab!$Q$22</c:f>
              <c:strCache>
                <c:ptCount val="1"/>
                <c:pt idx="0">
                  <c:v>Payback</c:v>
                </c:pt>
              </c:strCache>
            </c:strRef>
          </c:tx>
          <c:spPr>
            <a:ln w="19050" cap="rnd">
              <a:solidFill>
                <a:srgbClr val="6699CC"/>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Dash_Viab!$R$21:$U$21</c:f>
              <c:strCache>
                <c:ptCount val="4"/>
                <c:pt idx="0">
                  <c:v>Ano 0</c:v>
                </c:pt>
                <c:pt idx="1">
                  <c:v>Ano 1</c:v>
                </c:pt>
                <c:pt idx="2">
                  <c:v>Ano 2</c:v>
                </c:pt>
                <c:pt idx="3">
                  <c:v>Ano 3</c:v>
                </c:pt>
              </c:strCache>
            </c:strRef>
          </c:cat>
          <c:val>
            <c:numRef>
              <c:f>Dash_Viab!$R$22:$U$22</c:f>
              <c:numCache>
                <c:formatCode>"R$"#,##0.00</c:formatCode>
                <c:ptCount val="4"/>
                <c:pt idx="0">
                  <c:v>-44200000</c:v>
                </c:pt>
                <c:pt idx="1">
                  <c:v>-22837428.57142859</c:v>
                </c:pt>
                <c:pt idx="2">
                  <c:v>23488149.999999925</c:v>
                </c:pt>
                <c:pt idx="3">
                  <c:v>23483149.999999925</c:v>
                </c:pt>
              </c:numCache>
            </c:numRef>
          </c:val>
          <c:smooth val="1"/>
          <c:extLst>
            <c:ext xmlns:c16="http://schemas.microsoft.com/office/drawing/2014/chart" uri="{C3380CC4-5D6E-409C-BE32-E72D297353CC}">
              <c16:uniqueId val="{00000000-DA82-4D1E-BDA9-7229B66ADAD7}"/>
            </c:ext>
          </c:extLst>
        </c:ser>
        <c:dLbls>
          <c:showLegendKey val="0"/>
          <c:showVal val="0"/>
          <c:showCatName val="0"/>
          <c:showSerName val="0"/>
          <c:showPercent val="0"/>
          <c:showBubbleSize val="0"/>
        </c:dLbls>
        <c:smooth val="0"/>
        <c:axId val="-1754275216"/>
        <c:axId val="-1754274672"/>
      </c:lineChart>
      <c:catAx>
        <c:axId val="-1754275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754274672"/>
        <c:crosses val="autoZero"/>
        <c:auto val="1"/>
        <c:lblAlgn val="ctr"/>
        <c:lblOffset val="100"/>
        <c:noMultiLvlLbl val="0"/>
      </c:catAx>
      <c:valAx>
        <c:axId val="-1754274672"/>
        <c:scaling>
          <c:orientation val="minMax"/>
        </c:scaling>
        <c:delete val="1"/>
        <c:axPos val="l"/>
        <c:numFmt formatCode="&quot;R$&quot;#,##0.00" sourceLinked="1"/>
        <c:majorTickMark val="none"/>
        <c:minorTickMark val="none"/>
        <c:tickLblPos val="nextTo"/>
        <c:crossAx val="-17542752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showDLblsOverMax val="0"/>
  </c:chart>
  <c:spPr>
    <a:solidFill>
      <a:schemeClr val="bg1"/>
    </a:solidFill>
    <a:ln w="9525" cap="flat" cmpd="sng" algn="ctr">
      <a:solidFill>
        <a:schemeClr val="bg1">
          <a:lumMod val="85000"/>
        </a:schemeClr>
      </a:solidFill>
      <a:round/>
    </a:ln>
    <a:effectLst/>
  </c:spPr>
  <c:txPr>
    <a:bodyPr/>
    <a:lstStyle/>
    <a:p>
      <a:pPr>
        <a:defRPr/>
      </a:pPr>
      <a:endParaRPr lang="pt-BR"/>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1"/>
          <c:order val="0"/>
          <c:spPr>
            <a:ln w="19050" cap="rnd">
              <a:solidFill>
                <a:srgbClr val="6699CC"/>
              </a:solidFill>
              <a:round/>
            </a:ln>
            <a:effectLst/>
          </c:spPr>
          <c:marker>
            <c:symbol val="none"/>
          </c:marker>
          <c:dLbls>
            <c:dLbl>
              <c:idx val="1"/>
              <c:delete val="1"/>
              <c:extLst>
                <c:ext xmlns:c15="http://schemas.microsoft.com/office/drawing/2012/chart" uri="{CE6537A1-D6FC-4f65-9D91-7224C49458BB}"/>
                <c:ext xmlns:c16="http://schemas.microsoft.com/office/drawing/2014/chart" uri="{C3380CC4-5D6E-409C-BE32-E72D297353CC}">
                  <c16:uniqueId val="{00000000-35CE-4509-BFFF-D2B59E9D567F}"/>
                </c:ext>
              </c:extLst>
            </c:dLbl>
            <c:dLbl>
              <c:idx val="2"/>
              <c:delete val="1"/>
              <c:extLst>
                <c:ext xmlns:c15="http://schemas.microsoft.com/office/drawing/2012/chart" uri="{CE6537A1-D6FC-4f65-9D91-7224C49458BB}"/>
                <c:ext xmlns:c16="http://schemas.microsoft.com/office/drawing/2014/chart" uri="{C3380CC4-5D6E-409C-BE32-E72D297353CC}">
                  <c16:uniqueId val="{00000001-35CE-4509-BFFF-D2B59E9D567F}"/>
                </c:ext>
              </c:extLst>
            </c:dLbl>
            <c:dLbl>
              <c:idx val="3"/>
              <c:delete val="1"/>
              <c:extLst>
                <c:ext xmlns:c15="http://schemas.microsoft.com/office/drawing/2012/chart" uri="{CE6537A1-D6FC-4f65-9D91-7224C49458BB}"/>
                <c:ext xmlns:c16="http://schemas.microsoft.com/office/drawing/2014/chart" uri="{C3380CC4-5D6E-409C-BE32-E72D297353CC}">
                  <c16:uniqueId val="{00000002-35CE-4509-BFFF-D2B59E9D567F}"/>
                </c:ext>
              </c:extLst>
            </c:dLbl>
            <c:dLbl>
              <c:idx val="4"/>
              <c:delete val="1"/>
              <c:extLst>
                <c:ext xmlns:c15="http://schemas.microsoft.com/office/drawing/2012/chart" uri="{CE6537A1-D6FC-4f65-9D91-7224C49458BB}"/>
                <c:ext xmlns:c16="http://schemas.microsoft.com/office/drawing/2014/chart" uri="{C3380CC4-5D6E-409C-BE32-E72D297353CC}">
                  <c16:uniqueId val="{00000003-35CE-4509-BFFF-D2B59E9D567F}"/>
                </c:ext>
              </c:extLst>
            </c:dLbl>
            <c:dLbl>
              <c:idx val="6"/>
              <c:delete val="1"/>
              <c:extLst>
                <c:ext xmlns:c15="http://schemas.microsoft.com/office/drawing/2012/chart" uri="{CE6537A1-D6FC-4f65-9D91-7224C49458BB}"/>
                <c:ext xmlns:c16="http://schemas.microsoft.com/office/drawing/2014/chart" uri="{C3380CC4-5D6E-409C-BE32-E72D297353CC}">
                  <c16:uniqueId val="{00000004-35CE-4509-BFFF-D2B59E9D567F}"/>
                </c:ext>
              </c:extLst>
            </c:dLbl>
            <c:dLbl>
              <c:idx val="7"/>
              <c:delete val="1"/>
              <c:extLst>
                <c:ext xmlns:c15="http://schemas.microsoft.com/office/drawing/2012/chart" uri="{CE6537A1-D6FC-4f65-9D91-7224C49458BB}"/>
                <c:ext xmlns:c16="http://schemas.microsoft.com/office/drawing/2014/chart" uri="{C3380CC4-5D6E-409C-BE32-E72D297353CC}">
                  <c16:uniqueId val="{00000005-35CE-4509-BFFF-D2B59E9D567F}"/>
                </c:ext>
              </c:extLst>
            </c:dLbl>
            <c:dLbl>
              <c:idx val="8"/>
              <c:delete val="1"/>
              <c:extLst>
                <c:ext xmlns:c15="http://schemas.microsoft.com/office/drawing/2012/chart" uri="{CE6537A1-D6FC-4f65-9D91-7224C49458BB}"/>
                <c:ext xmlns:c16="http://schemas.microsoft.com/office/drawing/2014/chart" uri="{C3380CC4-5D6E-409C-BE32-E72D297353CC}">
                  <c16:uniqueId val="{00000006-35CE-4509-BFFF-D2B59E9D567F}"/>
                </c:ext>
              </c:extLst>
            </c:dLbl>
            <c:dLbl>
              <c:idx val="9"/>
              <c:delete val="1"/>
              <c:extLst>
                <c:ext xmlns:c15="http://schemas.microsoft.com/office/drawing/2012/chart" uri="{CE6537A1-D6FC-4f65-9D91-7224C49458BB}"/>
                <c:ext xmlns:c16="http://schemas.microsoft.com/office/drawing/2014/chart" uri="{C3380CC4-5D6E-409C-BE32-E72D297353CC}">
                  <c16:uniqueId val="{00000007-35CE-4509-BFFF-D2B59E9D567F}"/>
                </c:ext>
              </c:extLst>
            </c:dLbl>
            <c:dLbl>
              <c:idx val="10"/>
              <c:delete val="1"/>
              <c:extLst>
                <c:ext xmlns:c15="http://schemas.microsoft.com/office/drawing/2012/chart" uri="{CE6537A1-D6FC-4f65-9D91-7224C49458BB}"/>
                <c:ext xmlns:c16="http://schemas.microsoft.com/office/drawing/2014/chart" uri="{C3380CC4-5D6E-409C-BE32-E72D297353CC}">
                  <c16:uniqueId val="{00000008-35CE-4509-BFFF-D2B59E9D567F}"/>
                </c:ext>
              </c:extLst>
            </c:dLbl>
            <c:dLbl>
              <c:idx val="11"/>
              <c:delete val="1"/>
              <c:extLst>
                <c:ext xmlns:c15="http://schemas.microsoft.com/office/drawing/2012/chart" uri="{CE6537A1-D6FC-4f65-9D91-7224C49458BB}"/>
                <c:ext xmlns:c16="http://schemas.microsoft.com/office/drawing/2014/chart" uri="{C3380CC4-5D6E-409C-BE32-E72D297353CC}">
                  <c16:uniqueId val="{00000009-35CE-4509-BFFF-D2B59E9D567F}"/>
                </c:ext>
              </c:extLst>
            </c:dLbl>
            <c:dLbl>
              <c:idx val="13"/>
              <c:delete val="1"/>
              <c:extLst>
                <c:ext xmlns:c15="http://schemas.microsoft.com/office/drawing/2012/chart" uri="{CE6537A1-D6FC-4f65-9D91-7224C49458BB}"/>
                <c:ext xmlns:c16="http://schemas.microsoft.com/office/drawing/2014/chart" uri="{C3380CC4-5D6E-409C-BE32-E72D297353CC}">
                  <c16:uniqueId val="{0000000A-35CE-4509-BFFF-D2B59E9D567F}"/>
                </c:ext>
              </c:extLst>
            </c:dLbl>
            <c:dLbl>
              <c:idx val="14"/>
              <c:delete val="1"/>
              <c:extLst>
                <c:ext xmlns:c15="http://schemas.microsoft.com/office/drawing/2012/chart" uri="{CE6537A1-D6FC-4f65-9D91-7224C49458BB}"/>
                <c:ext xmlns:c16="http://schemas.microsoft.com/office/drawing/2014/chart" uri="{C3380CC4-5D6E-409C-BE32-E72D297353CC}">
                  <c16:uniqueId val="{0000000B-35CE-4509-BFFF-D2B59E9D567F}"/>
                </c:ext>
              </c:extLst>
            </c:dLbl>
            <c:dLbl>
              <c:idx val="15"/>
              <c:delete val="1"/>
              <c:extLst>
                <c:ext xmlns:c15="http://schemas.microsoft.com/office/drawing/2012/chart" uri="{CE6537A1-D6FC-4f65-9D91-7224C49458BB}"/>
                <c:ext xmlns:c16="http://schemas.microsoft.com/office/drawing/2014/chart" uri="{C3380CC4-5D6E-409C-BE32-E72D297353CC}">
                  <c16:uniqueId val="{0000000C-35CE-4509-BFFF-D2B59E9D567F}"/>
                </c:ext>
              </c:extLst>
            </c:dLbl>
            <c:dLbl>
              <c:idx val="16"/>
              <c:delete val="1"/>
              <c:extLst>
                <c:ext xmlns:c15="http://schemas.microsoft.com/office/drawing/2012/chart" uri="{CE6537A1-D6FC-4f65-9D91-7224C49458BB}"/>
                <c:ext xmlns:c16="http://schemas.microsoft.com/office/drawing/2014/chart" uri="{C3380CC4-5D6E-409C-BE32-E72D297353CC}">
                  <c16:uniqueId val="{0000000D-35CE-4509-BFFF-D2B59E9D567F}"/>
                </c:ext>
              </c:extLst>
            </c:dLbl>
            <c:dLbl>
              <c:idx val="18"/>
              <c:delete val="1"/>
              <c:extLst>
                <c:ext xmlns:c15="http://schemas.microsoft.com/office/drawing/2012/chart" uri="{CE6537A1-D6FC-4f65-9D91-7224C49458BB}"/>
                <c:ext xmlns:c16="http://schemas.microsoft.com/office/drawing/2014/chart" uri="{C3380CC4-5D6E-409C-BE32-E72D297353CC}">
                  <c16:uniqueId val="{0000000E-35CE-4509-BFFF-D2B59E9D567F}"/>
                </c:ext>
              </c:extLst>
            </c:dLbl>
            <c:dLbl>
              <c:idx val="19"/>
              <c:delete val="1"/>
              <c:extLst>
                <c:ext xmlns:c15="http://schemas.microsoft.com/office/drawing/2012/chart" uri="{CE6537A1-D6FC-4f65-9D91-7224C49458BB}"/>
                <c:ext xmlns:c16="http://schemas.microsoft.com/office/drawing/2014/chart" uri="{C3380CC4-5D6E-409C-BE32-E72D297353CC}">
                  <c16:uniqueId val="{0000000F-35CE-4509-BFFF-D2B59E9D567F}"/>
                </c:ext>
              </c:extLst>
            </c:dLbl>
            <c:dLbl>
              <c:idx val="20"/>
              <c:delete val="1"/>
              <c:extLst>
                <c:ext xmlns:c15="http://schemas.microsoft.com/office/drawing/2012/chart" uri="{CE6537A1-D6FC-4f65-9D91-7224C49458BB}"/>
                <c:ext xmlns:c16="http://schemas.microsoft.com/office/drawing/2014/chart" uri="{C3380CC4-5D6E-409C-BE32-E72D297353CC}">
                  <c16:uniqueId val="{00000010-35CE-4509-BFFF-D2B59E9D567F}"/>
                </c:ext>
              </c:extLst>
            </c:dLbl>
            <c:dLbl>
              <c:idx val="21"/>
              <c:delete val="1"/>
              <c:extLst>
                <c:ext xmlns:c15="http://schemas.microsoft.com/office/drawing/2012/chart" uri="{CE6537A1-D6FC-4f65-9D91-7224C49458BB}"/>
                <c:ext xmlns:c16="http://schemas.microsoft.com/office/drawing/2014/chart" uri="{C3380CC4-5D6E-409C-BE32-E72D297353CC}">
                  <c16:uniqueId val="{00000011-35CE-4509-BFFF-D2B59E9D567F}"/>
                </c:ext>
              </c:extLst>
            </c:dLbl>
            <c:dLbl>
              <c:idx val="22"/>
              <c:delete val="1"/>
              <c:extLst>
                <c:ext xmlns:c15="http://schemas.microsoft.com/office/drawing/2012/chart" uri="{CE6537A1-D6FC-4f65-9D91-7224C49458BB}"/>
                <c:ext xmlns:c16="http://schemas.microsoft.com/office/drawing/2014/chart" uri="{C3380CC4-5D6E-409C-BE32-E72D297353CC}">
                  <c16:uniqueId val="{00000012-35CE-4509-BFFF-D2B59E9D567F}"/>
                </c:ext>
              </c:extLst>
            </c:dLbl>
            <c:dLbl>
              <c:idx val="23"/>
              <c:delete val="1"/>
              <c:extLst>
                <c:ext xmlns:c15="http://schemas.microsoft.com/office/drawing/2012/chart" uri="{CE6537A1-D6FC-4f65-9D91-7224C49458BB}"/>
                <c:ext xmlns:c16="http://schemas.microsoft.com/office/drawing/2014/chart" uri="{C3380CC4-5D6E-409C-BE32-E72D297353CC}">
                  <c16:uniqueId val="{00000013-35CE-4509-BFFF-D2B59E9D567F}"/>
                </c:ext>
              </c:extLst>
            </c:dLbl>
            <c:dLbl>
              <c:idx val="25"/>
              <c:delete val="1"/>
              <c:extLst>
                <c:ext xmlns:c15="http://schemas.microsoft.com/office/drawing/2012/chart" uri="{CE6537A1-D6FC-4f65-9D91-7224C49458BB}"/>
                <c:ext xmlns:c16="http://schemas.microsoft.com/office/drawing/2014/chart" uri="{C3380CC4-5D6E-409C-BE32-E72D297353CC}">
                  <c16:uniqueId val="{00000014-35CE-4509-BFFF-D2B59E9D567F}"/>
                </c:ext>
              </c:extLst>
            </c:dLbl>
            <c:dLbl>
              <c:idx val="26"/>
              <c:delete val="1"/>
              <c:extLst>
                <c:ext xmlns:c15="http://schemas.microsoft.com/office/drawing/2012/chart" uri="{CE6537A1-D6FC-4f65-9D91-7224C49458BB}"/>
                <c:ext xmlns:c16="http://schemas.microsoft.com/office/drawing/2014/chart" uri="{C3380CC4-5D6E-409C-BE32-E72D297353CC}">
                  <c16:uniqueId val="{00000015-35CE-4509-BFFF-D2B59E9D567F}"/>
                </c:ext>
              </c:extLst>
            </c:dLbl>
            <c:dLbl>
              <c:idx val="27"/>
              <c:delete val="1"/>
              <c:extLst>
                <c:ext xmlns:c15="http://schemas.microsoft.com/office/drawing/2012/chart" uri="{CE6537A1-D6FC-4f65-9D91-7224C49458BB}"/>
                <c:ext xmlns:c16="http://schemas.microsoft.com/office/drawing/2014/chart" uri="{C3380CC4-5D6E-409C-BE32-E72D297353CC}">
                  <c16:uniqueId val="{00000016-35CE-4509-BFFF-D2B59E9D567F}"/>
                </c:ext>
              </c:extLst>
            </c:dLbl>
            <c:dLbl>
              <c:idx val="28"/>
              <c:delete val="1"/>
              <c:extLst>
                <c:ext xmlns:c15="http://schemas.microsoft.com/office/drawing/2012/chart" uri="{CE6537A1-D6FC-4f65-9D91-7224C49458BB}"/>
                <c:ext xmlns:c16="http://schemas.microsoft.com/office/drawing/2014/chart" uri="{C3380CC4-5D6E-409C-BE32-E72D297353CC}">
                  <c16:uniqueId val="{00000017-35CE-4509-BFFF-D2B59E9D567F}"/>
                </c:ext>
              </c:extLst>
            </c:dLbl>
            <c:dLbl>
              <c:idx val="29"/>
              <c:delete val="1"/>
              <c:extLst>
                <c:ext xmlns:c15="http://schemas.microsoft.com/office/drawing/2012/chart" uri="{CE6537A1-D6FC-4f65-9D91-7224C49458BB}"/>
                <c:ext xmlns:c16="http://schemas.microsoft.com/office/drawing/2014/chart" uri="{C3380CC4-5D6E-409C-BE32-E72D297353CC}">
                  <c16:uniqueId val="{00000018-35CE-4509-BFFF-D2B59E9D567F}"/>
                </c:ext>
              </c:extLst>
            </c:dLbl>
            <c:dLbl>
              <c:idx val="31"/>
              <c:delete val="1"/>
              <c:extLst>
                <c:ext xmlns:c15="http://schemas.microsoft.com/office/drawing/2012/chart" uri="{CE6537A1-D6FC-4f65-9D91-7224C49458BB}"/>
                <c:ext xmlns:c16="http://schemas.microsoft.com/office/drawing/2014/chart" uri="{C3380CC4-5D6E-409C-BE32-E72D297353CC}">
                  <c16:uniqueId val="{00000019-35CE-4509-BFFF-D2B59E9D567F}"/>
                </c:ext>
              </c:extLst>
            </c:dLbl>
            <c:dLbl>
              <c:idx val="32"/>
              <c:delete val="1"/>
              <c:extLst>
                <c:ext xmlns:c15="http://schemas.microsoft.com/office/drawing/2012/chart" uri="{CE6537A1-D6FC-4f65-9D91-7224C49458BB}"/>
                <c:ext xmlns:c16="http://schemas.microsoft.com/office/drawing/2014/chart" uri="{C3380CC4-5D6E-409C-BE32-E72D297353CC}">
                  <c16:uniqueId val="{0000001A-35CE-4509-BFFF-D2B59E9D567F}"/>
                </c:ext>
              </c:extLst>
            </c:dLbl>
            <c:dLbl>
              <c:idx val="33"/>
              <c:delete val="1"/>
              <c:extLst>
                <c:ext xmlns:c15="http://schemas.microsoft.com/office/drawing/2012/chart" uri="{CE6537A1-D6FC-4f65-9D91-7224C49458BB}"/>
                <c:ext xmlns:c16="http://schemas.microsoft.com/office/drawing/2014/chart" uri="{C3380CC4-5D6E-409C-BE32-E72D297353CC}">
                  <c16:uniqueId val="{0000001B-35CE-4509-BFFF-D2B59E9D567F}"/>
                </c:ext>
              </c:extLst>
            </c:dLbl>
            <c:dLbl>
              <c:idx val="34"/>
              <c:delete val="1"/>
              <c:extLst>
                <c:ext xmlns:c15="http://schemas.microsoft.com/office/drawing/2012/chart" uri="{CE6537A1-D6FC-4f65-9D91-7224C49458BB}"/>
                <c:ext xmlns:c16="http://schemas.microsoft.com/office/drawing/2014/chart" uri="{C3380CC4-5D6E-409C-BE32-E72D297353CC}">
                  <c16:uniqueId val="{0000001C-35CE-4509-BFFF-D2B59E9D567F}"/>
                </c:ext>
              </c:extLst>
            </c:dLbl>
            <c:dLbl>
              <c:idx val="37"/>
              <c:delete val="1"/>
              <c:extLst>
                <c:ext xmlns:c15="http://schemas.microsoft.com/office/drawing/2012/chart" uri="{CE6537A1-D6FC-4f65-9D91-7224C49458BB}"/>
                <c:ext xmlns:c16="http://schemas.microsoft.com/office/drawing/2014/chart" uri="{C3380CC4-5D6E-409C-BE32-E72D297353CC}">
                  <c16:uniqueId val="{0000001D-35CE-4509-BFFF-D2B59E9D567F}"/>
                </c:ext>
              </c:extLst>
            </c:dLbl>
            <c:dLbl>
              <c:idx val="38"/>
              <c:delete val="1"/>
              <c:extLst>
                <c:ext xmlns:c15="http://schemas.microsoft.com/office/drawing/2012/chart" uri="{CE6537A1-D6FC-4f65-9D91-7224C49458BB}"/>
                <c:ext xmlns:c16="http://schemas.microsoft.com/office/drawing/2014/chart" uri="{C3380CC4-5D6E-409C-BE32-E72D297353CC}">
                  <c16:uniqueId val="{0000001E-35CE-4509-BFFF-D2B59E9D567F}"/>
                </c:ext>
              </c:extLst>
            </c:dLbl>
            <c:dLbl>
              <c:idx val="39"/>
              <c:delete val="1"/>
              <c:extLst>
                <c:ext xmlns:c15="http://schemas.microsoft.com/office/drawing/2012/chart" uri="{CE6537A1-D6FC-4f65-9D91-7224C49458BB}"/>
                <c:ext xmlns:c16="http://schemas.microsoft.com/office/drawing/2014/chart" uri="{C3380CC4-5D6E-409C-BE32-E72D297353CC}">
                  <c16:uniqueId val="{0000001F-35CE-4509-BFFF-D2B59E9D567F}"/>
                </c:ext>
              </c:extLst>
            </c:dLbl>
            <c:dLbl>
              <c:idx val="40"/>
              <c:delete val="1"/>
              <c:extLst>
                <c:ext xmlns:c15="http://schemas.microsoft.com/office/drawing/2012/chart" uri="{CE6537A1-D6FC-4f65-9D91-7224C49458BB}"/>
                <c:ext xmlns:c16="http://schemas.microsoft.com/office/drawing/2014/chart" uri="{C3380CC4-5D6E-409C-BE32-E72D297353CC}">
                  <c16:uniqueId val="{00000020-35CE-4509-BFFF-D2B59E9D567F}"/>
                </c:ext>
              </c:extLst>
            </c:dLbl>
            <c:dLbl>
              <c:idx val="41"/>
              <c:delete val="1"/>
              <c:extLst>
                <c:ext xmlns:c15="http://schemas.microsoft.com/office/drawing/2012/chart" uri="{CE6537A1-D6FC-4f65-9D91-7224C49458BB}"/>
                <c:ext xmlns:c16="http://schemas.microsoft.com/office/drawing/2014/chart" uri="{C3380CC4-5D6E-409C-BE32-E72D297353CC}">
                  <c16:uniqueId val="{00000021-35CE-4509-BFFF-D2B59E9D567F}"/>
                </c:ext>
              </c:extLst>
            </c:dLbl>
            <c:dLbl>
              <c:idx val="43"/>
              <c:delete val="1"/>
              <c:extLst>
                <c:ext xmlns:c15="http://schemas.microsoft.com/office/drawing/2012/chart" uri="{CE6537A1-D6FC-4f65-9D91-7224C49458BB}"/>
                <c:ext xmlns:c16="http://schemas.microsoft.com/office/drawing/2014/chart" uri="{C3380CC4-5D6E-409C-BE32-E72D297353CC}">
                  <c16:uniqueId val="{00000022-35CE-4509-BFFF-D2B59E9D567F}"/>
                </c:ext>
              </c:extLst>
            </c:dLbl>
            <c:dLbl>
              <c:idx val="44"/>
              <c:delete val="1"/>
              <c:extLst>
                <c:ext xmlns:c15="http://schemas.microsoft.com/office/drawing/2012/chart" uri="{CE6537A1-D6FC-4f65-9D91-7224C49458BB}"/>
                <c:ext xmlns:c16="http://schemas.microsoft.com/office/drawing/2014/chart" uri="{C3380CC4-5D6E-409C-BE32-E72D297353CC}">
                  <c16:uniqueId val="{00000023-35CE-4509-BFFF-D2B59E9D567F}"/>
                </c:ext>
              </c:extLst>
            </c:dLbl>
            <c:dLbl>
              <c:idx val="45"/>
              <c:delete val="1"/>
              <c:extLst>
                <c:ext xmlns:c15="http://schemas.microsoft.com/office/drawing/2012/chart" uri="{CE6537A1-D6FC-4f65-9D91-7224C49458BB}"/>
                <c:ext xmlns:c16="http://schemas.microsoft.com/office/drawing/2014/chart" uri="{C3380CC4-5D6E-409C-BE32-E72D297353CC}">
                  <c16:uniqueId val="{00000024-35CE-4509-BFFF-D2B59E9D567F}"/>
                </c:ext>
              </c:extLst>
            </c:dLbl>
            <c:dLbl>
              <c:idx val="46"/>
              <c:delete val="1"/>
              <c:extLst>
                <c:ext xmlns:c15="http://schemas.microsoft.com/office/drawing/2012/chart" uri="{CE6537A1-D6FC-4f65-9D91-7224C49458BB}"/>
                <c:ext xmlns:c16="http://schemas.microsoft.com/office/drawing/2014/chart" uri="{C3380CC4-5D6E-409C-BE32-E72D297353CC}">
                  <c16:uniqueId val="{00000025-35CE-4509-BFFF-D2B59E9D567F}"/>
                </c:ext>
              </c:extLst>
            </c:dLbl>
            <c:dLbl>
              <c:idx val="49"/>
              <c:delete val="1"/>
              <c:extLst>
                <c:ext xmlns:c15="http://schemas.microsoft.com/office/drawing/2012/chart" uri="{CE6537A1-D6FC-4f65-9D91-7224C49458BB}"/>
                <c:ext xmlns:c16="http://schemas.microsoft.com/office/drawing/2014/chart" uri="{C3380CC4-5D6E-409C-BE32-E72D297353CC}">
                  <c16:uniqueId val="{00000026-35CE-4509-BFFF-D2B59E9D567F}"/>
                </c:ext>
              </c:extLst>
            </c:dLbl>
            <c:dLbl>
              <c:idx val="50"/>
              <c:delete val="1"/>
              <c:extLst>
                <c:ext xmlns:c15="http://schemas.microsoft.com/office/drawing/2012/chart" uri="{CE6537A1-D6FC-4f65-9D91-7224C49458BB}"/>
                <c:ext xmlns:c16="http://schemas.microsoft.com/office/drawing/2014/chart" uri="{C3380CC4-5D6E-409C-BE32-E72D297353CC}">
                  <c16:uniqueId val="{00000027-35CE-4509-BFFF-D2B59E9D567F}"/>
                </c:ext>
              </c:extLst>
            </c:dLbl>
            <c:dLbl>
              <c:idx val="51"/>
              <c:delete val="1"/>
              <c:extLst>
                <c:ext xmlns:c15="http://schemas.microsoft.com/office/drawing/2012/chart" uri="{CE6537A1-D6FC-4f65-9D91-7224C49458BB}"/>
                <c:ext xmlns:c16="http://schemas.microsoft.com/office/drawing/2014/chart" uri="{C3380CC4-5D6E-409C-BE32-E72D297353CC}">
                  <c16:uniqueId val="{00000028-35CE-4509-BFFF-D2B59E9D567F}"/>
                </c:ext>
              </c:extLst>
            </c:dLbl>
            <c:dLbl>
              <c:idx val="52"/>
              <c:delete val="1"/>
              <c:extLst>
                <c:ext xmlns:c15="http://schemas.microsoft.com/office/drawing/2012/chart" uri="{CE6537A1-D6FC-4f65-9D91-7224C49458BB}"/>
                <c:ext xmlns:c16="http://schemas.microsoft.com/office/drawing/2014/chart" uri="{C3380CC4-5D6E-409C-BE32-E72D297353CC}">
                  <c16:uniqueId val="{00000029-35CE-4509-BFFF-D2B59E9D567F}"/>
                </c:ext>
              </c:extLst>
            </c:dLbl>
            <c:dLbl>
              <c:idx val="53"/>
              <c:delete val="1"/>
              <c:extLst>
                <c:ext xmlns:c15="http://schemas.microsoft.com/office/drawing/2012/chart" uri="{CE6537A1-D6FC-4f65-9D91-7224C49458BB}"/>
                <c:ext xmlns:c16="http://schemas.microsoft.com/office/drawing/2014/chart" uri="{C3380CC4-5D6E-409C-BE32-E72D297353CC}">
                  <c16:uniqueId val="{0000002A-35CE-4509-BFFF-D2B59E9D567F}"/>
                </c:ext>
              </c:extLst>
            </c:dLbl>
            <c:dLbl>
              <c:idx val="55"/>
              <c:delete val="1"/>
              <c:extLst>
                <c:ext xmlns:c15="http://schemas.microsoft.com/office/drawing/2012/chart" uri="{CE6537A1-D6FC-4f65-9D91-7224C49458BB}"/>
                <c:ext xmlns:c16="http://schemas.microsoft.com/office/drawing/2014/chart" uri="{C3380CC4-5D6E-409C-BE32-E72D297353CC}">
                  <c16:uniqueId val="{0000002B-35CE-4509-BFFF-D2B59E9D567F}"/>
                </c:ext>
              </c:extLst>
            </c:dLbl>
            <c:dLbl>
              <c:idx val="56"/>
              <c:delete val="1"/>
              <c:extLst>
                <c:ext xmlns:c15="http://schemas.microsoft.com/office/drawing/2012/chart" uri="{CE6537A1-D6FC-4f65-9D91-7224C49458BB}"/>
                <c:ext xmlns:c16="http://schemas.microsoft.com/office/drawing/2014/chart" uri="{C3380CC4-5D6E-409C-BE32-E72D297353CC}">
                  <c16:uniqueId val="{0000002C-35CE-4509-BFFF-D2B59E9D567F}"/>
                </c:ext>
              </c:extLst>
            </c:dLbl>
            <c:dLbl>
              <c:idx val="57"/>
              <c:delete val="1"/>
              <c:extLst>
                <c:ext xmlns:c15="http://schemas.microsoft.com/office/drawing/2012/chart" uri="{CE6537A1-D6FC-4f65-9D91-7224C49458BB}"/>
                <c:ext xmlns:c16="http://schemas.microsoft.com/office/drawing/2014/chart" uri="{C3380CC4-5D6E-409C-BE32-E72D297353CC}">
                  <c16:uniqueId val="{0000002D-35CE-4509-BFFF-D2B59E9D567F}"/>
                </c:ext>
              </c:extLst>
            </c:dLbl>
            <c:dLbl>
              <c:idx val="58"/>
              <c:delete val="1"/>
              <c:extLst>
                <c:ext xmlns:c15="http://schemas.microsoft.com/office/drawing/2012/chart" uri="{CE6537A1-D6FC-4f65-9D91-7224C49458BB}"/>
                <c:ext xmlns:c16="http://schemas.microsoft.com/office/drawing/2014/chart" uri="{C3380CC4-5D6E-409C-BE32-E72D297353CC}">
                  <c16:uniqueId val="{0000002E-35CE-4509-BFFF-D2B59E9D567F}"/>
                </c:ext>
              </c:extLst>
            </c:dLbl>
            <c:numFmt formatCode="&quot;R$&quo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Dash_Disp!$O$5:$AX$5</c:f>
              <c:strCache>
                <c:ptCount val="36"/>
                <c:pt idx="0">
                  <c:v>J/1</c:v>
                </c:pt>
                <c:pt idx="1">
                  <c:v>J/1</c:v>
                </c:pt>
                <c:pt idx="2">
                  <c:v>A/1</c:v>
                </c:pt>
                <c:pt idx="3">
                  <c:v>S/1</c:v>
                </c:pt>
                <c:pt idx="4">
                  <c:v>O/1</c:v>
                </c:pt>
                <c:pt idx="5">
                  <c:v>N/1</c:v>
                </c:pt>
                <c:pt idx="6">
                  <c:v>D/1</c:v>
                </c:pt>
                <c:pt idx="7">
                  <c:v>J/1</c:v>
                </c:pt>
                <c:pt idx="8">
                  <c:v>F/1</c:v>
                </c:pt>
                <c:pt idx="9">
                  <c:v>M/1</c:v>
                </c:pt>
                <c:pt idx="10">
                  <c:v>A/1</c:v>
                </c:pt>
                <c:pt idx="11">
                  <c:v>M/1</c:v>
                </c:pt>
                <c:pt idx="12">
                  <c:v>J/2</c:v>
                </c:pt>
                <c:pt idx="13">
                  <c:v>J/2</c:v>
                </c:pt>
                <c:pt idx="14">
                  <c:v>A/2</c:v>
                </c:pt>
                <c:pt idx="15">
                  <c:v>S/2</c:v>
                </c:pt>
                <c:pt idx="16">
                  <c:v>O/2</c:v>
                </c:pt>
                <c:pt idx="17">
                  <c:v>N/2</c:v>
                </c:pt>
                <c:pt idx="18">
                  <c:v>D/2</c:v>
                </c:pt>
                <c:pt idx="19">
                  <c:v>J/2</c:v>
                </c:pt>
                <c:pt idx="20">
                  <c:v>F/2</c:v>
                </c:pt>
                <c:pt idx="21">
                  <c:v>M/2</c:v>
                </c:pt>
                <c:pt idx="22">
                  <c:v>A/2</c:v>
                </c:pt>
                <c:pt idx="23">
                  <c:v>M/2</c:v>
                </c:pt>
                <c:pt idx="24">
                  <c:v>J/3</c:v>
                </c:pt>
                <c:pt idx="25">
                  <c:v>J/3</c:v>
                </c:pt>
                <c:pt idx="26">
                  <c:v>A/3</c:v>
                </c:pt>
                <c:pt idx="27">
                  <c:v>S/3</c:v>
                </c:pt>
                <c:pt idx="28">
                  <c:v>O/3</c:v>
                </c:pt>
                <c:pt idx="29">
                  <c:v>N/3</c:v>
                </c:pt>
                <c:pt idx="30">
                  <c:v>D/3</c:v>
                </c:pt>
                <c:pt idx="31">
                  <c:v>J/3</c:v>
                </c:pt>
                <c:pt idx="32">
                  <c:v>F/3</c:v>
                </c:pt>
                <c:pt idx="33">
                  <c:v>M/3</c:v>
                </c:pt>
                <c:pt idx="34">
                  <c:v>A/3</c:v>
                </c:pt>
                <c:pt idx="35">
                  <c:v>M/3</c:v>
                </c:pt>
              </c:strCache>
            </c:strRef>
          </c:cat>
          <c:val>
            <c:numRef>
              <c:f>Dash_Disp!$O$7:$AX$7</c:f>
              <c:numCache>
                <c:formatCode>General</c:formatCode>
                <c:ptCount val="36"/>
                <c:pt idx="0">
                  <c:v>15205849.999999993</c:v>
                </c:pt>
                <c:pt idx="1">
                  <c:v>15205849.999999993</c:v>
                </c:pt>
                <c:pt idx="2">
                  <c:v>15205849.999999993</c:v>
                </c:pt>
                <c:pt idx="3">
                  <c:v>15205849.999999993</c:v>
                </c:pt>
                <c:pt idx="4">
                  <c:v>21358992.857142843</c:v>
                </c:pt>
                <c:pt idx="5">
                  <c:v>21358992.857142843</c:v>
                </c:pt>
                <c:pt idx="6">
                  <c:v>27512135.714285694</c:v>
                </c:pt>
                <c:pt idx="7">
                  <c:v>27512135.714285694</c:v>
                </c:pt>
                <c:pt idx="8">
                  <c:v>33665278.571428545</c:v>
                </c:pt>
                <c:pt idx="9">
                  <c:v>39818421.428571396</c:v>
                </c:pt>
                <c:pt idx="10">
                  <c:v>39818421.428571396</c:v>
                </c:pt>
                <c:pt idx="11">
                  <c:v>39818421.428571396</c:v>
                </c:pt>
                <c:pt idx="12">
                  <c:v>24612571.428571396</c:v>
                </c:pt>
                <c:pt idx="13">
                  <c:v>24612571.428571396</c:v>
                </c:pt>
                <c:pt idx="14">
                  <c:v>30765714.285714246</c:v>
                </c:pt>
                <c:pt idx="15">
                  <c:v>30765714.285714246</c:v>
                </c:pt>
                <c:pt idx="16">
                  <c:v>43071999.999999955</c:v>
                </c:pt>
                <c:pt idx="17">
                  <c:v>55378285.714285657</c:v>
                </c:pt>
                <c:pt idx="18">
                  <c:v>73837714.285714209</c:v>
                </c:pt>
                <c:pt idx="19">
                  <c:v>79990857.14285706</c:v>
                </c:pt>
                <c:pt idx="20">
                  <c:v>79990857.14285706</c:v>
                </c:pt>
                <c:pt idx="21">
                  <c:v>79990857.14285706</c:v>
                </c:pt>
                <c:pt idx="22">
                  <c:v>79990857.14285706</c:v>
                </c:pt>
                <c:pt idx="23">
                  <c:v>86143999.999999911</c:v>
                </c:pt>
                <c:pt idx="24">
                  <c:v>86138999.999999911</c:v>
                </c:pt>
                <c:pt idx="25">
                  <c:v>86138999.999999911</c:v>
                </c:pt>
                <c:pt idx="26">
                  <c:v>86138999.999999911</c:v>
                </c:pt>
                <c:pt idx="27">
                  <c:v>86138999.999999911</c:v>
                </c:pt>
                <c:pt idx="28">
                  <c:v>86138999.999999911</c:v>
                </c:pt>
                <c:pt idx="29">
                  <c:v>86138999.999999911</c:v>
                </c:pt>
                <c:pt idx="30">
                  <c:v>86138999.999999911</c:v>
                </c:pt>
                <c:pt idx="31">
                  <c:v>86138999.999999911</c:v>
                </c:pt>
                <c:pt idx="32">
                  <c:v>86138999.999999911</c:v>
                </c:pt>
                <c:pt idx="33">
                  <c:v>86138999.999999911</c:v>
                </c:pt>
                <c:pt idx="34">
                  <c:v>86138999.999999911</c:v>
                </c:pt>
                <c:pt idx="35">
                  <c:v>86138999.999999911</c:v>
                </c:pt>
              </c:numCache>
            </c:numRef>
          </c:val>
          <c:smooth val="1"/>
          <c:extLst>
            <c:ext xmlns:c16="http://schemas.microsoft.com/office/drawing/2014/chart" uri="{C3380CC4-5D6E-409C-BE32-E72D297353CC}">
              <c16:uniqueId val="{0000002F-35CE-4509-BFFF-D2B59E9D567F}"/>
            </c:ext>
          </c:extLst>
        </c:ser>
        <c:dLbls>
          <c:showLegendKey val="0"/>
          <c:showVal val="0"/>
          <c:showCatName val="0"/>
          <c:showSerName val="0"/>
          <c:showPercent val="0"/>
          <c:showBubbleSize val="0"/>
        </c:dLbls>
        <c:smooth val="0"/>
        <c:axId val="667613592"/>
        <c:axId val="667616872"/>
      </c:lineChart>
      <c:catAx>
        <c:axId val="6676135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667616872"/>
        <c:crosses val="autoZero"/>
        <c:auto val="1"/>
        <c:lblAlgn val="ctr"/>
        <c:lblOffset val="100"/>
        <c:noMultiLvlLbl val="0"/>
      </c:catAx>
      <c:valAx>
        <c:axId val="667616872"/>
        <c:scaling>
          <c:orientation val="minMax"/>
        </c:scaling>
        <c:delete val="1"/>
        <c:axPos val="l"/>
        <c:numFmt formatCode="General" sourceLinked="1"/>
        <c:majorTickMark val="none"/>
        <c:minorTickMark val="none"/>
        <c:tickLblPos val="nextTo"/>
        <c:crossAx val="667613592"/>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Dash_Proj!$Q$16</c:f>
              <c:strCache>
                <c:ptCount val="1"/>
                <c:pt idx="0">
                  <c:v>EBITDA</c:v>
                </c:pt>
              </c:strCache>
            </c:strRef>
          </c:tx>
          <c:spPr>
            <a:solidFill>
              <a:srgbClr val="FFC000"/>
            </a:solidFill>
            <a:ln>
              <a:noFill/>
            </a:ln>
            <a:effectLst/>
          </c:spPr>
          <c:invertIfNegative val="0"/>
          <c:dLbls>
            <c:numFmt formatCode="&quot;R$&quo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Dash_Proj!$BW$14</c:f>
              <c:numCache>
                <c:formatCode>"R$"#,##0.00</c:formatCode>
                <c:ptCount val="1"/>
              </c:numCache>
            </c:numRef>
          </c:cat>
          <c:val>
            <c:numRef>
              <c:f>Dash_Proj!$R$16</c:f>
              <c:numCache>
                <c:formatCode>General</c:formatCode>
                <c:ptCount val="1"/>
                <c:pt idx="0">
                  <c:v>-5000</c:v>
                </c:pt>
              </c:numCache>
            </c:numRef>
          </c:val>
          <c:extLst>
            <c:ext xmlns:c16="http://schemas.microsoft.com/office/drawing/2014/chart" uri="{C3380CC4-5D6E-409C-BE32-E72D297353CC}">
              <c16:uniqueId val="{00000000-5C7D-434D-9A74-1AD37C5E7F76}"/>
            </c:ext>
          </c:extLst>
        </c:ser>
        <c:ser>
          <c:idx val="1"/>
          <c:order val="1"/>
          <c:tx>
            <c:strRef>
              <c:f>Dash_Proj!$Q$13</c:f>
              <c:strCache>
                <c:ptCount val="1"/>
                <c:pt idx="0">
                  <c:v>Lucro Livre</c:v>
                </c:pt>
              </c:strCache>
            </c:strRef>
          </c:tx>
          <c:spPr>
            <a:solidFill>
              <a:srgbClr val="6699CC"/>
            </a:solidFill>
            <a:ln>
              <a:noFill/>
            </a:ln>
            <a:effectLst/>
          </c:spPr>
          <c:invertIfNegative val="0"/>
          <c:dLbls>
            <c:numFmt formatCode="&quot;R$&quo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Dash_Proj!$BW$14</c:f>
              <c:numCache>
                <c:formatCode>"R$"#,##0.00</c:formatCode>
                <c:ptCount val="1"/>
              </c:numCache>
            </c:numRef>
          </c:cat>
          <c:val>
            <c:numRef>
              <c:f>Dash_Proj!$R$13</c:f>
              <c:numCache>
                <c:formatCode>"R$"#,##0.00</c:formatCode>
                <c:ptCount val="1"/>
                <c:pt idx="0">
                  <c:v>-5000</c:v>
                </c:pt>
              </c:numCache>
            </c:numRef>
          </c:val>
          <c:extLst>
            <c:ext xmlns:c16="http://schemas.microsoft.com/office/drawing/2014/chart" uri="{C3380CC4-5D6E-409C-BE32-E72D297353CC}">
              <c16:uniqueId val="{00000001-5C7D-434D-9A74-1AD37C5E7F76}"/>
            </c:ext>
          </c:extLst>
        </c:ser>
        <c:dLbls>
          <c:dLblPos val="outEnd"/>
          <c:showLegendKey val="0"/>
          <c:showVal val="1"/>
          <c:showCatName val="0"/>
          <c:showSerName val="0"/>
          <c:showPercent val="0"/>
          <c:showBubbleSize val="0"/>
        </c:dLbls>
        <c:gapWidth val="100"/>
        <c:overlap val="-27"/>
        <c:axId val="-1754281200"/>
        <c:axId val="-1754280656"/>
      </c:barChart>
      <c:catAx>
        <c:axId val="-1754281200"/>
        <c:scaling>
          <c:orientation val="minMax"/>
        </c:scaling>
        <c:delete val="0"/>
        <c:axPos val="b"/>
        <c:numFmt formatCode="&quot;R$&quot;#,##0.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754280656"/>
        <c:crosses val="autoZero"/>
        <c:auto val="1"/>
        <c:lblAlgn val="ctr"/>
        <c:lblOffset val="100"/>
        <c:noMultiLvlLbl val="0"/>
      </c:catAx>
      <c:valAx>
        <c:axId val="-1754280656"/>
        <c:scaling>
          <c:orientation val="minMax"/>
        </c:scaling>
        <c:delete val="1"/>
        <c:axPos val="l"/>
        <c:numFmt formatCode="&quot;R$&quot;#,##0.00" sourceLinked="0"/>
        <c:majorTickMark val="none"/>
        <c:minorTickMark val="none"/>
        <c:tickLblPos val="nextTo"/>
        <c:crossAx val="-17542812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218626118149724"/>
          <c:y val="5.6559168353734063E-2"/>
          <c:w val="0.45428200412035086"/>
          <c:h val="0.89282226105699614"/>
        </c:manualLayout>
      </c:layout>
      <c:doughnutChart>
        <c:varyColors val="1"/>
        <c:ser>
          <c:idx val="0"/>
          <c:order val="0"/>
          <c:spPr>
            <a:solidFill>
              <a:srgbClr val="55B03E"/>
            </a:solidFill>
          </c:spPr>
          <c:dPt>
            <c:idx val="0"/>
            <c:bubble3D val="0"/>
            <c:spPr>
              <a:solidFill>
                <a:srgbClr val="F58273"/>
              </a:solidFill>
              <a:ln w="19050">
                <a:solidFill>
                  <a:schemeClr val="lt1"/>
                </a:solidFill>
              </a:ln>
              <a:effectLst/>
            </c:spPr>
            <c:extLst>
              <c:ext xmlns:c16="http://schemas.microsoft.com/office/drawing/2014/chart" uri="{C3380CC4-5D6E-409C-BE32-E72D297353CC}">
                <c16:uniqueId val="{00000001-D3C6-489F-8914-23764A304B74}"/>
              </c:ext>
            </c:extLst>
          </c:dPt>
          <c:dPt>
            <c:idx val="1"/>
            <c:bubble3D val="0"/>
            <c:spPr>
              <a:solidFill>
                <a:schemeClr val="bg1">
                  <a:lumMod val="65000"/>
                </a:schemeClr>
              </a:solidFill>
              <a:ln w="19050">
                <a:solidFill>
                  <a:schemeClr val="lt1"/>
                </a:solidFill>
              </a:ln>
              <a:effectLst/>
            </c:spPr>
            <c:extLst>
              <c:ext xmlns:c16="http://schemas.microsoft.com/office/drawing/2014/chart" uri="{C3380CC4-5D6E-409C-BE32-E72D297353CC}">
                <c16:uniqueId val="{00000003-D3C6-489F-8914-23764A304B74}"/>
              </c:ext>
            </c:extLst>
          </c:dPt>
          <c:dPt>
            <c:idx val="2"/>
            <c:bubble3D val="0"/>
            <c:spPr>
              <a:solidFill>
                <a:srgbClr val="F0462E"/>
              </a:solidFill>
              <a:ln w="19050">
                <a:solidFill>
                  <a:schemeClr val="lt1"/>
                </a:solidFill>
              </a:ln>
              <a:effectLst/>
            </c:spPr>
            <c:extLst>
              <c:ext xmlns:c16="http://schemas.microsoft.com/office/drawing/2014/chart" uri="{C3380CC4-5D6E-409C-BE32-E72D297353CC}">
                <c16:uniqueId val="{00000005-D3C6-489F-8914-23764A304B74}"/>
              </c:ext>
            </c:extLst>
          </c:dPt>
          <c:dPt>
            <c:idx val="3"/>
            <c:bubble3D val="0"/>
            <c:spPr>
              <a:solidFill>
                <a:srgbClr val="FFC000"/>
              </a:solidFill>
              <a:ln w="19050">
                <a:solidFill>
                  <a:schemeClr val="lt1"/>
                </a:solidFill>
              </a:ln>
              <a:effectLst/>
            </c:spPr>
            <c:extLst>
              <c:ext xmlns:c16="http://schemas.microsoft.com/office/drawing/2014/chart" uri="{C3380CC4-5D6E-409C-BE32-E72D297353CC}">
                <c16:uniqueId val="{00000007-D3C6-489F-8914-23764A304B74}"/>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pt-BR"/>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Dash_Proj!$Q$18:$Q$21</c:f>
              <c:strCache>
                <c:ptCount val="4"/>
                <c:pt idx="0">
                  <c:v>Custos Variáveis</c:v>
                </c:pt>
                <c:pt idx="1">
                  <c:v>Impostos Diretos</c:v>
                </c:pt>
                <c:pt idx="2">
                  <c:v>Despesas Fixas</c:v>
                </c:pt>
                <c:pt idx="3">
                  <c:v>Investimento Bruto</c:v>
                </c:pt>
              </c:strCache>
            </c:strRef>
          </c:cat>
          <c:val>
            <c:numRef>
              <c:f>Dash_Proj!$R$18:$R$21</c:f>
              <c:numCache>
                <c:formatCode>General</c:formatCode>
                <c:ptCount val="4"/>
                <c:pt idx="0">
                  <c:v>0</c:v>
                </c:pt>
                <c:pt idx="1">
                  <c:v>0</c:v>
                </c:pt>
                <c:pt idx="2">
                  <c:v>0</c:v>
                </c:pt>
                <c:pt idx="3">
                  <c:v>5000</c:v>
                </c:pt>
              </c:numCache>
            </c:numRef>
          </c:val>
          <c:extLst>
            <c:ext xmlns:c16="http://schemas.microsoft.com/office/drawing/2014/chart" uri="{C3380CC4-5D6E-409C-BE32-E72D297353CC}">
              <c16:uniqueId val="{00000008-D3C6-489F-8914-23764A304B74}"/>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6846217997783675E-2"/>
          <c:y val="0.10408395046944756"/>
          <c:w val="0.87443307095609646"/>
          <c:h val="0.75024791470985563"/>
        </c:manualLayout>
      </c:layout>
      <c:barChart>
        <c:barDir val="col"/>
        <c:grouping val="clustered"/>
        <c:varyColors val="0"/>
        <c:ser>
          <c:idx val="0"/>
          <c:order val="0"/>
          <c:tx>
            <c:strRef>
              <c:f>[11]Rel_Viab!$F$13</c:f>
              <c:strCache>
                <c:ptCount val="1"/>
                <c:pt idx="0">
                  <c:v>Lucro Livre</c:v>
                </c:pt>
              </c:strCache>
            </c:strRef>
          </c:tx>
          <c:spPr>
            <a:solidFill>
              <a:srgbClr val="6699CC"/>
            </a:solidFill>
            <a:ln w="19050">
              <a:solidFill>
                <a:schemeClr val="lt1"/>
              </a:solidFill>
            </a:ln>
            <a:effectLst/>
          </c:spPr>
          <c:invertIfNegative val="0"/>
          <c:dLbls>
            <c:numFmt formatCode="&quot;R$&quo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[11]Rel_Viab!$G$4:$I$4</c:f>
              <c:strCache>
                <c:ptCount val="3"/>
                <c:pt idx="0">
                  <c:v>Ano 1</c:v>
                </c:pt>
                <c:pt idx="1">
                  <c:v>Ano 2</c:v>
                </c:pt>
                <c:pt idx="2">
                  <c:v>Ano 3</c:v>
                </c:pt>
              </c:strCache>
            </c:strRef>
          </c:cat>
          <c:val>
            <c:numRef>
              <c:f>[11]Rel_Viab!$G$13:$I$13</c:f>
              <c:numCache>
                <c:formatCode>General</c:formatCode>
                <c:ptCount val="3"/>
                <c:pt idx="0">
                  <c:v>21362571.42857141</c:v>
                </c:pt>
                <c:pt idx="1">
                  <c:v>46325578.571428493</c:v>
                </c:pt>
                <c:pt idx="2">
                  <c:v>-5000</c:v>
                </c:pt>
              </c:numCache>
            </c:numRef>
          </c:val>
          <c:extLst>
            <c:ext xmlns:c16="http://schemas.microsoft.com/office/drawing/2014/chart" uri="{C3380CC4-5D6E-409C-BE32-E72D297353CC}">
              <c16:uniqueId val="{00000000-CEC6-46F9-8207-CE74BF47E2FA}"/>
            </c:ext>
          </c:extLst>
        </c:ser>
        <c:dLbls>
          <c:dLblPos val="outEnd"/>
          <c:showLegendKey val="0"/>
          <c:showVal val="1"/>
          <c:showCatName val="0"/>
          <c:showSerName val="0"/>
          <c:showPercent val="0"/>
          <c:showBubbleSize val="0"/>
        </c:dLbls>
        <c:gapWidth val="100"/>
        <c:axId val="-1742901104"/>
        <c:axId val="-1742887504"/>
      </c:barChart>
      <c:catAx>
        <c:axId val="-174290110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742887504"/>
        <c:crosses val="autoZero"/>
        <c:auto val="1"/>
        <c:lblAlgn val="ctr"/>
        <c:lblOffset val="100"/>
        <c:noMultiLvlLbl val="0"/>
      </c:catAx>
      <c:valAx>
        <c:axId val="-1742887504"/>
        <c:scaling>
          <c:orientation val="minMax"/>
        </c:scaling>
        <c:delete val="1"/>
        <c:axPos val="l"/>
        <c:numFmt formatCode="General" sourceLinked="1"/>
        <c:majorTickMark val="out"/>
        <c:minorTickMark val="none"/>
        <c:tickLblPos val="nextTo"/>
        <c:crossAx val="-17429011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Dash_Fin!$O$9</c:f>
              <c:strCache>
                <c:ptCount val="1"/>
                <c:pt idx="0">
                  <c:v>Margem de Contribuição</c:v>
                </c:pt>
              </c:strCache>
            </c:strRef>
          </c:tx>
          <c:spPr>
            <a:solidFill>
              <a:srgbClr val="6699CC"/>
            </a:solidFill>
            <a:ln>
              <a:noFill/>
            </a:ln>
            <a:effectLst/>
          </c:spPr>
          <c:invertIfNegative val="0"/>
          <c:cat>
            <c:strRef>
              <c:f>Dash_Fin!$P$8:$R$8</c:f>
              <c:strCache>
                <c:ptCount val="3"/>
                <c:pt idx="0">
                  <c:v>Ano 1</c:v>
                </c:pt>
                <c:pt idx="1">
                  <c:v>Ano 2</c:v>
                </c:pt>
                <c:pt idx="2">
                  <c:v>Ano 3</c:v>
                </c:pt>
              </c:strCache>
            </c:strRef>
          </c:cat>
          <c:val>
            <c:numRef>
              <c:f>Dash_Fin!$P$9:$R$9</c:f>
              <c:numCache>
                <c:formatCode>"R$"#,##0.00</c:formatCode>
                <c:ptCount val="3"/>
                <c:pt idx="0">
                  <c:v>24612571.42857141</c:v>
                </c:pt>
                <c:pt idx="1">
                  <c:v>61531428.571428493</c:v>
                </c:pt>
                <c:pt idx="2">
                  <c:v>0</c:v>
                </c:pt>
              </c:numCache>
            </c:numRef>
          </c:val>
          <c:extLst>
            <c:ext xmlns:c16="http://schemas.microsoft.com/office/drawing/2014/chart" uri="{C3380CC4-5D6E-409C-BE32-E72D297353CC}">
              <c16:uniqueId val="{00000000-F8B1-412C-B6A9-104C94FAD5C0}"/>
            </c:ext>
          </c:extLst>
        </c:ser>
        <c:ser>
          <c:idx val="1"/>
          <c:order val="1"/>
          <c:tx>
            <c:strRef>
              <c:f>Dash_Fin!$O$10</c:f>
              <c:strCache>
                <c:ptCount val="1"/>
                <c:pt idx="0">
                  <c:v>Custos Fixos</c:v>
                </c:pt>
              </c:strCache>
            </c:strRef>
          </c:tx>
          <c:spPr>
            <a:solidFill>
              <a:srgbClr val="F0462E"/>
            </a:solidFill>
            <a:ln>
              <a:noFill/>
            </a:ln>
            <a:effectLst/>
          </c:spPr>
          <c:invertIfNegative val="0"/>
          <c:cat>
            <c:strRef>
              <c:f>Dash_Fin!$P$8:$R$8</c:f>
              <c:strCache>
                <c:ptCount val="3"/>
                <c:pt idx="0">
                  <c:v>Ano 1</c:v>
                </c:pt>
                <c:pt idx="1">
                  <c:v>Ano 2</c:v>
                </c:pt>
                <c:pt idx="2">
                  <c:v>Ano 3</c:v>
                </c:pt>
              </c:strCache>
            </c:strRef>
          </c:cat>
          <c:val>
            <c:numRef>
              <c:f>Dash_Fin!$P$10:$R$10</c:f>
              <c:numCache>
                <c:formatCode>"R$"#,##0.00</c:formatCode>
                <c:ptCount val="3"/>
                <c:pt idx="0">
                  <c:v>0</c:v>
                </c:pt>
                <c:pt idx="1">
                  <c:v>0</c:v>
                </c:pt>
                <c:pt idx="2">
                  <c:v>0</c:v>
                </c:pt>
              </c:numCache>
            </c:numRef>
          </c:val>
          <c:extLst>
            <c:ext xmlns:c16="http://schemas.microsoft.com/office/drawing/2014/chart" uri="{C3380CC4-5D6E-409C-BE32-E72D297353CC}">
              <c16:uniqueId val="{00000001-F8B1-412C-B6A9-104C94FAD5C0}"/>
            </c:ext>
          </c:extLst>
        </c:ser>
        <c:dLbls>
          <c:showLegendKey val="0"/>
          <c:showVal val="0"/>
          <c:showCatName val="0"/>
          <c:showSerName val="0"/>
          <c:showPercent val="0"/>
          <c:showBubbleSize val="0"/>
        </c:dLbls>
        <c:gapWidth val="70"/>
        <c:axId val="-1754278480"/>
        <c:axId val="-1754280112"/>
      </c:barChart>
      <c:lineChart>
        <c:grouping val="standard"/>
        <c:varyColors val="0"/>
        <c:ser>
          <c:idx val="2"/>
          <c:order val="2"/>
          <c:tx>
            <c:strRef>
              <c:f>Dash_Fin!$O$11</c:f>
              <c:strCache>
                <c:ptCount val="1"/>
                <c:pt idx="0">
                  <c:v>Resultado</c:v>
                </c:pt>
              </c:strCache>
            </c:strRef>
          </c:tx>
          <c:spPr>
            <a:ln w="12700" cap="rnd">
              <a:solidFill>
                <a:schemeClr val="tx1">
                  <a:lumMod val="75000"/>
                  <a:lumOff val="25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pt-B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Dash_Fin!$P$8:$R$8</c:f>
              <c:strCache>
                <c:ptCount val="3"/>
                <c:pt idx="0">
                  <c:v>Ano 1</c:v>
                </c:pt>
                <c:pt idx="1">
                  <c:v>Ano 2</c:v>
                </c:pt>
                <c:pt idx="2">
                  <c:v>Ano 3</c:v>
                </c:pt>
              </c:strCache>
            </c:strRef>
          </c:cat>
          <c:val>
            <c:numRef>
              <c:f>Dash_Fin!$P$11:$R$11</c:f>
              <c:numCache>
                <c:formatCode>"R$"#,##0.00</c:formatCode>
                <c:ptCount val="3"/>
                <c:pt idx="0">
                  <c:v>24612571.42857141</c:v>
                </c:pt>
                <c:pt idx="1">
                  <c:v>61531428.571428493</c:v>
                </c:pt>
                <c:pt idx="2">
                  <c:v>0</c:v>
                </c:pt>
              </c:numCache>
            </c:numRef>
          </c:val>
          <c:smooth val="1"/>
          <c:extLst>
            <c:ext xmlns:c16="http://schemas.microsoft.com/office/drawing/2014/chart" uri="{C3380CC4-5D6E-409C-BE32-E72D297353CC}">
              <c16:uniqueId val="{00000002-F8B1-412C-B6A9-104C94FAD5C0}"/>
            </c:ext>
          </c:extLst>
        </c:ser>
        <c:dLbls>
          <c:showLegendKey val="0"/>
          <c:showVal val="0"/>
          <c:showCatName val="0"/>
          <c:showSerName val="0"/>
          <c:showPercent val="0"/>
          <c:showBubbleSize val="0"/>
        </c:dLbls>
        <c:marker val="1"/>
        <c:smooth val="0"/>
        <c:axId val="-1754287728"/>
        <c:axId val="-1754277936"/>
      </c:lineChart>
      <c:catAx>
        <c:axId val="-1754278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754280112"/>
        <c:crosses val="autoZero"/>
        <c:auto val="1"/>
        <c:lblAlgn val="ctr"/>
        <c:lblOffset val="100"/>
        <c:noMultiLvlLbl val="0"/>
      </c:catAx>
      <c:valAx>
        <c:axId val="-1754280112"/>
        <c:scaling>
          <c:orientation val="minMax"/>
        </c:scaling>
        <c:delete val="1"/>
        <c:axPos val="l"/>
        <c:numFmt formatCode="&quot;R$&quot;#,##0.00" sourceLinked="1"/>
        <c:majorTickMark val="none"/>
        <c:minorTickMark val="none"/>
        <c:tickLblPos val="nextTo"/>
        <c:crossAx val="-1754278480"/>
        <c:crosses val="autoZero"/>
        <c:crossBetween val="between"/>
      </c:valAx>
      <c:valAx>
        <c:axId val="-1754277936"/>
        <c:scaling>
          <c:orientation val="minMax"/>
        </c:scaling>
        <c:delete val="1"/>
        <c:axPos val="r"/>
        <c:numFmt formatCode="&quot;R$&quot;#,##0.00" sourceLinked="1"/>
        <c:majorTickMark val="out"/>
        <c:minorTickMark val="none"/>
        <c:tickLblPos val="nextTo"/>
        <c:crossAx val="-1754287728"/>
        <c:crosses val="max"/>
        <c:crossBetween val="between"/>
      </c:valAx>
      <c:catAx>
        <c:axId val="-1754287728"/>
        <c:scaling>
          <c:orientation val="minMax"/>
        </c:scaling>
        <c:delete val="1"/>
        <c:axPos val="b"/>
        <c:numFmt formatCode="General" sourceLinked="1"/>
        <c:majorTickMark val="out"/>
        <c:minorTickMark val="none"/>
        <c:tickLblPos val="nextTo"/>
        <c:crossAx val="-1754277936"/>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showDLblsOverMax val="0"/>
  </c:chart>
  <c:spPr>
    <a:solidFill>
      <a:schemeClr val="bg1"/>
    </a:solidFill>
    <a:ln w="9525" cap="flat" cmpd="sng" algn="ctr">
      <a:solidFill>
        <a:schemeClr val="bg1">
          <a:lumMod val="85000"/>
        </a:schemeClr>
      </a:solidFill>
      <a:round/>
    </a:ln>
    <a:effectLst/>
  </c:spPr>
  <c:txPr>
    <a:bodyPr/>
    <a:lstStyle/>
    <a:p>
      <a:pPr>
        <a:defRPr/>
      </a:pPr>
      <a:endParaRPr lang="pt-BR"/>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[11]Rel_Viab!$L$5</c:f>
              <c:strCache>
                <c:ptCount val="1"/>
                <c:pt idx="0">
                  <c:v>Receita Bruta</c:v>
                </c:pt>
              </c:strCache>
            </c:strRef>
          </c:tx>
          <c:spPr>
            <a:solidFill>
              <a:srgbClr val="55B03E"/>
            </a:solidFill>
            <a:ln>
              <a:noFill/>
            </a:ln>
            <a:effectLst/>
          </c:spPr>
          <c:invertIfNegative val="0"/>
          <c:cat>
            <c:strRef>
              <c:f>[11]Rel_Viab!$M$4:$O$4</c:f>
              <c:strCache>
                <c:ptCount val="3"/>
                <c:pt idx="0">
                  <c:v>Ano 1</c:v>
                </c:pt>
                <c:pt idx="1">
                  <c:v>Ano 2</c:v>
                </c:pt>
                <c:pt idx="2">
                  <c:v>Ano 3</c:v>
                </c:pt>
              </c:strCache>
            </c:strRef>
          </c:cat>
          <c:val>
            <c:numRef>
              <c:f>[11]Rel_Viab!$M$5:$O$5</c:f>
              <c:numCache>
                <c:formatCode>General</c:formatCode>
                <c:ptCount val="3"/>
                <c:pt idx="0">
                  <c:v>71999999.999999985</c:v>
                </c:pt>
                <c:pt idx="1">
                  <c:v>179999999.99999994</c:v>
                </c:pt>
                <c:pt idx="2">
                  <c:v>0</c:v>
                </c:pt>
              </c:numCache>
            </c:numRef>
          </c:val>
          <c:extLst>
            <c:ext xmlns:c16="http://schemas.microsoft.com/office/drawing/2014/chart" uri="{C3380CC4-5D6E-409C-BE32-E72D297353CC}">
              <c16:uniqueId val="{00000000-E5DB-4A4C-AF83-A36E221249D8}"/>
            </c:ext>
          </c:extLst>
        </c:ser>
        <c:ser>
          <c:idx val="1"/>
          <c:order val="1"/>
          <c:tx>
            <c:strRef>
              <c:f>[11]Rel_Viab!$L$6</c:f>
              <c:strCache>
                <c:ptCount val="1"/>
                <c:pt idx="0">
                  <c:v>Despesas</c:v>
                </c:pt>
              </c:strCache>
            </c:strRef>
          </c:tx>
          <c:spPr>
            <a:solidFill>
              <a:srgbClr val="F0462E"/>
            </a:solidFill>
            <a:ln>
              <a:noFill/>
            </a:ln>
            <a:effectLst/>
          </c:spPr>
          <c:invertIfNegative val="0"/>
          <c:cat>
            <c:strRef>
              <c:f>[11]Rel_Viab!$M$4:$O$4</c:f>
              <c:strCache>
                <c:ptCount val="3"/>
                <c:pt idx="0">
                  <c:v>Ano 1</c:v>
                </c:pt>
                <c:pt idx="1">
                  <c:v>Ano 2</c:v>
                </c:pt>
                <c:pt idx="2">
                  <c:v>Ano 3</c:v>
                </c:pt>
              </c:strCache>
            </c:strRef>
          </c:cat>
          <c:val>
            <c:numRef>
              <c:f>[11]Rel_Viab!$M$6:$O$6</c:f>
              <c:numCache>
                <c:formatCode>General</c:formatCode>
                <c:ptCount val="3"/>
                <c:pt idx="0">
                  <c:v>50637428.571428575</c:v>
                </c:pt>
                <c:pt idx="1">
                  <c:v>133674421.42857145</c:v>
                </c:pt>
                <c:pt idx="2">
                  <c:v>5000</c:v>
                </c:pt>
              </c:numCache>
            </c:numRef>
          </c:val>
          <c:extLst>
            <c:ext xmlns:c16="http://schemas.microsoft.com/office/drawing/2014/chart" uri="{C3380CC4-5D6E-409C-BE32-E72D297353CC}">
              <c16:uniqueId val="{00000001-E5DB-4A4C-AF83-A36E221249D8}"/>
            </c:ext>
          </c:extLst>
        </c:ser>
        <c:dLbls>
          <c:showLegendKey val="0"/>
          <c:showVal val="0"/>
          <c:showCatName val="0"/>
          <c:showSerName val="0"/>
          <c:showPercent val="0"/>
          <c:showBubbleSize val="0"/>
        </c:dLbls>
        <c:gapWidth val="70"/>
        <c:axId val="-1754282288"/>
        <c:axId val="-1754273040"/>
      </c:barChart>
      <c:lineChart>
        <c:grouping val="standard"/>
        <c:varyColors val="0"/>
        <c:ser>
          <c:idx val="2"/>
          <c:order val="2"/>
          <c:tx>
            <c:strRef>
              <c:f>[11]Rel_Viab!$L$7</c:f>
              <c:strCache>
                <c:ptCount val="1"/>
                <c:pt idx="0">
                  <c:v>Lucro Livre</c:v>
                </c:pt>
              </c:strCache>
            </c:strRef>
          </c:tx>
          <c:spPr>
            <a:ln w="12700" cap="rnd">
              <a:solidFill>
                <a:schemeClr val="tx1">
                  <a:lumMod val="75000"/>
                  <a:lumOff val="25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pt-B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[11]Rel_Viab!$M$4:$O$4</c:f>
              <c:strCache>
                <c:ptCount val="3"/>
                <c:pt idx="0">
                  <c:v>Ano 1</c:v>
                </c:pt>
                <c:pt idx="1">
                  <c:v>Ano 2</c:v>
                </c:pt>
                <c:pt idx="2">
                  <c:v>Ano 3</c:v>
                </c:pt>
              </c:strCache>
            </c:strRef>
          </c:cat>
          <c:val>
            <c:numRef>
              <c:f>[11]Rel_Viab!$M$7:$O$7</c:f>
              <c:numCache>
                <c:formatCode>General</c:formatCode>
                <c:ptCount val="3"/>
                <c:pt idx="0">
                  <c:v>21362571.42857141</c:v>
                </c:pt>
                <c:pt idx="1">
                  <c:v>46325578.571428493</c:v>
                </c:pt>
                <c:pt idx="2">
                  <c:v>-5000</c:v>
                </c:pt>
              </c:numCache>
            </c:numRef>
          </c:val>
          <c:smooth val="1"/>
          <c:extLst>
            <c:ext xmlns:c16="http://schemas.microsoft.com/office/drawing/2014/chart" uri="{C3380CC4-5D6E-409C-BE32-E72D297353CC}">
              <c16:uniqueId val="{00000002-E5DB-4A4C-AF83-A36E221249D8}"/>
            </c:ext>
          </c:extLst>
        </c:ser>
        <c:dLbls>
          <c:showLegendKey val="0"/>
          <c:showVal val="0"/>
          <c:showCatName val="0"/>
          <c:showSerName val="0"/>
          <c:showPercent val="0"/>
          <c:showBubbleSize val="0"/>
        </c:dLbls>
        <c:marker val="1"/>
        <c:smooth val="0"/>
        <c:axId val="-1754281744"/>
        <c:axId val="-1754279568"/>
      </c:lineChart>
      <c:catAx>
        <c:axId val="-1754282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754273040"/>
        <c:crosses val="autoZero"/>
        <c:auto val="1"/>
        <c:lblAlgn val="ctr"/>
        <c:lblOffset val="100"/>
        <c:noMultiLvlLbl val="0"/>
      </c:catAx>
      <c:valAx>
        <c:axId val="-1754273040"/>
        <c:scaling>
          <c:orientation val="minMax"/>
        </c:scaling>
        <c:delete val="1"/>
        <c:axPos val="l"/>
        <c:numFmt formatCode="&quot;R$&quot;#,##0.00" sourceLinked="0"/>
        <c:majorTickMark val="none"/>
        <c:minorTickMark val="none"/>
        <c:tickLblPos val="nextTo"/>
        <c:crossAx val="-1754282288"/>
        <c:crosses val="autoZero"/>
        <c:crossBetween val="between"/>
      </c:valAx>
      <c:valAx>
        <c:axId val="-1754279568"/>
        <c:scaling>
          <c:orientation val="minMax"/>
        </c:scaling>
        <c:delete val="1"/>
        <c:axPos val="r"/>
        <c:numFmt formatCode="&quot;R$&quot;#,##0.00" sourceLinked="0"/>
        <c:majorTickMark val="out"/>
        <c:minorTickMark val="none"/>
        <c:tickLblPos val="nextTo"/>
        <c:crossAx val="-1754281744"/>
        <c:crosses val="max"/>
        <c:crossBetween val="between"/>
      </c:valAx>
      <c:catAx>
        <c:axId val="-1754281744"/>
        <c:scaling>
          <c:orientation val="minMax"/>
        </c:scaling>
        <c:delete val="1"/>
        <c:axPos val="b"/>
        <c:numFmt formatCode="General" sourceLinked="1"/>
        <c:majorTickMark val="out"/>
        <c:minorTickMark val="none"/>
        <c:tickLblPos val="nextTo"/>
        <c:crossAx val="-1754279568"/>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showDLblsOverMax val="0"/>
  </c:chart>
  <c:spPr>
    <a:solidFill>
      <a:schemeClr val="bg1"/>
    </a:solidFill>
    <a:ln w="9525" cap="flat" cmpd="sng" algn="ctr">
      <a:solidFill>
        <a:schemeClr val="bg1">
          <a:lumMod val="85000"/>
        </a:schemeClr>
      </a:solidFill>
      <a:round/>
    </a:ln>
    <a:effectLst/>
  </c:spPr>
  <c:txPr>
    <a:bodyPr/>
    <a:lstStyle/>
    <a:p>
      <a:pPr>
        <a:defRPr/>
      </a:pPr>
      <a:endParaRPr lang="pt-BR"/>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Dash_Cen!$T$5</c:f>
              <c:strCache>
                <c:ptCount val="1"/>
                <c:pt idx="0">
                  <c:v>Cenário Otimista</c:v>
                </c:pt>
              </c:strCache>
            </c:strRef>
          </c:tx>
          <c:spPr>
            <a:ln w="22225" cap="rnd">
              <a:solidFill>
                <a:srgbClr val="55B03E"/>
              </a:solidFill>
              <a:round/>
            </a:ln>
            <a:effectLst/>
          </c:spPr>
          <c:marker>
            <c:symbol val="none"/>
          </c:marker>
          <c:dLbls>
            <c:numFmt formatCode="&quot;R$&quo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Dash_Cen!$U$4:$X$4</c:f>
              <c:strCache>
                <c:ptCount val="4"/>
                <c:pt idx="0">
                  <c:v>Ano 0 </c:v>
                </c:pt>
                <c:pt idx="1">
                  <c:v>Ano 1</c:v>
                </c:pt>
                <c:pt idx="2">
                  <c:v>Ano 2</c:v>
                </c:pt>
                <c:pt idx="3">
                  <c:v>Ano 3</c:v>
                </c:pt>
              </c:strCache>
            </c:strRef>
          </c:cat>
          <c:val>
            <c:numRef>
              <c:f>Dash_Cen!$U$5:$X$5</c:f>
              <c:numCache>
                <c:formatCode>"R$"#,##0.00</c:formatCode>
                <c:ptCount val="4"/>
                <c:pt idx="0">
                  <c:v>-39780000</c:v>
                </c:pt>
                <c:pt idx="1">
                  <c:v>-4713685.7142857313</c:v>
                </c:pt>
                <c:pt idx="2">
                  <c:v>76579334.999999911</c:v>
                </c:pt>
                <c:pt idx="3">
                  <c:v>76574834.999999911</c:v>
                </c:pt>
              </c:numCache>
            </c:numRef>
          </c:val>
          <c:smooth val="1"/>
          <c:extLst>
            <c:ext xmlns:c16="http://schemas.microsoft.com/office/drawing/2014/chart" uri="{C3380CC4-5D6E-409C-BE32-E72D297353CC}">
              <c16:uniqueId val="{00000000-4FFB-4550-BE4F-D8EBEE7A5D42}"/>
            </c:ext>
          </c:extLst>
        </c:ser>
        <c:ser>
          <c:idx val="1"/>
          <c:order val="1"/>
          <c:tx>
            <c:strRef>
              <c:f>Dash_Cen!$T$6</c:f>
              <c:strCache>
                <c:ptCount val="1"/>
                <c:pt idx="0">
                  <c:v>Cenário Projetado</c:v>
                </c:pt>
              </c:strCache>
            </c:strRef>
          </c:tx>
          <c:spPr>
            <a:ln w="19050" cap="rnd">
              <a:solidFill>
                <a:schemeClr val="bg1">
                  <a:lumMod val="65000"/>
                </a:schemeClr>
              </a:solidFill>
              <a:round/>
            </a:ln>
            <a:effectLst/>
          </c:spPr>
          <c:marker>
            <c:symbol val="none"/>
          </c:marker>
          <c:dLbls>
            <c:numFmt formatCode="&quot;R$&quo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Dash_Cen!$U$4:$X$4</c:f>
              <c:strCache>
                <c:ptCount val="4"/>
                <c:pt idx="0">
                  <c:v>Ano 0 </c:v>
                </c:pt>
                <c:pt idx="1">
                  <c:v>Ano 1</c:v>
                </c:pt>
                <c:pt idx="2">
                  <c:v>Ano 2</c:v>
                </c:pt>
                <c:pt idx="3">
                  <c:v>Ano 3</c:v>
                </c:pt>
              </c:strCache>
            </c:strRef>
          </c:cat>
          <c:val>
            <c:numRef>
              <c:f>Dash_Viab!$R$22:$U$22</c:f>
              <c:numCache>
                <c:formatCode>"R$"#,##0.00</c:formatCode>
                <c:ptCount val="4"/>
                <c:pt idx="0">
                  <c:v>-44200000</c:v>
                </c:pt>
                <c:pt idx="1">
                  <c:v>-22837428.57142859</c:v>
                </c:pt>
                <c:pt idx="2">
                  <c:v>23488149.999999925</c:v>
                </c:pt>
                <c:pt idx="3">
                  <c:v>23483149.999999925</c:v>
                </c:pt>
              </c:numCache>
            </c:numRef>
          </c:val>
          <c:smooth val="1"/>
          <c:extLst>
            <c:ext xmlns:c16="http://schemas.microsoft.com/office/drawing/2014/chart" uri="{C3380CC4-5D6E-409C-BE32-E72D297353CC}">
              <c16:uniqueId val="{00000001-4FFB-4550-BE4F-D8EBEE7A5D42}"/>
            </c:ext>
          </c:extLst>
        </c:ser>
        <c:ser>
          <c:idx val="2"/>
          <c:order val="2"/>
          <c:tx>
            <c:strRef>
              <c:f>Dash_Cen!$T$7</c:f>
              <c:strCache>
                <c:ptCount val="1"/>
                <c:pt idx="0">
                  <c:v>Cenário Pessimista</c:v>
                </c:pt>
              </c:strCache>
            </c:strRef>
          </c:tx>
          <c:spPr>
            <a:ln w="22225" cap="rnd">
              <a:solidFill>
                <a:srgbClr val="F0462E"/>
              </a:solidFill>
              <a:round/>
            </a:ln>
            <a:effectLst/>
          </c:spPr>
          <c:marker>
            <c:symbol val="none"/>
          </c:marker>
          <c:dLbls>
            <c:numFmt formatCode="&quot;R$&quo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Dash_Cen!$U$4:$X$4</c:f>
              <c:strCache>
                <c:ptCount val="4"/>
                <c:pt idx="0">
                  <c:v>Ano 0 </c:v>
                </c:pt>
                <c:pt idx="1">
                  <c:v>Ano 1</c:v>
                </c:pt>
                <c:pt idx="2">
                  <c:v>Ano 2</c:v>
                </c:pt>
                <c:pt idx="3">
                  <c:v>Ano 3</c:v>
                </c:pt>
              </c:strCache>
            </c:strRef>
          </c:cat>
          <c:val>
            <c:numRef>
              <c:f>Dash_Cen!$U$7:$X$7</c:f>
              <c:numCache>
                <c:formatCode>"R$"#,##0.00</c:formatCode>
                <c:ptCount val="4"/>
                <c:pt idx="0">
                  <c:v>-48620000.000000007</c:v>
                </c:pt>
                <c:pt idx="1">
                  <c:v>-36353171.428571455</c:v>
                </c:pt>
                <c:pt idx="2">
                  <c:v>-21395035.000000112</c:v>
                </c:pt>
                <c:pt idx="3">
                  <c:v>-21400535.000000112</c:v>
                </c:pt>
              </c:numCache>
            </c:numRef>
          </c:val>
          <c:smooth val="1"/>
          <c:extLst>
            <c:ext xmlns:c16="http://schemas.microsoft.com/office/drawing/2014/chart" uri="{C3380CC4-5D6E-409C-BE32-E72D297353CC}">
              <c16:uniqueId val="{00000002-4FFB-4550-BE4F-D8EBEE7A5D42}"/>
            </c:ext>
          </c:extLst>
        </c:ser>
        <c:dLbls>
          <c:showLegendKey val="0"/>
          <c:showVal val="0"/>
          <c:showCatName val="0"/>
          <c:showSerName val="0"/>
          <c:showPercent val="0"/>
          <c:showBubbleSize val="0"/>
        </c:dLbls>
        <c:smooth val="0"/>
        <c:axId val="-1742885872"/>
        <c:axId val="-1742891856"/>
      </c:lineChart>
      <c:catAx>
        <c:axId val="-1742885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742891856"/>
        <c:crosses val="autoZero"/>
        <c:auto val="1"/>
        <c:lblAlgn val="ctr"/>
        <c:lblOffset val="100"/>
        <c:noMultiLvlLbl val="0"/>
      </c:catAx>
      <c:valAx>
        <c:axId val="-1742891856"/>
        <c:scaling>
          <c:orientation val="minMax"/>
        </c:scaling>
        <c:delete val="1"/>
        <c:axPos val="l"/>
        <c:numFmt formatCode="&quot;R$&quot;#,##0.00" sourceLinked="1"/>
        <c:majorTickMark val="none"/>
        <c:minorTickMark val="none"/>
        <c:tickLblPos val="nextTo"/>
        <c:crossAx val="-17428858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showDLblsOverMax val="0"/>
  </c:chart>
  <c:spPr>
    <a:solidFill>
      <a:schemeClr val="bg1"/>
    </a:solidFill>
    <a:ln w="9525" cap="flat" cmpd="sng" algn="ctr">
      <a:solidFill>
        <a:schemeClr val="bg1">
          <a:lumMod val="85000"/>
        </a:schemeClr>
      </a:solidFill>
      <a:round/>
    </a:ln>
    <a:effectLst/>
  </c:spPr>
  <c:txPr>
    <a:bodyPr/>
    <a:lstStyle/>
    <a:p>
      <a:pPr>
        <a:defRPr/>
      </a:pPr>
      <a:endParaRPr lang="pt-B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Drop" dropLines="3" dropStyle="combo" dx="16" fmlaLink="[11]Aux1!$C$2" fmlaRange="$R$4:$R$6" sel="3" val="0"/>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image" Target="../media/image1.png"/><Relationship Id="rId4" Type="http://schemas.openxmlformats.org/officeDocument/2006/relationships/hyperlink" Target="http://www.eqdi.com.br" TargetMode="Externa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www.eqdi.com.br" TargetMode="Externa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hyperlink" Target="http://www.eqdi.com.br" TargetMode="External"/><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hyperlink" Target="http://eqdi.com.br/" TargetMode="Externa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2" Type="http://schemas.microsoft.com/office/2007/relationships/hdphoto" Target="../media/hdphoto1.wdp"/><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2" Type="http://schemas.openxmlformats.org/officeDocument/2006/relationships/image" Target="../media/image7.jpeg"/><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2" Type="http://schemas.microsoft.com/office/2007/relationships/hdphoto" Target="../media/hdphoto1.wdp"/><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8.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9.jpeg"/></Relationships>
</file>

<file path=xl/drawings/_rels/drawing11.xml.rels><?xml version="1.0" encoding="UTF-8" standalone="yes"?>
<Relationships xmlns="http://schemas.openxmlformats.org/package/2006/relationships"><Relationship Id="rId8" Type="http://schemas.openxmlformats.org/officeDocument/2006/relationships/image" Target="../media/image10.png"/><Relationship Id="rId3" Type="http://schemas.openxmlformats.org/officeDocument/2006/relationships/chart" Target="../charts/chart7.xml"/><Relationship Id="rId7" Type="http://schemas.openxmlformats.org/officeDocument/2006/relationships/hyperlink" Target="#Dash_Fin!A1"/><Relationship Id="rId2" Type="http://schemas.openxmlformats.org/officeDocument/2006/relationships/hyperlink" Target="#Dash_Disp!A1"/><Relationship Id="rId1" Type="http://schemas.openxmlformats.org/officeDocument/2006/relationships/hyperlink" Target="#Dash_Viab!A1"/><Relationship Id="rId6" Type="http://schemas.openxmlformats.org/officeDocument/2006/relationships/hyperlink" Target="#Dash_Cen!A1"/><Relationship Id="rId5" Type="http://schemas.openxmlformats.org/officeDocument/2006/relationships/hyperlink" Target="#Dash_Proj!A1"/><Relationship Id="rId4" Type="http://schemas.openxmlformats.org/officeDocument/2006/relationships/chart" Target="../charts/chart8.xml"/></Relationships>
</file>

<file path=xl/drawings/_rels/drawing12.xml.rels><?xml version="1.0" encoding="UTF-8" standalone="yes"?>
<Relationships xmlns="http://schemas.openxmlformats.org/package/2006/relationships"><Relationship Id="rId3" Type="http://schemas.openxmlformats.org/officeDocument/2006/relationships/hyperlink" Target="#Dash_Disp!A1"/><Relationship Id="rId7" Type="http://schemas.openxmlformats.org/officeDocument/2006/relationships/image" Target="../media/image10.png"/><Relationship Id="rId2" Type="http://schemas.openxmlformats.org/officeDocument/2006/relationships/hyperlink" Target="#Dash_Viab!A1"/><Relationship Id="rId1" Type="http://schemas.openxmlformats.org/officeDocument/2006/relationships/chart" Target="../charts/chart9.xml"/><Relationship Id="rId6" Type="http://schemas.openxmlformats.org/officeDocument/2006/relationships/hyperlink" Target="#Dash_Fin!A1"/><Relationship Id="rId5" Type="http://schemas.openxmlformats.org/officeDocument/2006/relationships/hyperlink" Target="#Dash_Cen!A1"/><Relationship Id="rId4" Type="http://schemas.openxmlformats.org/officeDocument/2006/relationships/hyperlink" Target="#Dash_Proj!A1"/></Relationships>
</file>

<file path=xl/drawings/_rels/drawing13.xml.rels><?xml version="1.0" encoding="UTF-8" standalone="yes"?>
<Relationships xmlns="http://schemas.openxmlformats.org/package/2006/relationships"><Relationship Id="rId8" Type="http://schemas.openxmlformats.org/officeDocument/2006/relationships/hyperlink" Target="#Dash_Fin!A1"/><Relationship Id="rId3" Type="http://schemas.openxmlformats.org/officeDocument/2006/relationships/chart" Target="../charts/chart12.xml"/><Relationship Id="rId7" Type="http://schemas.openxmlformats.org/officeDocument/2006/relationships/hyperlink" Target="#Dash_Cen!A1"/><Relationship Id="rId2" Type="http://schemas.openxmlformats.org/officeDocument/2006/relationships/chart" Target="../charts/chart11.xml"/><Relationship Id="rId1" Type="http://schemas.openxmlformats.org/officeDocument/2006/relationships/chart" Target="../charts/chart10.xml"/><Relationship Id="rId6" Type="http://schemas.openxmlformats.org/officeDocument/2006/relationships/hyperlink" Target="#Dash_Proj!A1"/><Relationship Id="rId5" Type="http://schemas.openxmlformats.org/officeDocument/2006/relationships/hyperlink" Target="#Dash_Disp!A1"/><Relationship Id="rId4" Type="http://schemas.openxmlformats.org/officeDocument/2006/relationships/hyperlink" Target="#Dash_Viab!A1"/><Relationship Id="rId9" Type="http://schemas.openxmlformats.org/officeDocument/2006/relationships/image" Target="../media/image10.png"/></Relationships>
</file>

<file path=xl/drawings/_rels/drawing14.xml.rels><?xml version="1.0" encoding="UTF-8" standalone="yes"?>
<Relationships xmlns="http://schemas.openxmlformats.org/package/2006/relationships"><Relationship Id="rId8" Type="http://schemas.openxmlformats.org/officeDocument/2006/relationships/image" Target="../media/image10.png"/><Relationship Id="rId3" Type="http://schemas.openxmlformats.org/officeDocument/2006/relationships/hyperlink" Target="#Dash_Viab!A1"/><Relationship Id="rId7" Type="http://schemas.openxmlformats.org/officeDocument/2006/relationships/hyperlink" Target="#Dash_Fin!A1"/><Relationship Id="rId2" Type="http://schemas.openxmlformats.org/officeDocument/2006/relationships/chart" Target="../charts/chart14.xml"/><Relationship Id="rId1" Type="http://schemas.openxmlformats.org/officeDocument/2006/relationships/chart" Target="../charts/chart13.xml"/><Relationship Id="rId6" Type="http://schemas.openxmlformats.org/officeDocument/2006/relationships/hyperlink" Target="#Dash_Cen!A1"/><Relationship Id="rId5" Type="http://schemas.openxmlformats.org/officeDocument/2006/relationships/hyperlink" Target="#Dash_Proj!A1"/><Relationship Id="rId4" Type="http://schemas.openxmlformats.org/officeDocument/2006/relationships/hyperlink" Target="#Dash_Disp!A1"/></Relationships>
</file>

<file path=xl/drawings/_rels/drawing15.xml.rels><?xml version="1.0" encoding="UTF-8" standalone="yes"?>
<Relationships xmlns="http://schemas.openxmlformats.org/package/2006/relationships"><Relationship Id="rId3" Type="http://schemas.openxmlformats.org/officeDocument/2006/relationships/hyperlink" Target="#Dash_Disp!A1"/><Relationship Id="rId7" Type="http://schemas.openxmlformats.org/officeDocument/2006/relationships/image" Target="../media/image10.png"/><Relationship Id="rId2" Type="http://schemas.openxmlformats.org/officeDocument/2006/relationships/hyperlink" Target="#Dash_Viab!A1"/><Relationship Id="rId1" Type="http://schemas.openxmlformats.org/officeDocument/2006/relationships/chart" Target="../charts/chart15.xml"/><Relationship Id="rId6" Type="http://schemas.openxmlformats.org/officeDocument/2006/relationships/hyperlink" Target="#Dash_Fin!A1"/><Relationship Id="rId5" Type="http://schemas.openxmlformats.org/officeDocument/2006/relationships/hyperlink" Target="#Dash_Cen!A1"/><Relationship Id="rId4" Type="http://schemas.openxmlformats.org/officeDocument/2006/relationships/hyperlink" Target="#Dash_Proj!A1"/></Relationships>
</file>

<file path=xl/drawings/drawing1.xml><?xml version="1.0" encoding="utf-8"?>
<xdr:wsDr xmlns:xdr="http://schemas.openxmlformats.org/drawingml/2006/spreadsheetDrawing" xmlns:a="http://schemas.openxmlformats.org/drawingml/2006/main">
  <xdr:twoCellAnchor>
    <xdr:from>
      <xdr:col>0</xdr:col>
      <xdr:colOff>306043</xdr:colOff>
      <xdr:row>47</xdr:row>
      <xdr:rowOff>146603</xdr:rowOff>
    </xdr:from>
    <xdr:to>
      <xdr:col>11</xdr:col>
      <xdr:colOff>969066</xdr:colOff>
      <xdr:row>67</xdr:row>
      <xdr:rowOff>98978</xdr:rowOff>
    </xdr:to>
    <xdr:graphicFrame macro="">
      <xdr:nvGraphicFramePr>
        <xdr:cNvPr id="2" name="Chart 1">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217832</xdr:colOff>
      <xdr:row>66</xdr:row>
      <xdr:rowOff>87793</xdr:rowOff>
    </xdr:from>
    <xdr:to>
      <xdr:col>6</xdr:col>
      <xdr:colOff>446432</xdr:colOff>
      <xdr:row>86</xdr:row>
      <xdr:rowOff>154780</xdr:rowOff>
    </xdr:to>
    <xdr:graphicFrame macro="">
      <xdr:nvGraphicFramePr>
        <xdr:cNvPr id="3" name="Chart 2">
          <a:extLst>
            <a:ext uri="{FF2B5EF4-FFF2-40B4-BE49-F238E27FC236}">
              <a16:creationId xmlns:a16="http://schemas.microsoft.com/office/drawing/2014/main" id="{00000000-0008-0000-00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303607</xdr:colOff>
      <xdr:row>67</xdr:row>
      <xdr:rowOff>51194</xdr:rowOff>
    </xdr:from>
    <xdr:to>
      <xdr:col>12</xdr:col>
      <xdr:colOff>297655</xdr:colOff>
      <xdr:row>87</xdr:row>
      <xdr:rowOff>130967</xdr:rowOff>
    </xdr:to>
    <xdr:graphicFrame macro="">
      <xdr:nvGraphicFramePr>
        <xdr:cNvPr id="4" name="Chart 4">
          <a:extLst>
            <a:ext uri="{FF2B5EF4-FFF2-40B4-BE49-F238E27FC236}">
              <a16:creationId xmlns:a16="http://schemas.microsoft.com/office/drawing/2014/main" id="{00000000-0008-0000-00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10886</xdr:colOff>
      <xdr:row>1</xdr:row>
      <xdr:rowOff>65315</xdr:rowOff>
    </xdr:from>
    <xdr:to>
      <xdr:col>1</xdr:col>
      <xdr:colOff>732491</xdr:colOff>
      <xdr:row>2</xdr:row>
      <xdr:rowOff>130629</xdr:rowOff>
    </xdr:to>
    <xdr:pic>
      <xdr:nvPicPr>
        <xdr:cNvPr id="5" name="Picture 5">
          <a:hlinkClick xmlns:r="http://schemas.openxmlformats.org/officeDocument/2006/relationships" r:id="rId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a:stretch/>
      </xdr:blipFill>
      <xdr:spPr>
        <a:xfrm>
          <a:off x="10886" y="248195"/>
          <a:ext cx="1056885" cy="41583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17929</xdr:colOff>
      <xdr:row>1</xdr:row>
      <xdr:rowOff>98612</xdr:rowOff>
    </xdr:from>
    <xdr:to>
      <xdr:col>0</xdr:col>
      <xdr:colOff>889187</xdr:colOff>
      <xdr:row>2</xdr:row>
      <xdr:rowOff>119151</xdr:rowOff>
    </xdr:to>
    <xdr:pic>
      <xdr:nvPicPr>
        <xdr:cNvPr id="2" name="Picture 2">
          <a:hlinkClick xmlns:r="http://schemas.openxmlformats.org/officeDocument/2006/relationships" r:id="rId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xdr:blipFill>
      <xdr:spPr>
        <a:xfrm>
          <a:off x="17929" y="281492"/>
          <a:ext cx="871258" cy="37105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9</xdr:col>
      <xdr:colOff>333375</xdr:colOff>
      <xdr:row>21</xdr:row>
      <xdr:rowOff>133349</xdr:rowOff>
    </xdr:from>
    <xdr:to>
      <xdr:col>13</xdr:col>
      <xdr:colOff>485775</xdr:colOff>
      <xdr:row>31</xdr:row>
      <xdr:rowOff>19050</xdr:rowOff>
    </xdr:to>
    <xdr:graphicFrame macro="">
      <xdr:nvGraphicFramePr>
        <xdr:cNvPr id="2" name="Chart 1">
          <a:extLst>
            <a:ext uri="{FF2B5EF4-FFF2-40B4-BE49-F238E27FC236}">
              <a16:creationId xmlns:a16="http://schemas.microsoft.com/office/drawing/2014/main" id="{00000000-0008-0000-03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35859</xdr:colOff>
      <xdr:row>1</xdr:row>
      <xdr:rowOff>101317</xdr:rowOff>
    </xdr:from>
    <xdr:to>
      <xdr:col>1</xdr:col>
      <xdr:colOff>546847</xdr:colOff>
      <xdr:row>2</xdr:row>
      <xdr:rowOff>71244</xdr:rowOff>
    </xdr:to>
    <xdr:pic>
      <xdr:nvPicPr>
        <xdr:cNvPr id="3" name="Picture 5">
          <a:hlinkClick xmlns:r="http://schemas.openxmlformats.org/officeDocument/2006/relationships" r:id="rId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xdr:blipFill>
      <xdr:spPr>
        <a:xfrm>
          <a:off x="35859" y="284197"/>
          <a:ext cx="709108" cy="32044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114300</xdr:rowOff>
    </xdr:from>
    <xdr:to>
      <xdr:col>1</xdr:col>
      <xdr:colOff>586741</xdr:colOff>
      <xdr:row>2</xdr:row>
      <xdr:rowOff>108441</xdr:rowOff>
    </xdr:to>
    <xdr:pic>
      <xdr:nvPicPr>
        <xdr:cNvPr id="2" name="Picture 1">
          <a:hlinkClick xmlns:r="http://schemas.openxmlformats.org/officeDocument/2006/relationships" r:id="rId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xdr:blipFill>
      <xdr:spPr>
        <a:xfrm>
          <a:off x="0" y="297180"/>
          <a:ext cx="792481" cy="344661"/>
        </a:xfrm>
        <a:prstGeom prst="rect">
          <a:avLst/>
        </a:prstGeom>
      </xdr:spPr>
    </xdr:pic>
    <xdr:clientData/>
  </xdr:twoCellAnchor>
  <xdr:twoCellAnchor editAs="oneCell">
    <xdr:from>
      <xdr:col>7</xdr:col>
      <xdr:colOff>104395</xdr:colOff>
      <xdr:row>34</xdr:row>
      <xdr:rowOff>106680</xdr:rowOff>
    </xdr:from>
    <xdr:to>
      <xdr:col>11</xdr:col>
      <xdr:colOff>533400</xdr:colOff>
      <xdr:row>49</xdr:row>
      <xdr:rowOff>60960</xdr:rowOff>
    </xdr:to>
    <xdr:pic>
      <xdr:nvPicPr>
        <xdr:cNvPr id="3" name="Imagem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617715" y="6507480"/>
          <a:ext cx="6608825" cy="26974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1</xdr:col>
      <xdr:colOff>47625</xdr:colOff>
      <xdr:row>13</xdr:row>
      <xdr:rowOff>95250</xdr:rowOff>
    </xdr:from>
    <xdr:to>
      <xdr:col>18</xdr:col>
      <xdr:colOff>180975</xdr:colOff>
      <xdr:row>40</xdr:row>
      <xdr:rowOff>57150</xdr:rowOff>
    </xdr:to>
    <xdr:graphicFrame macro="">
      <xdr:nvGraphicFramePr>
        <xdr:cNvPr id="2" name="Chart 2">
          <a:extLst>
            <a:ext uri="{FF2B5EF4-FFF2-40B4-BE49-F238E27FC236}">
              <a16:creationId xmlns:a16="http://schemas.microsoft.com/office/drawing/2014/main" id="{00000000-0008-0000-06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oneCell">
    <xdr:from>
      <xdr:col>32</xdr:col>
      <xdr:colOff>6100</xdr:colOff>
      <xdr:row>1</xdr:row>
      <xdr:rowOff>17720</xdr:rowOff>
    </xdr:from>
    <xdr:to>
      <xdr:col>36</xdr:col>
      <xdr:colOff>86476</xdr:colOff>
      <xdr:row>4</xdr:row>
      <xdr:rowOff>158712</xdr:rowOff>
    </xdr:to>
    <xdr:pic>
      <xdr:nvPicPr>
        <xdr:cNvPr id="2" name="Imagem 1">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brightnessContrast bright="20000" contrast="20000"/>
                  </a14:imgEffect>
                </a14:imgLayer>
              </a14:imgProps>
            </a:ext>
            <a:ext uri="{28A0092B-C50C-407E-A947-70E740481C1C}">
              <a14:useLocalDpi xmlns:a14="http://schemas.microsoft.com/office/drawing/2010/main" val="0"/>
            </a:ext>
          </a:extLst>
        </a:blip>
        <a:stretch>
          <a:fillRect/>
        </a:stretch>
      </xdr:blipFill>
      <xdr:spPr>
        <a:xfrm>
          <a:off x="15223240" y="208220"/>
          <a:ext cx="2160636" cy="80393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6</xdr:col>
      <xdr:colOff>104775</xdr:colOff>
      <xdr:row>7</xdr:row>
      <xdr:rowOff>123825</xdr:rowOff>
    </xdr:from>
    <xdr:to>
      <xdr:col>15</xdr:col>
      <xdr:colOff>523874</xdr:colOff>
      <xdr:row>27</xdr:row>
      <xdr:rowOff>76200</xdr:rowOff>
    </xdr:to>
    <xdr:graphicFrame macro="">
      <xdr:nvGraphicFramePr>
        <xdr:cNvPr id="2" name="Gráfico 1">
          <a:extLst>
            <a:ext uri="{FF2B5EF4-FFF2-40B4-BE49-F238E27FC236}">
              <a16:creationId xmlns:a16="http://schemas.microsoft.com/office/drawing/2014/main" id="{00000000-0008-0000-0A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541021</xdr:colOff>
      <xdr:row>0</xdr:row>
      <xdr:rowOff>22860</xdr:rowOff>
    </xdr:from>
    <xdr:to>
      <xdr:col>15</xdr:col>
      <xdr:colOff>327660</xdr:colOff>
      <xdr:row>2</xdr:row>
      <xdr:rowOff>76283</xdr:rowOff>
    </xdr:to>
    <xdr:pic>
      <xdr:nvPicPr>
        <xdr:cNvPr id="3" name="Imagem 2">
          <a:extLst>
            <a:ext uri="{FF2B5EF4-FFF2-40B4-BE49-F238E27FC236}">
              <a16:creationId xmlns:a16="http://schemas.microsoft.com/office/drawing/2014/main" id="{00000000-0008-0000-0A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xdr:blipFill>
      <xdr:spPr>
        <a:xfrm>
          <a:off x="9563101" y="22860"/>
          <a:ext cx="1661159" cy="419183"/>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11</xdr:col>
      <xdr:colOff>485842</xdr:colOff>
      <xdr:row>1</xdr:row>
      <xdr:rowOff>0</xdr:rowOff>
    </xdr:from>
    <xdr:to>
      <xdr:col>13</xdr:col>
      <xdr:colOff>966460</xdr:colOff>
      <xdr:row>1</xdr:row>
      <xdr:rowOff>794135</xdr:rowOff>
    </xdr:to>
    <xdr:pic>
      <xdr:nvPicPr>
        <xdr:cNvPr id="2" name="Imagem 1">
          <a:extLst>
            <a:ext uri="{FF2B5EF4-FFF2-40B4-BE49-F238E27FC236}">
              <a16:creationId xmlns:a16="http://schemas.microsoft.com/office/drawing/2014/main" id="{00000000-0008-0000-0C00-000002000000}"/>
            </a:ext>
          </a:extLst>
        </xdr:cNvPr>
        <xdr:cNvPicPr>
          <a:picLocks noChangeAspect="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brightnessContrast bright="20000" contrast="20000"/>
                  </a14:imgEffect>
                </a14:imgLayer>
              </a14:imgProps>
            </a:ext>
            <a:ext uri="{28A0092B-C50C-407E-A947-70E740481C1C}">
              <a14:useLocalDpi xmlns:a14="http://schemas.microsoft.com/office/drawing/2010/main" val="0"/>
            </a:ext>
          </a:extLst>
        </a:blip>
        <a:stretch>
          <a:fillRect/>
        </a:stretch>
      </xdr:blipFill>
      <xdr:spPr>
        <a:xfrm>
          <a:off x="4097722" y="175260"/>
          <a:ext cx="2157018" cy="79413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11</xdr:col>
      <xdr:colOff>274176</xdr:colOff>
      <xdr:row>1</xdr:row>
      <xdr:rowOff>98443</xdr:rowOff>
    </xdr:from>
    <xdr:to>
      <xdr:col>14</xdr:col>
      <xdr:colOff>18191</xdr:colOff>
      <xdr:row>1</xdr:row>
      <xdr:rowOff>719666</xdr:rowOff>
    </xdr:to>
    <xdr:pic>
      <xdr:nvPicPr>
        <xdr:cNvPr id="2" name="Imagem 1">
          <a:extLst>
            <a:ext uri="{FF2B5EF4-FFF2-40B4-BE49-F238E27FC236}">
              <a16:creationId xmlns:a16="http://schemas.microsoft.com/office/drawing/2014/main" id="{00000000-0008-0000-0D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3939396" y="273703"/>
          <a:ext cx="2449115" cy="621223"/>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36287</xdr:colOff>
      <xdr:row>0</xdr:row>
      <xdr:rowOff>67651</xdr:rowOff>
    </xdr:from>
    <xdr:to>
      <xdr:col>1</xdr:col>
      <xdr:colOff>1306286</xdr:colOff>
      <xdr:row>2</xdr:row>
      <xdr:rowOff>83327</xdr:rowOff>
    </xdr:to>
    <xdr:pic>
      <xdr:nvPicPr>
        <xdr:cNvPr id="2" name="Imagem 1">
          <a:extLst>
            <a:ext uri="{FF2B5EF4-FFF2-40B4-BE49-F238E27FC236}">
              <a16:creationId xmlns:a16="http://schemas.microsoft.com/office/drawing/2014/main" id="{00000000-0008-0000-0E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295367" y="67651"/>
          <a:ext cx="1269999" cy="320476"/>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absoluteAnchor>
    <xdr:pos x="1672164" y="588430"/>
    <xdr:ext cx="1252361" cy="299317"/>
    <xdr:sp macro="" textlink="">
      <xdr:nvSpPr>
        <xdr:cNvPr id="2" name="Retângulo 1">
          <a:hlinkClick xmlns:r="http://schemas.openxmlformats.org/officeDocument/2006/relationships" r:id="rId1"/>
          <a:extLst>
            <a:ext uri="{FF2B5EF4-FFF2-40B4-BE49-F238E27FC236}">
              <a16:creationId xmlns:a16="http://schemas.microsoft.com/office/drawing/2014/main" id="{00000000-0008-0000-1000-000002000000}"/>
            </a:ext>
          </a:extLst>
        </xdr:cNvPr>
        <xdr:cNvSpPr/>
      </xdr:nvSpPr>
      <xdr:spPr>
        <a:xfrm>
          <a:off x="1672164" y="588430"/>
          <a:ext cx="1252361" cy="29931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100" b="1">
              <a:solidFill>
                <a:schemeClr val="tx1">
                  <a:lumMod val="75000"/>
                  <a:lumOff val="25000"/>
                </a:schemeClr>
              </a:solidFill>
            </a:rPr>
            <a:t>VIABILIDADE</a:t>
          </a:r>
        </a:p>
      </xdr:txBody>
    </xdr:sp>
    <xdr:clientData/>
  </xdr:absoluteAnchor>
  <xdr:absoluteAnchor>
    <xdr:pos x="2939342" y="582081"/>
    <xdr:ext cx="1266473" cy="299317"/>
    <xdr:sp macro="" textlink="">
      <xdr:nvSpPr>
        <xdr:cNvPr id="3" name="Retângulo 2">
          <a:hlinkClick xmlns:r="http://schemas.openxmlformats.org/officeDocument/2006/relationships" r:id="rId2"/>
          <a:extLst>
            <a:ext uri="{FF2B5EF4-FFF2-40B4-BE49-F238E27FC236}">
              <a16:creationId xmlns:a16="http://schemas.microsoft.com/office/drawing/2014/main" id="{00000000-0008-0000-1000-000003000000}"/>
            </a:ext>
          </a:extLst>
        </xdr:cNvPr>
        <xdr:cNvSpPr/>
      </xdr:nvSpPr>
      <xdr:spPr>
        <a:xfrm>
          <a:off x="2939342" y="582081"/>
          <a:ext cx="1266473" cy="29931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100" b="1">
              <a:solidFill>
                <a:schemeClr val="bg1"/>
              </a:solidFill>
            </a:rPr>
            <a:t>DISPONIBILIDADE</a:t>
          </a:r>
        </a:p>
      </xdr:txBody>
    </xdr:sp>
    <xdr:clientData/>
  </xdr:absoluteAnchor>
  <xdr:twoCellAnchor>
    <xdr:from>
      <xdr:col>5</xdr:col>
      <xdr:colOff>42335</xdr:colOff>
      <xdr:row>4</xdr:row>
      <xdr:rowOff>21166</xdr:rowOff>
    </xdr:from>
    <xdr:to>
      <xdr:col>16</xdr:col>
      <xdr:colOff>709085</xdr:colOff>
      <xdr:row>8</xdr:row>
      <xdr:rowOff>5292</xdr:rowOff>
    </xdr:to>
    <xdr:graphicFrame macro="">
      <xdr:nvGraphicFramePr>
        <xdr:cNvPr id="4" name="Gráfico 3">
          <a:extLst>
            <a:ext uri="{FF2B5EF4-FFF2-40B4-BE49-F238E27FC236}">
              <a16:creationId xmlns:a16="http://schemas.microsoft.com/office/drawing/2014/main" id="{00000000-0008-0000-10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42333</xdr:colOff>
      <xdr:row>10</xdr:row>
      <xdr:rowOff>14816</xdr:rowOff>
    </xdr:from>
    <xdr:to>
      <xdr:col>16</xdr:col>
      <xdr:colOff>687917</xdr:colOff>
      <xdr:row>13</xdr:row>
      <xdr:rowOff>637116</xdr:rowOff>
    </xdr:to>
    <xdr:graphicFrame macro="">
      <xdr:nvGraphicFramePr>
        <xdr:cNvPr id="5" name="Gráfico 4">
          <a:extLst>
            <a:ext uri="{FF2B5EF4-FFF2-40B4-BE49-F238E27FC236}">
              <a16:creationId xmlns:a16="http://schemas.microsoft.com/office/drawing/2014/main" id="{00000000-0008-0000-10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absoluteAnchor>
    <xdr:pos x="4198759" y="582081"/>
    <xdr:ext cx="1255889" cy="299317"/>
    <xdr:sp macro="" textlink="">
      <xdr:nvSpPr>
        <xdr:cNvPr id="6" name="Retângulo 5">
          <a:hlinkClick xmlns:r="http://schemas.openxmlformats.org/officeDocument/2006/relationships" r:id="rId5"/>
          <a:extLst>
            <a:ext uri="{FF2B5EF4-FFF2-40B4-BE49-F238E27FC236}">
              <a16:creationId xmlns:a16="http://schemas.microsoft.com/office/drawing/2014/main" id="{00000000-0008-0000-1000-000006000000}"/>
            </a:ext>
          </a:extLst>
        </xdr:cNvPr>
        <xdr:cNvSpPr/>
      </xdr:nvSpPr>
      <xdr:spPr>
        <a:xfrm>
          <a:off x="4198759" y="582081"/>
          <a:ext cx="1255889" cy="29931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100" b="1">
              <a:solidFill>
                <a:schemeClr val="bg1"/>
              </a:solidFill>
            </a:rPr>
            <a:t>PROJEÇÕES</a:t>
          </a:r>
        </a:p>
      </xdr:txBody>
    </xdr:sp>
    <xdr:clientData/>
  </xdr:absoluteAnchor>
  <xdr:absoluteAnchor>
    <xdr:pos x="5447593" y="582081"/>
    <xdr:ext cx="1255889" cy="299317"/>
    <xdr:sp macro="" textlink="">
      <xdr:nvSpPr>
        <xdr:cNvPr id="7" name="Retângulo 6">
          <a:hlinkClick xmlns:r="http://schemas.openxmlformats.org/officeDocument/2006/relationships" r:id="rId6"/>
          <a:extLst>
            <a:ext uri="{FF2B5EF4-FFF2-40B4-BE49-F238E27FC236}">
              <a16:creationId xmlns:a16="http://schemas.microsoft.com/office/drawing/2014/main" id="{00000000-0008-0000-1000-000007000000}"/>
            </a:ext>
          </a:extLst>
        </xdr:cNvPr>
        <xdr:cNvSpPr/>
      </xdr:nvSpPr>
      <xdr:spPr>
        <a:xfrm>
          <a:off x="5447593" y="582081"/>
          <a:ext cx="1255889" cy="29931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100" b="1">
              <a:solidFill>
                <a:schemeClr val="bg1"/>
              </a:solidFill>
            </a:rPr>
            <a:t>CENÁRIOS</a:t>
          </a:r>
        </a:p>
      </xdr:txBody>
    </xdr:sp>
    <xdr:clientData/>
  </xdr:absoluteAnchor>
  <xdr:absoluteAnchor>
    <xdr:pos x="6696426" y="582081"/>
    <xdr:ext cx="1255889" cy="299317"/>
    <xdr:sp macro="" textlink="">
      <xdr:nvSpPr>
        <xdr:cNvPr id="8" name="Retângulo 7">
          <a:hlinkClick xmlns:r="http://schemas.openxmlformats.org/officeDocument/2006/relationships" r:id="rId7"/>
          <a:extLst>
            <a:ext uri="{FF2B5EF4-FFF2-40B4-BE49-F238E27FC236}">
              <a16:creationId xmlns:a16="http://schemas.microsoft.com/office/drawing/2014/main" id="{00000000-0008-0000-1000-000008000000}"/>
            </a:ext>
          </a:extLst>
        </xdr:cNvPr>
        <xdr:cNvSpPr/>
      </xdr:nvSpPr>
      <xdr:spPr>
        <a:xfrm>
          <a:off x="6696426" y="582081"/>
          <a:ext cx="1255889" cy="29931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100" b="1">
              <a:solidFill>
                <a:schemeClr val="bg1"/>
              </a:solidFill>
            </a:rPr>
            <a:t>FINANCEIRO</a:t>
          </a:r>
        </a:p>
      </xdr:txBody>
    </xdr:sp>
    <xdr:clientData/>
  </xdr:absoluteAnchor>
  <xdr:twoCellAnchor editAs="absolute">
    <xdr:from>
      <xdr:col>7</xdr:col>
      <xdr:colOff>387349</xdr:colOff>
      <xdr:row>0</xdr:row>
      <xdr:rowOff>0</xdr:rowOff>
    </xdr:from>
    <xdr:to>
      <xdr:col>8</xdr:col>
      <xdr:colOff>592664</xdr:colOff>
      <xdr:row>1</xdr:row>
      <xdr:rowOff>2910</xdr:rowOff>
    </xdr:to>
    <xdr:sp macro="" textlink="">
      <xdr:nvSpPr>
        <xdr:cNvPr id="13" name="Retângulo 12">
          <a:hlinkClick xmlns:r="http://schemas.openxmlformats.org/officeDocument/2006/relationships" r:id="rId1"/>
          <a:extLst>
            <a:ext uri="{FF2B5EF4-FFF2-40B4-BE49-F238E27FC236}">
              <a16:creationId xmlns:a16="http://schemas.microsoft.com/office/drawing/2014/main" id="{00000000-0008-0000-1000-00000D000000}"/>
            </a:ext>
          </a:extLst>
        </xdr:cNvPr>
        <xdr:cNvSpPr>
          <a:spLocks/>
        </xdr:cNvSpPr>
      </xdr:nvSpPr>
      <xdr:spPr>
        <a:xfrm>
          <a:off x="5584189" y="0"/>
          <a:ext cx="1043515" cy="498210"/>
        </a:xfrm>
        <a:prstGeom prst="rect">
          <a:avLst/>
        </a:prstGeom>
        <a:solidFill>
          <a:srgbClr val="92BA1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100" b="1"/>
            <a:t>DASHBOARDS</a:t>
          </a:r>
        </a:p>
      </xdr:txBody>
    </xdr:sp>
    <xdr:clientData/>
  </xdr:twoCellAnchor>
  <xdr:twoCellAnchor editAs="oneCell">
    <xdr:from>
      <xdr:col>1</xdr:col>
      <xdr:colOff>59266</xdr:colOff>
      <xdr:row>0</xdr:row>
      <xdr:rowOff>76200</xdr:rowOff>
    </xdr:from>
    <xdr:to>
      <xdr:col>3</xdr:col>
      <xdr:colOff>624417</xdr:colOff>
      <xdr:row>1</xdr:row>
      <xdr:rowOff>33867</xdr:rowOff>
    </xdr:to>
    <xdr:pic>
      <xdr:nvPicPr>
        <xdr:cNvPr id="14" name="Imagem 13">
          <a:extLst>
            <a:ext uri="{FF2B5EF4-FFF2-40B4-BE49-F238E27FC236}">
              <a16:creationId xmlns:a16="http://schemas.microsoft.com/office/drawing/2014/main" id="{00000000-0008-0000-1000-00000E00000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xdr:blipFill>
      <xdr:spPr bwMode="auto">
        <a:xfrm>
          <a:off x="219286" y="76200"/>
          <a:ext cx="1121411" cy="45296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2</xdr:col>
      <xdr:colOff>31750</xdr:colOff>
      <xdr:row>7</xdr:row>
      <xdr:rowOff>42334</xdr:rowOff>
    </xdr:from>
    <xdr:to>
      <xdr:col>13</xdr:col>
      <xdr:colOff>1</xdr:colOff>
      <xdr:row>12</xdr:row>
      <xdr:rowOff>530224</xdr:rowOff>
    </xdr:to>
    <xdr:graphicFrame macro="">
      <xdr:nvGraphicFramePr>
        <xdr:cNvPr id="2" name="Gráfico 1">
          <a:extLst>
            <a:ext uri="{FF2B5EF4-FFF2-40B4-BE49-F238E27FC236}">
              <a16:creationId xmlns:a16="http://schemas.microsoft.com/office/drawing/2014/main" id="{00000000-0008-0000-1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absoluteAnchor>
    <xdr:pos x="1672170" y="588430"/>
    <xdr:ext cx="1252361" cy="299317"/>
    <xdr:sp macro="" textlink="">
      <xdr:nvSpPr>
        <xdr:cNvPr id="3" name="Retângulo 2">
          <a:hlinkClick xmlns:r="http://schemas.openxmlformats.org/officeDocument/2006/relationships" r:id="rId2"/>
          <a:extLst>
            <a:ext uri="{FF2B5EF4-FFF2-40B4-BE49-F238E27FC236}">
              <a16:creationId xmlns:a16="http://schemas.microsoft.com/office/drawing/2014/main" id="{00000000-0008-0000-1100-000003000000}"/>
            </a:ext>
          </a:extLst>
        </xdr:cNvPr>
        <xdr:cNvSpPr/>
      </xdr:nvSpPr>
      <xdr:spPr>
        <a:xfrm>
          <a:off x="1672170" y="588430"/>
          <a:ext cx="1252361" cy="29931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100" b="1">
              <a:solidFill>
                <a:schemeClr val="bg1"/>
              </a:solidFill>
            </a:rPr>
            <a:t>VIABILIDADE</a:t>
          </a:r>
        </a:p>
      </xdr:txBody>
    </xdr:sp>
    <xdr:clientData/>
  </xdr:absoluteAnchor>
  <xdr:absoluteAnchor>
    <xdr:pos x="2939348" y="582081"/>
    <xdr:ext cx="1266473" cy="299317"/>
    <xdr:sp macro="" textlink="">
      <xdr:nvSpPr>
        <xdr:cNvPr id="4" name="Retângulo 3">
          <a:hlinkClick xmlns:r="http://schemas.openxmlformats.org/officeDocument/2006/relationships" r:id="rId3"/>
          <a:extLst>
            <a:ext uri="{FF2B5EF4-FFF2-40B4-BE49-F238E27FC236}">
              <a16:creationId xmlns:a16="http://schemas.microsoft.com/office/drawing/2014/main" id="{00000000-0008-0000-1100-000004000000}"/>
            </a:ext>
          </a:extLst>
        </xdr:cNvPr>
        <xdr:cNvSpPr/>
      </xdr:nvSpPr>
      <xdr:spPr>
        <a:xfrm>
          <a:off x="2939348" y="582081"/>
          <a:ext cx="1266473" cy="29931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100" b="1">
              <a:solidFill>
                <a:schemeClr val="tx1">
                  <a:lumMod val="75000"/>
                  <a:lumOff val="25000"/>
                </a:schemeClr>
              </a:solidFill>
            </a:rPr>
            <a:t>DISPONIBILIDADE</a:t>
          </a:r>
        </a:p>
      </xdr:txBody>
    </xdr:sp>
    <xdr:clientData/>
  </xdr:absoluteAnchor>
  <xdr:absoluteAnchor>
    <xdr:pos x="4198765" y="582081"/>
    <xdr:ext cx="1255889" cy="299317"/>
    <xdr:sp macro="" textlink="">
      <xdr:nvSpPr>
        <xdr:cNvPr id="5" name="Retângulo 4">
          <a:hlinkClick xmlns:r="http://schemas.openxmlformats.org/officeDocument/2006/relationships" r:id="rId4"/>
          <a:extLst>
            <a:ext uri="{FF2B5EF4-FFF2-40B4-BE49-F238E27FC236}">
              <a16:creationId xmlns:a16="http://schemas.microsoft.com/office/drawing/2014/main" id="{00000000-0008-0000-1100-000005000000}"/>
            </a:ext>
          </a:extLst>
        </xdr:cNvPr>
        <xdr:cNvSpPr/>
      </xdr:nvSpPr>
      <xdr:spPr>
        <a:xfrm>
          <a:off x="4198765" y="582081"/>
          <a:ext cx="1255889" cy="29931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100" b="1">
              <a:solidFill>
                <a:schemeClr val="bg1"/>
              </a:solidFill>
            </a:rPr>
            <a:t>PROJEÇÕES</a:t>
          </a:r>
        </a:p>
      </xdr:txBody>
    </xdr:sp>
    <xdr:clientData/>
  </xdr:absoluteAnchor>
  <xdr:absoluteAnchor>
    <xdr:pos x="5447599" y="582081"/>
    <xdr:ext cx="1255889" cy="299317"/>
    <xdr:sp macro="" textlink="">
      <xdr:nvSpPr>
        <xdr:cNvPr id="6" name="Retângulo 5">
          <a:hlinkClick xmlns:r="http://schemas.openxmlformats.org/officeDocument/2006/relationships" r:id="rId5"/>
          <a:extLst>
            <a:ext uri="{FF2B5EF4-FFF2-40B4-BE49-F238E27FC236}">
              <a16:creationId xmlns:a16="http://schemas.microsoft.com/office/drawing/2014/main" id="{00000000-0008-0000-1100-000006000000}"/>
            </a:ext>
          </a:extLst>
        </xdr:cNvPr>
        <xdr:cNvSpPr/>
      </xdr:nvSpPr>
      <xdr:spPr>
        <a:xfrm>
          <a:off x="5447599" y="582081"/>
          <a:ext cx="1255889" cy="29931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100" b="1">
              <a:solidFill>
                <a:schemeClr val="bg1"/>
              </a:solidFill>
            </a:rPr>
            <a:t>CENÁRIOS</a:t>
          </a:r>
        </a:p>
      </xdr:txBody>
    </xdr:sp>
    <xdr:clientData/>
  </xdr:absoluteAnchor>
  <xdr:absoluteAnchor>
    <xdr:pos x="6696432" y="582081"/>
    <xdr:ext cx="1255889" cy="299317"/>
    <xdr:sp macro="" textlink="">
      <xdr:nvSpPr>
        <xdr:cNvPr id="7" name="Retângulo 6">
          <a:hlinkClick xmlns:r="http://schemas.openxmlformats.org/officeDocument/2006/relationships" r:id="rId6"/>
          <a:extLst>
            <a:ext uri="{FF2B5EF4-FFF2-40B4-BE49-F238E27FC236}">
              <a16:creationId xmlns:a16="http://schemas.microsoft.com/office/drawing/2014/main" id="{00000000-0008-0000-1100-000007000000}"/>
            </a:ext>
          </a:extLst>
        </xdr:cNvPr>
        <xdr:cNvSpPr/>
      </xdr:nvSpPr>
      <xdr:spPr>
        <a:xfrm>
          <a:off x="6696432" y="582081"/>
          <a:ext cx="1255889" cy="29931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100" b="1">
              <a:solidFill>
                <a:schemeClr val="bg1"/>
              </a:solidFill>
            </a:rPr>
            <a:t>FINANCEIRO</a:t>
          </a:r>
        </a:p>
      </xdr:txBody>
    </xdr:sp>
    <xdr:clientData/>
  </xdr:absoluteAnchor>
  <xdr:twoCellAnchor editAs="absolute">
    <xdr:from>
      <xdr:col>6</xdr:col>
      <xdr:colOff>270932</xdr:colOff>
      <xdr:row>0</xdr:row>
      <xdr:rowOff>0</xdr:rowOff>
    </xdr:from>
    <xdr:to>
      <xdr:col>6</xdr:col>
      <xdr:colOff>1312331</xdr:colOff>
      <xdr:row>1</xdr:row>
      <xdr:rowOff>2910</xdr:rowOff>
    </xdr:to>
    <xdr:sp macro="" textlink="">
      <xdr:nvSpPr>
        <xdr:cNvPr id="12" name="Retângulo 11">
          <a:hlinkClick xmlns:r="http://schemas.openxmlformats.org/officeDocument/2006/relationships" r:id="rId2"/>
          <a:extLst>
            <a:ext uri="{FF2B5EF4-FFF2-40B4-BE49-F238E27FC236}">
              <a16:creationId xmlns:a16="http://schemas.microsoft.com/office/drawing/2014/main" id="{00000000-0008-0000-1100-00000C000000}"/>
            </a:ext>
          </a:extLst>
        </xdr:cNvPr>
        <xdr:cNvSpPr>
          <a:spLocks/>
        </xdr:cNvSpPr>
      </xdr:nvSpPr>
      <xdr:spPr>
        <a:xfrm>
          <a:off x="5566832" y="0"/>
          <a:ext cx="1041399" cy="498210"/>
        </a:xfrm>
        <a:prstGeom prst="rect">
          <a:avLst/>
        </a:prstGeom>
        <a:solidFill>
          <a:srgbClr val="92BA1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100" b="1"/>
            <a:t>DASHBOARDS</a:t>
          </a:r>
        </a:p>
      </xdr:txBody>
    </xdr:sp>
    <xdr:clientData/>
  </xdr:twoCellAnchor>
  <xdr:twoCellAnchor editAs="oneCell">
    <xdr:from>
      <xdr:col>1</xdr:col>
      <xdr:colOff>93133</xdr:colOff>
      <xdr:row>0</xdr:row>
      <xdr:rowOff>76200</xdr:rowOff>
    </xdr:from>
    <xdr:to>
      <xdr:col>2</xdr:col>
      <xdr:colOff>1127833</xdr:colOff>
      <xdr:row>1</xdr:row>
      <xdr:rowOff>42333</xdr:rowOff>
    </xdr:to>
    <xdr:pic>
      <xdr:nvPicPr>
        <xdr:cNvPr id="13" name="Imagem 12">
          <a:extLst>
            <a:ext uri="{FF2B5EF4-FFF2-40B4-BE49-F238E27FC236}">
              <a16:creationId xmlns:a16="http://schemas.microsoft.com/office/drawing/2014/main" id="{00000000-0008-0000-1100-00000D00000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xdr:blipFill>
      <xdr:spPr bwMode="auto">
        <a:xfrm>
          <a:off x="253153" y="76200"/>
          <a:ext cx="1141380" cy="46143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2</xdr:col>
          <xdr:colOff>165100</xdr:colOff>
          <xdr:row>3</xdr:row>
          <xdr:rowOff>63500</xdr:rowOff>
        </xdr:from>
        <xdr:to>
          <xdr:col>3</xdr:col>
          <xdr:colOff>215900</xdr:colOff>
          <xdr:row>3</xdr:row>
          <xdr:rowOff>368300</xdr:rowOff>
        </xdr:to>
        <xdr:sp macro="" textlink="">
          <xdr:nvSpPr>
            <xdr:cNvPr id="20481" name="Drop Down 1" hidden="1">
              <a:extLst>
                <a:ext uri="{63B3BB69-23CF-44E3-9099-C40C66FF867C}">
                  <a14:compatExt spid="_x0000_s20481"/>
                </a:ext>
                <a:ext uri="{FF2B5EF4-FFF2-40B4-BE49-F238E27FC236}">
                  <a16:creationId xmlns:a16="http://schemas.microsoft.com/office/drawing/2014/main" id="{00000000-0008-0000-1200-0000015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2</xdr:col>
      <xdr:colOff>0</xdr:colOff>
      <xdr:row>9</xdr:row>
      <xdr:rowOff>31750</xdr:rowOff>
    </xdr:from>
    <xdr:to>
      <xdr:col>5</xdr:col>
      <xdr:colOff>952500</xdr:colOff>
      <xdr:row>15</xdr:row>
      <xdr:rowOff>0</xdr:rowOff>
    </xdr:to>
    <xdr:graphicFrame macro="">
      <xdr:nvGraphicFramePr>
        <xdr:cNvPr id="3" name="Gráfico 2">
          <a:extLst>
            <a:ext uri="{FF2B5EF4-FFF2-40B4-BE49-F238E27FC236}">
              <a16:creationId xmlns:a16="http://schemas.microsoft.com/office/drawing/2014/main" id="{00000000-0008-0000-12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1042459</xdr:colOff>
      <xdr:row>9</xdr:row>
      <xdr:rowOff>31752</xdr:rowOff>
    </xdr:from>
    <xdr:to>
      <xdr:col>9</xdr:col>
      <xdr:colOff>481543</xdr:colOff>
      <xdr:row>14</xdr:row>
      <xdr:rowOff>285750</xdr:rowOff>
    </xdr:to>
    <xdr:graphicFrame macro="">
      <xdr:nvGraphicFramePr>
        <xdr:cNvPr id="4" name="Gráfico 3">
          <a:extLst>
            <a:ext uri="{FF2B5EF4-FFF2-40B4-BE49-F238E27FC236}">
              <a16:creationId xmlns:a16="http://schemas.microsoft.com/office/drawing/2014/main" id="{00000000-0008-0000-12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582085</xdr:colOff>
      <xdr:row>9</xdr:row>
      <xdr:rowOff>21166</xdr:rowOff>
    </xdr:from>
    <xdr:to>
      <xdr:col>13</xdr:col>
      <xdr:colOff>21169</xdr:colOff>
      <xdr:row>14</xdr:row>
      <xdr:rowOff>285750</xdr:rowOff>
    </xdr:to>
    <xdr:graphicFrame macro="">
      <xdr:nvGraphicFramePr>
        <xdr:cNvPr id="5" name="Gráfico 4">
          <a:extLst>
            <a:ext uri="{FF2B5EF4-FFF2-40B4-BE49-F238E27FC236}">
              <a16:creationId xmlns:a16="http://schemas.microsoft.com/office/drawing/2014/main" id="{00000000-0008-0000-12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absoluteAnchor>
    <xdr:pos x="1672170" y="588430"/>
    <xdr:ext cx="1252361" cy="299317"/>
    <xdr:sp macro="" textlink="">
      <xdr:nvSpPr>
        <xdr:cNvPr id="6" name="Retângulo 5">
          <a:hlinkClick xmlns:r="http://schemas.openxmlformats.org/officeDocument/2006/relationships" r:id="rId4"/>
          <a:extLst>
            <a:ext uri="{FF2B5EF4-FFF2-40B4-BE49-F238E27FC236}">
              <a16:creationId xmlns:a16="http://schemas.microsoft.com/office/drawing/2014/main" id="{00000000-0008-0000-1200-000006000000}"/>
            </a:ext>
          </a:extLst>
        </xdr:cNvPr>
        <xdr:cNvSpPr/>
      </xdr:nvSpPr>
      <xdr:spPr>
        <a:xfrm>
          <a:off x="1672170" y="588430"/>
          <a:ext cx="1252361" cy="29931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100" b="1">
              <a:solidFill>
                <a:schemeClr val="bg1"/>
              </a:solidFill>
            </a:rPr>
            <a:t>VIABILIDADE</a:t>
          </a:r>
        </a:p>
      </xdr:txBody>
    </xdr:sp>
    <xdr:clientData/>
  </xdr:absoluteAnchor>
  <xdr:absoluteAnchor>
    <xdr:pos x="2939348" y="582081"/>
    <xdr:ext cx="1266473" cy="299317"/>
    <xdr:sp macro="" textlink="">
      <xdr:nvSpPr>
        <xdr:cNvPr id="7" name="Retângulo 6">
          <a:hlinkClick xmlns:r="http://schemas.openxmlformats.org/officeDocument/2006/relationships" r:id="rId5"/>
          <a:extLst>
            <a:ext uri="{FF2B5EF4-FFF2-40B4-BE49-F238E27FC236}">
              <a16:creationId xmlns:a16="http://schemas.microsoft.com/office/drawing/2014/main" id="{00000000-0008-0000-1200-000007000000}"/>
            </a:ext>
          </a:extLst>
        </xdr:cNvPr>
        <xdr:cNvSpPr/>
      </xdr:nvSpPr>
      <xdr:spPr>
        <a:xfrm>
          <a:off x="2939348" y="582081"/>
          <a:ext cx="1266473" cy="29931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100" b="1">
              <a:solidFill>
                <a:schemeClr val="bg1"/>
              </a:solidFill>
            </a:rPr>
            <a:t>DISPONIBILIDADE</a:t>
          </a:r>
        </a:p>
      </xdr:txBody>
    </xdr:sp>
    <xdr:clientData/>
  </xdr:absoluteAnchor>
  <xdr:absoluteAnchor>
    <xdr:pos x="4198765" y="582081"/>
    <xdr:ext cx="1255889" cy="299317"/>
    <xdr:sp macro="" textlink="">
      <xdr:nvSpPr>
        <xdr:cNvPr id="8" name="Retângulo 7">
          <a:hlinkClick xmlns:r="http://schemas.openxmlformats.org/officeDocument/2006/relationships" r:id="rId6"/>
          <a:extLst>
            <a:ext uri="{FF2B5EF4-FFF2-40B4-BE49-F238E27FC236}">
              <a16:creationId xmlns:a16="http://schemas.microsoft.com/office/drawing/2014/main" id="{00000000-0008-0000-1200-000008000000}"/>
            </a:ext>
          </a:extLst>
        </xdr:cNvPr>
        <xdr:cNvSpPr/>
      </xdr:nvSpPr>
      <xdr:spPr>
        <a:xfrm>
          <a:off x="4198765" y="582081"/>
          <a:ext cx="1255889" cy="29931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100" b="1">
              <a:solidFill>
                <a:schemeClr val="tx1">
                  <a:lumMod val="75000"/>
                  <a:lumOff val="25000"/>
                </a:schemeClr>
              </a:solidFill>
            </a:rPr>
            <a:t>PROJEÇÕES</a:t>
          </a:r>
        </a:p>
      </xdr:txBody>
    </xdr:sp>
    <xdr:clientData/>
  </xdr:absoluteAnchor>
  <xdr:absoluteAnchor>
    <xdr:pos x="5447599" y="582081"/>
    <xdr:ext cx="1255889" cy="299317"/>
    <xdr:sp macro="" textlink="">
      <xdr:nvSpPr>
        <xdr:cNvPr id="9" name="Retângulo 8">
          <a:hlinkClick xmlns:r="http://schemas.openxmlformats.org/officeDocument/2006/relationships" r:id="rId7"/>
          <a:extLst>
            <a:ext uri="{FF2B5EF4-FFF2-40B4-BE49-F238E27FC236}">
              <a16:creationId xmlns:a16="http://schemas.microsoft.com/office/drawing/2014/main" id="{00000000-0008-0000-1200-000009000000}"/>
            </a:ext>
          </a:extLst>
        </xdr:cNvPr>
        <xdr:cNvSpPr/>
      </xdr:nvSpPr>
      <xdr:spPr>
        <a:xfrm>
          <a:off x="5447599" y="582081"/>
          <a:ext cx="1255889" cy="29931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100" b="1">
              <a:solidFill>
                <a:schemeClr val="bg1"/>
              </a:solidFill>
            </a:rPr>
            <a:t>CENÁRIOS</a:t>
          </a:r>
        </a:p>
      </xdr:txBody>
    </xdr:sp>
    <xdr:clientData/>
  </xdr:absoluteAnchor>
  <xdr:absoluteAnchor>
    <xdr:pos x="6696432" y="582081"/>
    <xdr:ext cx="1255889" cy="299317"/>
    <xdr:sp macro="" textlink="">
      <xdr:nvSpPr>
        <xdr:cNvPr id="10" name="Retângulo 9">
          <a:hlinkClick xmlns:r="http://schemas.openxmlformats.org/officeDocument/2006/relationships" r:id="rId8"/>
          <a:extLst>
            <a:ext uri="{FF2B5EF4-FFF2-40B4-BE49-F238E27FC236}">
              <a16:creationId xmlns:a16="http://schemas.microsoft.com/office/drawing/2014/main" id="{00000000-0008-0000-1200-00000A000000}"/>
            </a:ext>
          </a:extLst>
        </xdr:cNvPr>
        <xdr:cNvSpPr/>
      </xdr:nvSpPr>
      <xdr:spPr>
        <a:xfrm>
          <a:off x="6696432" y="582081"/>
          <a:ext cx="1255889" cy="29931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100" b="1">
              <a:solidFill>
                <a:schemeClr val="bg1"/>
              </a:solidFill>
            </a:rPr>
            <a:t>FINANCEIRO</a:t>
          </a:r>
        </a:p>
      </xdr:txBody>
    </xdr:sp>
    <xdr:clientData/>
  </xdr:absoluteAnchor>
  <xdr:twoCellAnchor editAs="absolute">
    <xdr:from>
      <xdr:col>6</xdr:col>
      <xdr:colOff>323849</xdr:colOff>
      <xdr:row>0</xdr:row>
      <xdr:rowOff>0</xdr:rowOff>
    </xdr:from>
    <xdr:to>
      <xdr:col>6</xdr:col>
      <xdr:colOff>1365248</xdr:colOff>
      <xdr:row>1</xdr:row>
      <xdr:rowOff>2910</xdr:rowOff>
    </xdr:to>
    <xdr:sp macro="" textlink="">
      <xdr:nvSpPr>
        <xdr:cNvPr id="15" name="Retângulo 14">
          <a:hlinkClick xmlns:r="http://schemas.openxmlformats.org/officeDocument/2006/relationships" r:id="rId4"/>
          <a:extLst>
            <a:ext uri="{FF2B5EF4-FFF2-40B4-BE49-F238E27FC236}">
              <a16:creationId xmlns:a16="http://schemas.microsoft.com/office/drawing/2014/main" id="{00000000-0008-0000-1200-00000F000000}"/>
            </a:ext>
          </a:extLst>
        </xdr:cNvPr>
        <xdr:cNvSpPr>
          <a:spLocks/>
        </xdr:cNvSpPr>
      </xdr:nvSpPr>
      <xdr:spPr>
        <a:xfrm>
          <a:off x="5589269" y="0"/>
          <a:ext cx="1041399" cy="498210"/>
        </a:xfrm>
        <a:prstGeom prst="rect">
          <a:avLst/>
        </a:prstGeom>
        <a:solidFill>
          <a:srgbClr val="92BA1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100" b="1"/>
            <a:t>DASHBOARDS</a:t>
          </a:r>
        </a:p>
      </xdr:txBody>
    </xdr:sp>
    <xdr:clientData/>
  </xdr:twoCellAnchor>
  <xdr:twoCellAnchor editAs="oneCell">
    <xdr:from>
      <xdr:col>1</xdr:col>
      <xdr:colOff>8466</xdr:colOff>
      <xdr:row>0</xdr:row>
      <xdr:rowOff>59267</xdr:rowOff>
    </xdr:from>
    <xdr:to>
      <xdr:col>2</xdr:col>
      <xdr:colOff>1084793</xdr:colOff>
      <xdr:row>1</xdr:row>
      <xdr:rowOff>42334</xdr:rowOff>
    </xdr:to>
    <xdr:pic>
      <xdr:nvPicPr>
        <xdr:cNvPr id="16" name="Imagem 15">
          <a:extLst>
            <a:ext uri="{FF2B5EF4-FFF2-40B4-BE49-F238E27FC236}">
              <a16:creationId xmlns:a16="http://schemas.microsoft.com/office/drawing/2014/main" id="{00000000-0008-0000-1200-000010000000}"/>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xdr:blipFill>
      <xdr:spPr bwMode="auto">
        <a:xfrm>
          <a:off x="168486" y="59267"/>
          <a:ext cx="1183007" cy="47836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8</xdr:col>
      <xdr:colOff>21166</xdr:colOff>
      <xdr:row>7</xdr:row>
      <xdr:rowOff>21167</xdr:rowOff>
    </xdr:from>
    <xdr:to>
      <xdr:col>12</xdr:col>
      <xdr:colOff>1481666</xdr:colOff>
      <xdr:row>12</xdr:row>
      <xdr:rowOff>518584</xdr:rowOff>
    </xdr:to>
    <xdr:graphicFrame macro="">
      <xdr:nvGraphicFramePr>
        <xdr:cNvPr id="2" name="Gráfico 1">
          <a:extLst>
            <a:ext uri="{FF2B5EF4-FFF2-40B4-BE49-F238E27FC236}">
              <a16:creationId xmlns:a16="http://schemas.microsoft.com/office/drawing/2014/main" id="{00000000-0008-0000-13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31750</xdr:colOff>
      <xdr:row>7</xdr:row>
      <xdr:rowOff>31749</xdr:rowOff>
    </xdr:from>
    <xdr:to>
      <xdr:col>6</xdr:col>
      <xdr:colOff>1471084</xdr:colOff>
      <xdr:row>12</xdr:row>
      <xdr:rowOff>518020</xdr:rowOff>
    </xdr:to>
    <xdr:graphicFrame macro="">
      <xdr:nvGraphicFramePr>
        <xdr:cNvPr id="3" name="Gráfico 2">
          <a:extLst>
            <a:ext uri="{FF2B5EF4-FFF2-40B4-BE49-F238E27FC236}">
              <a16:creationId xmlns:a16="http://schemas.microsoft.com/office/drawing/2014/main" id="{00000000-0008-0000-1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absoluteAnchor>
    <xdr:pos x="1661584" y="588430"/>
    <xdr:ext cx="1252361" cy="299317"/>
    <xdr:sp macro="" textlink="">
      <xdr:nvSpPr>
        <xdr:cNvPr id="4" name="Retângulo 3">
          <a:hlinkClick xmlns:r="http://schemas.openxmlformats.org/officeDocument/2006/relationships" r:id="rId3"/>
          <a:extLst>
            <a:ext uri="{FF2B5EF4-FFF2-40B4-BE49-F238E27FC236}">
              <a16:creationId xmlns:a16="http://schemas.microsoft.com/office/drawing/2014/main" id="{00000000-0008-0000-1300-000004000000}"/>
            </a:ext>
          </a:extLst>
        </xdr:cNvPr>
        <xdr:cNvSpPr/>
      </xdr:nvSpPr>
      <xdr:spPr>
        <a:xfrm>
          <a:off x="1661584" y="588430"/>
          <a:ext cx="1252361" cy="29931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100" b="1">
              <a:solidFill>
                <a:schemeClr val="bg1"/>
              </a:solidFill>
            </a:rPr>
            <a:t>VIABILIDADE</a:t>
          </a:r>
        </a:p>
      </xdr:txBody>
    </xdr:sp>
    <xdr:clientData/>
  </xdr:absoluteAnchor>
  <xdr:absoluteAnchor>
    <xdr:pos x="2928762" y="582081"/>
    <xdr:ext cx="1266473" cy="299317"/>
    <xdr:sp macro="" textlink="">
      <xdr:nvSpPr>
        <xdr:cNvPr id="5" name="Retângulo 4">
          <a:hlinkClick xmlns:r="http://schemas.openxmlformats.org/officeDocument/2006/relationships" r:id="rId4"/>
          <a:extLst>
            <a:ext uri="{FF2B5EF4-FFF2-40B4-BE49-F238E27FC236}">
              <a16:creationId xmlns:a16="http://schemas.microsoft.com/office/drawing/2014/main" id="{00000000-0008-0000-1300-000005000000}"/>
            </a:ext>
          </a:extLst>
        </xdr:cNvPr>
        <xdr:cNvSpPr/>
      </xdr:nvSpPr>
      <xdr:spPr>
        <a:xfrm>
          <a:off x="2928762" y="582081"/>
          <a:ext cx="1266473" cy="29931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100" b="1">
              <a:solidFill>
                <a:schemeClr val="bg1"/>
              </a:solidFill>
            </a:rPr>
            <a:t>DISPONIBILIDADE</a:t>
          </a:r>
        </a:p>
      </xdr:txBody>
    </xdr:sp>
    <xdr:clientData/>
  </xdr:absoluteAnchor>
  <xdr:absoluteAnchor>
    <xdr:pos x="4188179" y="582081"/>
    <xdr:ext cx="1255889" cy="299317"/>
    <xdr:sp macro="" textlink="">
      <xdr:nvSpPr>
        <xdr:cNvPr id="6" name="Retângulo 5">
          <a:hlinkClick xmlns:r="http://schemas.openxmlformats.org/officeDocument/2006/relationships" r:id="rId5"/>
          <a:extLst>
            <a:ext uri="{FF2B5EF4-FFF2-40B4-BE49-F238E27FC236}">
              <a16:creationId xmlns:a16="http://schemas.microsoft.com/office/drawing/2014/main" id="{00000000-0008-0000-1300-000006000000}"/>
            </a:ext>
          </a:extLst>
        </xdr:cNvPr>
        <xdr:cNvSpPr/>
      </xdr:nvSpPr>
      <xdr:spPr>
        <a:xfrm>
          <a:off x="4188179" y="582081"/>
          <a:ext cx="1255889" cy="29931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100" b="1">
              <a:solidFill>
                <a:schemeClr val="bg1"/>
              </a:solidFill>
            </a:rPr>
            <a:t>PROJEÇÕES</a:t>
          </a:r>
        </a:p>
      </xdr:txBody>
    </xdr:sp>
    <xdr:clientData/>
  </xdr:absoluteAnchor>
  <xdr:absoluteAnchor>
    <xdr:pos x="5437013" y="582081"/>
    <xdr:ext cx="1255889" cy="299317"/>
    <xdr:sp macro="" textlink="">
      <xdr:nvSpPr>
        <xdr:cNvPr id="7" name="Retângulo 6">
          <a:hlinkClick xmlns:r="http://schemas.openxmlformats.org/officeDocument/2006/relationships" r:id="rId6"/>
          <a:extLst>
            <a:ext uri="{FF2B5EF4-FFF2-40B4-BE49-F238E27FC236}">
              <a16:creationId xmlns:a16="http://schemas.microsoft.com/office/drawing/2014/main" id="{00000000-0008-0000-1300-000007000000}"/>
            </a:ext>
          </a:extLst>
        </xdr:cNvPr>
        <xdr:cNvSpPr/>
      </xdr:nvSpPr>
      <xdr:spPr>
        <a:xfrm>
          <a:off x="5437013" y="582081"/>
          <a:ext cx="1255889" cy="29931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100" b="1">
              <a:solidFill>
                <a:schemeClr val="bg1"/>
              </a:solidFill>
            </a:rPr>
            <a:t>CENÁRIOS</a:t>
          </a:r>
        </a:p>
      </xdr:txBody>
    </xdr:sp>
    <xdr:clientData/>
  </xdr:absoluteAnchor>
  <xdr:absoluteAnchor>
    <xdr:pos x="6685846" y="582081"/>
    <xdr:ext cx="1255889" cy="299317"/>
    <xdr:sp macro="" textlink="">
      <xdr:nvSpPr>
        <xdr:cNvPr id="8" name="Retângulo 7">
          <a:hlinkClick xmlns:r="http://schemas.openxmlformats.org/officeDocument/2006/relationships" r:id="rId7"/>
          <a:extLst>
            <a:ext uri="{FF2B5EF4-FFF2-40B4-BE49-F238E27FC236}">
              <a16:creationId xmlns:a16="http://schemas.microsoft.com/office/drawing/2014/main" id="{00000000-0008-0000-1300-000008000000}"/>
            </a:ext>
          </a:extLst>
        </xdr:cNvPr>
        <xdr:cNvSpPr/>
      </xdr:nvSpPr>
      <xdr:spPr>
        <a:xfrm>
          <a:off x="6685846" y="582081"/>
          <a:ext cx="1255889" cy="29931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100" b="1">
              <a:solidFill>
                <a:schemeClr val="tx1">
                  <a:lumMod val="75000"/>
                  <a:lumOff val="25000"/>
                </a:schemeClr>
              </a:solidFill>
            </a:rPr>
            <a:t>FINANCEIRO</a:t>
          </a:r>
        </a:p>
      </xdr:txBody>
    </xdr:sp>
    <xdr:clientData/>
  </xdr:absoluteAnchor>
  <xdr:twoCellAnchor editAs="absolute">
    <xdr:from>
      <xdr:col>6</xdr:col>
      <xdr:colOff>270932</xdr:colOff>
      <xdr:row>0</xdr:row>
      <xdr:rowOff>0</xdr:rowOff>
    </xdr:from>
    <xdr:to>
      <xdr:col>6</xdr:col>
      <xdr:colOff>1312331</xdr:colOff>
      <xdr:row>1</xdr:row>
      <xdr:rowOff>2910</xdr:rowOff>
    </xdr:to>
    <xdr:sp macro="" textlink="">
      <xdr:nvSpPr>
        <xdr:cNvPr id="13" name="Retângulo 12">
          <a:hlinkClick xmlns:r="http://schemas.openxmlformats.org/officeDocument/2006/relationships" r:id="rId3"/>
          <a:extLst>
            <a:ext uri="{FF2B5EF4-FFF2-40B4-BE49-F238E27FC236}">
              <a16:creationId xmlns:a16="http://schemas.microsoft.com/office/drawing/2014/main" id="{00000000-0008-0000-1300-00000D000000}"/>
            </a:ext>
          </a:extLst>
        </xdr:cNvPr>
        <xdr:cNvSpPr>
          <a:spLocks/>
        </xdr:cNvSpPr>
      </xdr:nvSpPr>
      <xdr:spPr>
        <a:xfrm>
          <a:off x="5566832" y="0"/>
          <a:ext cx="1041399" cy="498210"/>
        </a:xfrm>
        <a:prstGeom prst="rect">
          <a:avLst/>
        </a:prstGeom>
        <a:solidFill>
          <a:srgbClr val="92BA1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100" b="1"/>
            <a:t>DASHBOARDS</a:t>
          </a:r>
        </a:p>
      </xdr:txBody>
    </xdr:sp>
    <xdr:clientData/>
  </xdr:twoCellAnchor>
  <xdr:twoCellAnchor editAs="oneCell">
    <xdr:from>
      <xdr:col>1</xdr:col>
      <xdr:colOff>76199</xdr:colOff>
      <xdr:row>0</xdr:row>
      <xdr:rowOff>76200</xdr:rowOff>
    </xdr:from>
    <xdr:to>
      <xdr:col>2</xdr:col>
      <xdr:colOff>1027643</xdr:colOff>
      <xdr:row>1</xdr:row>
      <xdr:rowOff>8467</xdr:rowOff>
    </xdr:to>
    <xdr:pic>
      <xdr:nvPicPr>
        <xdr:cNvPr id="14" name="Imagem 13">
          <a:extLst>
            <a:ext uri="{FF2B5EF4-FFF2-40B4-BE49-F238E27FC236}">
              <a16:creationId xmlns:a16="http://schemas.microsoft.com/office/drawing/2014/main" id="{00000000-0008-0000-1300-00000E00000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xdr:blipFill>
      <xdr:spPr bwMode="auto">
        <a:xfrm>
          <a:off x="236219" y="76200"/>
          <a:ext cx="1058124" cy="42756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6</xdr:col>
      <xdr:colOff>169333</xdr:colOff>
      <xdr:row>4</xdr:row>
      <xdr:rowOff>1</xdr:rowOff>
    </xdr:from>
    <xdr:to>
      <xdr:col>16</xdr:col>
      <xdr:colOff>1016000</xdr:colOff>
      <xdr:row>13</xdr:row>
      <xdr:rowOff>402167</xdr:rowOff>
    </xdr:to>
    <xdr:graphicFrame macro="">
      <xdr:nvGraphicFramePr>
        <xdr:cNvPr id="2" name="Gráfico 1">
          <a:extLst>
            <a:ext uri="{FF2B5EF4-FFF2-40B4-BE49-F238E27FC236}">
              <a16:creationId xmlns:a16="http://schemas.microsoft.com/office/drawing/2014/main" id="{00000000-0008-0000-14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absoluteAnchor>
    <xdr:pos x="1672168" y="588430"/>
    <xdr:ext cx="1252361" cy="299317"/>
    <xdr:sp macro="" textlink="">
      <xdr:nvSpPr>
        <xdr:cNvPr id="3" name="Retângulo 2">
          <a:hlinkClick xmlns:r="http://schemas.openxmlformats.org/officeDocument/2006/relationships" r:id="rId2"/>
          <a:extLst>
            <a:ext uri="{FF2B5EF4-FFF2-40B4-BE49-F238E27FC236}">
              <a16:creationId xmlns:a16="http://schemas.microsoft.com/office/drawing/2014/main" id="{00000000-0008-0000-1400-000003000000}"/>
            </a:ext>
          </a:extLst>
        </xdr:cNvPr>
        <xdr:cNvSpPr/>
      </xdr:nvSpPr>
      <xdr:spPr>
        <a:xfrm>
          <a:off x="1672168" y="588430"/>
          <a:ext cx="1252361" cy="29931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100" b="1">
              <a:solidFill>
                <a:schemeClr val="bg1"/>
              </a:solidFill>
            </a:rPr>
            <a:t>VIABILIDADE</a:t>
          </a:r>
        </a:p>
      </xdr:txBody>
    </xdr:sp>
    <xdr:clientData/>
  </xdr:absoluteAnchor>
  <xdr:absoluteAnchor>
    <xdr:pos x="2939346" y="582081"/>
    <xdr:ext cx="1266473" cy="299317"/>
    <xdr:sp macro="" textlink="">
      <xdr:nvSpPr>
        <xdr:cNvPr id="4" name="Retângulo 3">
          <a:hlinkClick xmlns:r="http://schemas.openxmlformats.org/officeDocument/2006/relationships" r:id="rId3"/>
          <a:extLst>
            <a:ext uri="{FF2B5EF4-FFF2-40B4-BE49-F238E27FC236}">
              <a16:creationId xmlns:a16="http://schemas.microsoft.com/office/drawing/2014/main" id="{00000000-0008-0000-1400-000004000000}"/>
            </a:ext>
          </a:extLst>
        </xdr:cNvPr>
        <xdr:cNvSpPr/>
      </xdr:nvSpPr>
      <xdr:spPr>
        <a:xfrm>
          <a:off x="2939346" y="582081"/>
          <a:ext cx="1266473" cy="29931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100" b="1">
              <a:solidFill>
                <a:schemeClr val="bg1"/>
              </a:solidFill>
            </a:rPr>
            <a:t>DISPONIBILIDADE</a:t>
          </a:r>
        </a:p>
      </xdr:txBody>
    </xdr:sp>
    <xdr:clientData/>
  </xdr:absoluteAnchor>
  <xdr:absoluteAnchor>
    <xdr:pos x="4198763" y="582081"/>
    <xdr:ext cx="1255889" cy="299317"/>
    <xdr:sp macro="" textlink="">
      <xdr:nvSpPr>
        <xdr:cNvPr id="5" name="Retângulo 4">
          <a:hlinkClick xmlns:r="http://schemas.openxmlformats.org/officeDocument/2006/relationships" r:id="rId4"/>
          <a:extLst>
            <a:ext uri="{FF2B5EF4-FFF2-40B4-BE49-F238E27FC236}">
              <a16:creationId xmlns:a16="http://schemas.microsoft.com/office/drawing/2014/main" id="{00000000-0008-0000-1400-000005000000}"/>
            </a:ext>
          </a:extLst>
        </xdr:cNvPr>
        <xdr:cNvSpPr/>
      </xdr:nvSpPr>
      <xdr:spPr>
        <a:xfrm>
          <a:off x="4198763" y="582081"/>
          <a:ext cx="1255889" cy="29931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100" b="1">
              <a:solidFill>
                <a:schemeClr val="bg1"/>
              </a:solidFill>
            </a:rPr>
            <a:t>PROJEÇÕES</a:t>
          </a:r>
        </a:p>
      </xdr:txBody>
    </xdr:sp>
    <xdr:clientData/>
  </xdr:absoluteAnchor>
  <xdr:absoluteAnchor>
    <xdr:pos x="5447597" y="582081"/>
    <xdr:ext cx="1255889" cy="299317"/>
    <xdr:sp macro="" textlink="">
      <xdr:nvSpPr>
        <xdr:cNvPr id="6" name="Retângulo 5">
          <a:hlinkClick xmlns:r="http://schemas.openxmlformats.org/officeDocument/2006/relationships" r:id="rId5"/>
          <a:extLst>
            <a:ext uri="{FF2B5EF4-FFF2-40B4-BE49-F238E27FC236}">
              <a16:creationId xmlns:a16="http://schemas.microsoft.com/office/drawing/2014/main" id="{00000000-0008-0000-1400-000006000000}"/>
            </a:ext>
          </a:extLst>
        </xdr:cNvPr>
        <xdr:cNvSpPr/>
      </xdr:nvSpPr>
      <xdr:spPr>
        <a:xfrm>
          <a:off x="5447597" y="582081"/>
          <a:ext cx="1255889" cy="29931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100" b="1">
              <a:solidFill>
                <a:schemeClr val="tx1">
                  <a:lumMod val="75000"/>
                  <a:lumOff val="25000"/>
                </a:schemeClr>
              </a:solidFill>
            </a:rPr>
            <a:t>CENÁRIOS</a:t>
          </a:r>
        </a:p>
      </xdr:txBody>
    </xdr:sp>
    <xdr:clientData/>
  </xdr:absoluteAnchor>
  <xdr:absoluteAnchor>
    <xdr:pos x="6696430" y="582081"/>
    <xdr:ext cx="1255889" cy="299317"/>
    <xdr:sp macro="" textlink="">
      <xdr:nvSpPr>
        <xdr:cNvPr id="7" name="Retângulo 6">
          <a:hlinkClick xmlns:r="http://schemas.openxmlformats.org/officeDocument/2006/relationships" r:id="rId6"/>
          <a:extLst>
            <a:ext uri="{FF2B5EF4-FFF2-40B4-BE49-F238E27FC236}">
              <a16:creationId xmlns:a16="http://schemas.microsoft.com/office/drawing/2014/main" id="{00000000-0008-0000-1400-000007000000}"/>
            </a:ext>
          </a:extLst>
        </xdr:cNvPr>
        <xdr:cNvSpPr/>
      </xdr:nvSpPr>
      <xdr:spPr>
        <a:xfrm>
          <a:off x="6696430" y="582081"/>
          <a:ext cx="1255889" cy="29931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100" b="1">
              <a:solidFill>
                <a:schemeClr val="bg1"/>
              </a:solidFill>
            </a:rPr>
            <a:t>FINANCEIRO</a:t>
          </a:r>
        </a:p>
      </xdr:txBody>
    </xdr:sp>
    <xdr:clientData/>
  </xdr:absoluteAnchor>
  <xdr:twoCellAnchor editAs="absolute">
    <xdr:from>
      <xdr:col>7</xdr:col>
      <xdr:colOff>101599</xdr:colOff>
      <xdr:row>0</xdr:row>
      <xdr:rowOff>0</xdr:rowOff>
    </xdr:from>
    <xdr:to>
      <xdr:col>8</xdr:col>
      <xdr:colOff>306914</xdr:colOff>
      <xdr:row>1</xdr:row>
      <xdr:rowOff>2910</xdr:rowOff>
    </xdr:to>
    <xdr:sp macro="" textlink="">
      <xdr:nvSpPr>
        <xdr:cNvPr id="12" name="Retângulo 11">
          <a:hlinkClick xmlns:r="http://schemas.openxmlformats.org/officeDocument/2006/relationships" r:id="rId2"/>
          <a:extLst>
            <a:ext uri="{FF2B5EF4-FFF2-40B4-BE49-F238E27FC236}">
              <a16:creationId xmlns:a16="http://schemas.microsoft.com/office/drawing/2014/main" id="{00000000-0008-0000-1400-00000C000000}"/>
            </a:ext>
          </a:extLst>
        </xdr:cNvPr>
        <xdr:cNvSpPr>
          <a:spLocks/>
        </xdr:cNvSpPr>
      </xdr:nvSpPr>
      <xdr:spPr>
        <a:xfrm>
          <a:off x="5557519" y="0"/>
          <a:ext cx="1043515" cy="498210"/>
        </a:xfrm>
        <a:prstGeom prst="rect">
          <a:avLst/>
        </a:prstGeom>
        <a:solidFill>
          <a:srgbClr val="92BA1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100" b="1"/>
            <a:t>DASHBOARDS</a:t>
          </a:r>
        </a:p>
      </xdr:txBody>
    </xdr:sp>
    <xdr:clientData/>
  </xdr:twoCellAnchor>
  <xdr:twoCellAnchor editAs="oneCell">
    <xdr:from>
      <xdr:col>1</xdr:col>
      <xdr:colOff>76199</xdr:colOff>
      <xdr:row>0</xdr:row>
      <xdr:rowOff>76200</xdr:rowOff>
    </xdr:from>
    <xdr:to>
      <xdr:col>2</xdr:col>
      <xdr:colOff>1110899</xdr:colOff>
      <xdr:row>1</xdr:row>
      <xdr:rowOff>42333</xdr:rowOff>
    </xdr:to>
    <xdr:pic>
      <xdr:nvPicPr>
        <xdr:cNvPr id="13" name="Imagem 12">
          <a:extLst>
            <a:ext uri="{FF2B5EF4-FFF2-40B4-BE49-F238E27FC236}">
              <a16:creationId xmlns:a16="http://schemas.microsoft.com/office/drawing/2014/main" id="{00000000-0008-0000-1400-00000D00000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xdr:blipFill>
      <xdr:spPr bwMode="auto">
        <a:xfrm>
          <a:off x="236219" y="76200"/>
          <a:ext cx="1141380" cy="46143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USER/JOAO/PERFIL/BAL.PERFIL.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A:/AREACTR/TRABLOT/Orc2000/Apresent/Cam-2000.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2kiescc09/Publico/DIVERSOS/WINDOWS/TEMP/Veiculos.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2kiescc09/Publico/DIVERSOS/Meus%20documentos/EXCEL/Orcto2000/Orcto99/FEAC.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10.0.0.62/ri-nn/NOVOSNEGOCIOS/NOVOSNEGOCIOS/Green%20Field/Iguatemi%20Bras&#237;lia/BP/BP_SCIBRA_200608_v08_novocenario.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2kiescc09/Publico/DIVERSOS/CONTROLA/Divs_2002/Rel_Ger_2002/Rel_0302.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edujn/Library/Containers/com.microsoft.Excel/Data/Documents/about:blank"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REAL%20ESTATE/GESTAO/Gestao%20do%20Portfolio/Controladoria/Fluxo%20de%20Caixa/Controle%20Budget%20SPEs%20-%20ago-13%20-%20teste.xlsm"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LORRANE/Desktop/Cidade%20Jardim%20III/Cidade%20Jardim/DRE%20Cidade%20Jardim%20III%20Paineiras%20Final.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Users/lauri/OneDrive/&#193;rea%20de%20Trabalho/WATZ/Lopes829_MonaLisa/BP%20e%20Apresenta&#231;oes/BP_Mona%20Lisa_vFS_Construtora_SP_Automat_Version.xlsb"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C:/Users/LORRANE/Desktop/Cidade%20Jardim%20III/Cidade%20Jardim/Planilha%20de%20Estudo%20de%20Viabilidade%20Econ&#244;mica%204.0%20-%203%20anos%20-%20CIDADE%20JARDIM.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DUCAO"/>
    </sheetNames>
    <sheetDataSet>
      <sheetData sheetId="0" refreshError="1">
        <row r="3">
          <cell r="D3" t="str">
            <v xml:space="preserve"> 94/95</v>
          </cell>
          <cell r="E3" t="str">
            <v xml:space="preserve"> 95/96</v>
          </cell>
          <cell r="F3" t="str">
            <v xml:space="preserve"> 96/97</v>
          </cell>
        </row>
        <row r="4">
          <cell r="D4">
            <v>0</v>
          </cell>
          <cell r="E4">
            <v>16878000</v>
          </cell>
          <cell r="F4">
            <v>26794210</v>
          </cell>
        </row>
        <row r="6">
          <cell r="D6">
            <v>60889000</v>
          </cell>
          <cell r="E6">
            <v>43762000</v>
          </cell>
          <cell r="F6">
            <v>25230210</v>
          </cell>
        </row>
        <row r="8">
          <cell r="D8">
            <v>60889000</v>
          </cell>
          <cell r="E8">
            <v>60640000</v>
          </cell>
          <cell r="F8">
            <v>52024420</v>
          </cell>
        </row>
        <row r="11">
          <cell r="D11">
            <v>489821</v>
          </cell>
          <cell r="E11">
            <v>827780</v>
          </cell>
          <cell r="F11">
            <v>1263771</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pa"/>
      <sheetName val="Vendas"/>
      <sheetName val="Receitas"/>
      <sheetName val="Comparativo"/>
      <sheetName val="Base Caixa"/>
      <sheetName val="Despord"/>
      <sheetName val="Invest-Imobil"/>
      <sheetName val="PESSOAL12"/>
      <sheetName val="Pessoal6"/>
      <sheetName val="CASH 2000"/>
      <sheetName val="CASH 1999"/>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spesas Condominiais"/>
      <sheetName val="A"/>
      <sheetName val="Current"/>
      <sheetName val="B"/>
      <sheetName val="C"/>
      <sheetName val="D"/>
      <sheetName val="E"/>
      <sheetName val="F"/>
      <sheetName val="G"/>
      <sheetName val="H"/>
      <sheetName val="Prest"/>
      <sheetName val="Graf_Segurança"/>
      <sheetName val="Transparencias"/>
      <sheetName val="Prestacao"/>
      <sheetName val="Gráf_Prest"/>
      <sheetName val="Feac"/>
      <sheetName val="DEZ00"/>
      <sheetName val="NOV00"/>
      <sheetName val="OUT00"/>
      <sheetName val="SET00"/>
      <sheetName val="AGO00"/>
      <sheetName val="JUL00"/>
      <sheetName val="JUN00"/>
      <sheetName val="MAI00"/>
      <sheetName val="ABR00"/>
      <sheetName val="MAR00"/>
      <sheetName val="FEV00"/>
      <sheetName val="JAN00"/>
      <sheetName val="DEZ99"/>
      <sheetName val="NOV99"/>
      <sheetName val="OUT99"/>
      <sheetName val="SET99"/>
      <sheetName val="AGO99"/>
      <sheetName val="JUL99"/>
      <sheetName val="JUN99"/>
      <sheetName val="MAI99"/>
      <sheetName val="ABR99"/>
      <sheetName val="MAR99"/>
      <sheetName val="FEV99"/>
      <sheetName val="JAN99"/>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row r="55">
          <cell r="A55" t="str">
            <v>MES</v>
          </cell>
        </row>
        <row r="56">
          <cell r="A56" t="str">
            <v>JAN</v>
          </cell>
          <cell r="C56">
            <v>224131</v>
          </cell>
          <cell r="H56">
            <v>252312</v>
          </cell>
          <cell r="L56">
            <v>348305</v>
          </cell>
          <cell r="N56">
            <v>359237</v>
          </cell>
          <cell r="P56">
            <v>391991</v>
          </cell>
          <cell r="R56">
            <v>403411</v>
          </cell>
        </row>
        <row r="57">
          <cell r="A57" t="str">
            <v>FEV</v>
          </cell>
          <cell r="C57">
            <v>208998</v>
          </cell>
          <cell r="H57">
            <v>240718</v>
          </cell>
          <cell r="L57">
            <v>315447</v>
          </cell>
          <cell r="N57">
            <v>337205</v>
          </cell>
          <cell r="P57">
            <v>343372</v>
          </cell>
          <cell r="R57">
            <v>369324</v>
          </cell>
        </row>
        <row r="58">
          <cell r="A58" t="str">
            <v>MAR</v>
          </cell>
          <cell r="C58">
            <v>242371</v>
          </cell>
          <cell r="H58">
            <v>283876</v>
          </cell>
          <cell r="L58">
            <v>389996</v>
          </cell>
          <cell r="N58">
            <v>340679</v>
          </cell>
          <cell r="P58">
            <v>386633</v>
          </cell>
          <cell r="R58">
            <v>455373</v>
          </cell>
        </row>
        <row r="59">
          <cell r="A59" t="str">
            <v>ABR</v>
          </cell>
          <cell r="C59">
            <v>236842</v>
          </cell>
          <cell r="H59">
            <v>267409</v>
          </cell>
          <cell r="L59">
            <v>342400</v>
          </cell>
          <cell r="N59">
            <v>345417</v>
          </cell>
          <cell r="P59">
            <v>391904</v>
          </cell>
          <cell r="R59">
            <v>405177</v>
          </cell>
        </row>
        <row r="60">
          <cell r="A60" t="str">
            <v>MAI</v>
          </cell>
          <cell r="C60">
            <v>251180</v>
          </cell>
          <cell r="H60">
            <v>288641</v>
          </cell>
          <cell r="L60">
            <v>370779</v>
          </cell>
          <cell r="N60">
            <v>373442</v>
          </cell>
          <cell r="P60">
            <v>399744</v>
          </cell>
          <cell r="R60">
            <v>419518</v>
          </cell>
        </row>
        <row r="61">
          <cell r="A61" t="str">
            <v>JUN</v>
          </cell>
          <cell r="C61">
            <v>225220</v>
          </cell>
          <cell r="H61">
            <v>286483</v>
          </cell>
          <cell r="L61">
            <v>356097</v>
          </cell>
          <cell r="N61">
            <v>351260</v>
          </cell>
          <cell r="P61">
            <v>389412</v>
          </cell>
          <cell r="R61">
            <v>404663</v>
          </cell>
        </row>
        <row r="62">
          <cell r="A62" t="str">
            <v>JUL</v>
          </cell>
          <cell r="C62">
            <v>271568</v>
          </cell>
          <cell r="H62">
            <v>432632</v>
          </cell>
          <cell r="L62">
            <v>422659</v>
          </cell>
          <cell r="N62">
            <v>385286</v>
          </cell>
          <cell r="P62">
            <v>420321</v>
          </cell>
          <cell r="R62">
            <v>431615</v>
          </cell>
        </row>
        <row r="63">
          <cell r="A63" t="str">
            <v>AGO</v>
          </cell>
          <cell r="C63">
            <v>270154</v>
          </cell>
          <cell r="H63">
            <v>501913</v>
          </cell>
          <cell r="L63">
            <v>400995</v>
          </cell>
          <cell r="N63">
            <v>387724</v>
          </cell>
          <cell r="P63">
            <v>391061</v>
          </cell>
          <cell r="R63">
            <v>458194</v>
          </cell>
        </row>
        <row r="64">
          <cell r="A64" t="str">
            <v>SET</v>
          </cell>
          <cell r="C64">
            <v>253947</v>
          </cell>
          <cell r="H64">
            <v>466148</v>
          </cell>
          <cell r="L64">
            <v>346207</v>
          </cell>
          <cell r="N64">
            <v>376173</v>
          </cell>
          <cell r="P64">
            <v>379322</v>
          </cell>
          <cell r="R64">
            <v>441013</v>
          </cell>
        </row>
        <row r="65">
          <cell r="A65" t="str">
            <v>OUT</v>
          </cell>
          <cell r="C65">
            <v>271595</v>
          </cell>
          <cell r="H65">
            <v>444405</v>
          </cell>
          <cell r="L65">
            <v>368287</v>
          </cell>
          <cell r="N65">
            <v>401228</v>
          </cell>
          <cell r="P65">
            <v>424805</v>
          </cell>
          <cell r="R65">
            <v>467350</v>
          </cell>
        </row>
        <row r="66">
          <cell r="A66" t="str">
            <v>NOV</v>
          </cell>
          <cell r="C66">
            <v>279398</v>
          </cell>
          <cell r="H66">
            <v>430310</v>
          </cell>
          <cell r="L66">
            <v>350322</v>
          </cell>
          <cell r="N66">
            <v>380918</v>
          </cell>
          <cell r="P66">
            <v>408470</v>
          </cell>
          <cell r="R66">
            <v>476895</v>
          </cell>
        </row>
        <row r="67">
          <cell r="A67" t="str">
            <v>DEZ</v>
          </cell>
          <cell r="C67">
            <v>404044</v>
          </cell>
          <cell r="H67">
            <v>609648</v>
          </cell>
          <cell r="L67">
            <v>510433</v>
          </cell>
          <cell r="N67">
            <v>560646</v>
          </cell>
          <cell r="P67">
            <v>598405</v>
          </cell>
          <cell r="R67">
            <v>656344</v>
          </cell>
        </row>
      </sheetData>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lan1 (2)"/>
      <sheetName val="AGRUPADA"/>
      <sheetName val="CONTRATOS"/>
      <sheetName val="TRANSP_VACANCIA"/>
      <sheetName val="TRANSP_VENDAS"/>
      <sheetName val="VACANCIA"/>
      <sheetName val="VENREC"/>
      <sheetName val="ABLS"/>
      <sheetName val="RESUMOS"/>
      <sheetName val="PROFIT"/>
      <sheetName val="GRAF-VENDAS"/>
      <sheetName val="GRAF-RECEITAS"/>
      <sheetName val="Módulo1"/>
      <sheetName val="FEAC"/>
    </sheetNames>
    <sheetDataSet>
      <sheetData sheetId="0"/>
      <sheetData sheetId="1"/>
      <sheetData sheetId="2"/>
      <sheetData sheetId="3"/>
      <sheetData sheetId="4"/>
      <sheetData sheetId="5"/>
      <sheetData sheetId="6"/>
      <sheetData sheetId="7"/>
      <sheetData sheetId="8"/>
      <sheetData sheetId="9"/>
      <sheetData sheetId="10"/>
      <sheetData sheetId="11"/>
      <sheetData sheetId="12" refreshError="1"/>
      <sheetData sheetId="1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rç. Comp. rev01"/>
      <sheetName val="Orç. Padrao rev01"/>
      <sheetName val="com_SCIBRA_030708_rev05"/>
      <sheetName val="Entrada de Dados"/>
      <sheetName val="Premissas Básicas"/>
      <sheetName val="Premissas"/>
      <sheetName val="TMP_Aux"/>
      <sheetName val="Fluxo"/>
      <sheetName val="TMP_Gauss"/>
      <sheetName val="OUT_Graphics"/>
      <sheetName val="TMP_Luvas"/>
      <sheetName val="TMP_StoreBenef"/>
      <sheetName val="TMP_OthIncome"/>
      <sheetName val="TMP_SpecFin"/>
      <sheetName val="Module1"/>
      <sheetName val="Módulo1"/>
      <sheetName val="Module4"/>
      <sheetName val="Module5"/>
      <sheetName val="Módulo3"/>
      <sheetName val="#REF"/>
    </sheetNames>
    <sheetDataSet>
      <sheetData sheetId="0"/>
      <sheetData sheetId="1"/>
      <sheetData sheetId="2"/>
      <sheetData sheetId="3">
        <row r="49">
          <cell r="D49" t="str">
            <v>Projeto Iguatemi Brasília</v>
          </cell>
        </row>
      </sheetData>
      <sheetData sheetId="4"/>
      <sheetData sheetId="5"/>
      <sheetData sheetId="6"/>
      <sheetData sheetId="7"/>
      <sheetData sheetId="8"/>
      <sheetData sheetId="9"/>
      <sheetData sheetId="10"/>
      <sheetData sheetId="11"/>
      <sheetData sheetId="12"/>
      <sheetData sheetId="13"/>
      <sheetData sheetId="14" refreshError="1"/>
      <sheetData sheetId="15" refreshError="1"/>
      <sheetData sheetId="16" refreshError="1"/>
      <sheetData sheetId="17" refreshError="1"/>
      <sheetData sheetId="18" refreshError="1"/>
      <sheetData sheetId="19"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pas int."/>
      <sheetName val="Capas internas"/>
      <sheetName val="Capa"/>
      <sheetName val="funcesp"/>
      <sheetName val="Demontrativo"/>
      <sheetName val="Condir"/>
      <sheetName val="Rec_ven"/>
      <sheetName val="graf_ven"/>
      <sheetName val="graf_rec"/>
      <sheetName val="veic"/>
      <sheetName val="graf_veic"/>
      <sheetName val="Cash_est"/>
      <sheetName val="ATRASOS_5"/>
      <sheetName val="Dados Atraso_6"/>
      <sheetName val="dev"/>
      <sheetName val="Vacancy"/>
      <sheetName val="outros"/>
      <sheetName val="Desempenho"/>
      <sheetName val="DESPESAS 2"/>
      <sheetName val="DCTD"/>
      <sheetName val="DCCC"/>
      <sheetName val="Graf_DO"/>
      <sheetName val="M2"/>
      <sheetName val="OVER"/>
      <sheetName val="Receita"/>
      <sheetName val="End."/>
    </sheetNames>
    <sheetDataSet>
      <sheetData sheetId="0"/>
      <sheetData sheetId="1"/>
      <sheetData sheetId="2"/>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refreshError="1"/>
      <sheetData sheetId="18"/>
      <sheetData sheetId="19"/>
      <sheetData sheetId="20"/>
      <sheetData sheetId="21"/>
      <sheetData sheetId="22"/>
      <sheetData sheetId="23"/>
      <sheetData sheetId="24"/>
      <sheetData sheetId="25"/>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sh_Proj"/>
      <sheetName val="Assump Input"/>
    </sheetNames>
    <sheetDataSet>
      <sheetData sheetId="0" refreshError="1"/>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udget-Control"/>
      <sheetName val="Orcamento"/>
      <sheetName val="Contratos"/>
      <sheetName val="Orcamento-revisoes"/>
      <sheetName val="Base_Pagamentos"/>
      <sheetName val="Listas"/>
      <sheetName val="Consulta a Pagamentos"/>
      <sheetName val="Layout para preenchimento"/>
      <sheetName val="Estrutura de Centro de Custo"/>
      <sheetName val="Sheet2"/>
      <sheetName val="Controle Budget SPEs - ago-13 -"/>
    </sheetNames>
    <sheetDataSet>
      <sheetData sheetId="0">
        <row r="8">
          <cell r="D8" t="str">
            <v>RE IX</v>
          </cell>
        </row>
      </sheetData>
      <sheetData sheetId="1"/>
      <sheetData sheetId="2"/>
      <sheetData sheetId="3"/>
      <sheetData sheetId="4"/>
      <sheetData sheetId="5"/>
      <sheetData sheetId="6"/>
      <sheetData sheetId="7"/>
      <sheetData sheetId="8"/>
      <sheetData sheetId="9"/>
      <sheetData sheetId="1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enário Real"/>
      <sheetName val="CJ III"/>
      <sheetName val="Quadro de Áreas"/>
      <sheetName val="Desembolso - LV"/>
      <sheetName val="EVTE"/>
      <sheetName val="FlCx_Invest_Mutuo"/>
      <sheetName val="Permuta Funding"/>
      <sheetName val="Projeto"/>
    </sheetNames>
    <sheetDataSet>
      <sheetData sheetId="0">
        <row r="11">
          <cell r="O11">
            <v>14</v>
          </cell>
        </row>
        <row r="30">
          <cell r="C30" t="str">
            <v>IBTI, Escritura, Registro, Iptu (Obra), Advogado</v>
          </cell>
        </row>
        <row r="31">
          <cell r="C31" t="str">
            <v>Comissão de Vendas Terreno</v>
          </cell>
          <cell r="O31">
            <v>-2000.0000000000005</v>
          </cell>
        </row>
      </sheetData>
      <sheetData sheetId="1">
        <row r="11">
          <cell r="C11">
            <v>1000</v>
          </cell>
          <cell r="G11">
            <v>16000</v>
          </cell>
          <cell r="K11">
            <v>16000000</v>
          </cell>
          <cell r="O11">
            <v>14</v>
          </cell>
          <cell r="W11">
            <v>224000000</v>
          </cell>
        </row>
        <row r="13">
          <cell r="G13">
            <v>13600</v>
          </cell>
          <cell r="K13">
            <v>5999.9999999999964</v>
          </cell>
          <cell r="L13"/>
          <cell r="M13"/>
        </row>
        <row r="17">
          <cell r="O17">
            <v>6599</v>
          </cell>
          <cell r="S17">
            <v>6061.5244734050621</v>
          </cell>
        </row>
        <row r="18">
          <cell r="W18">
            <v>40000000.000000007</v>
          </cell>
        </row>
        <row r="35">
          <cell r="AH35">
            <v>23772000.000000048</v>
          </cell>
        </row>
      </sheetData>
      <sheetData sheetId="2"/>
      <sheetData sheetId="3"/>
      <sheetData sheetId="4"/>
      <sheetData sheetId="5"/>
      <sheetData sheetId="6"/>
      <sheetData sheetId="7"/>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829WATZ"/>
      <sheetName val="EVTE"/>
      <sheetName val="TIR"/>
      <sheetName val="FlCx_Invest (MemOferta)"/>
      <sheetName val="FlCx_Invest_Mutuo"/>
      <sheetName val="FlCx_Invest_CCB"/>
      <sheetName val="Corporativo"/>
      <sheetName val="Preços_Anunciados"/>
      <sheetName val="PTAX"/>
    </sheetNames>
    <sheetDataSet>
      <sheetData sheetId="0"/>
      <sheetData sheetId="1">
        <row r="24">
          <cell r="B24">
            <v>4138750</v>
          </cell>
        </row>
      </sheetData>
      <sheetData sheetId="2">
        <row r="12">
          <cell r="F12">
            <v>0.08</v>
          </cell>
        </row>
        <row r="18">
          <cell r="M18">
            <v>0</v>
          </cell>
        </row>
        <row r="19">
          <cell r="M19">
            <v>0</v>
          </cell>
        </row>
        <row r="20">
          <cell r="M20">
            <v>5903562.5000000009</v>
          </cell>
        </row>
        <row r="21">
          <cell r="M21">
            <v>238527.77777777778</v>
          </cell>
        </row>
        <row r="22">
          <cell r="M22">
            <v>6142090.2777777789</v>
          </cell>
        </row>
        <row r="23">
          <cell r="M23">
            <v>477055.55555555556</v>
          </cell>
        </row>
        <row r="24">
          <cell r="M24">
            <v>7722336.805555556</v>
          </cell>
        </row>
        <row r="25">
          <cell r="M25">
            <v>715583.33333333337</v>
          </cell>
        </row>
        <row r="26">
          <cell r="M26">
            <v>2057302.0833333335</v>
          </cell>
        </row>
        <row r="27">
          <cell r="M27">
            <v>6619145.833333334</v>
          </cell>
        </row>
        <row r="28">
          <cell r="M28">
            <v>3637548.611111111</v>
          </cell>
        </row>
        <row r="29">
          <cell r="M29">
            <v>954111.11111111112</v>
          </cell>
        </row>
        <row r="30">
          <cell r="M30">
            <v>2057302.0833333335</v>
          </cell>
        </row>
        <row r="31">
          <cell r="M31">
            <v>2057302.0833333335</v>
          </cell>
        </row>
        <row r="32">
          <cell r="M32">
            <v>1818774.3055555555</v>
          </cell>
        </row>
        <row r="33">
          <cell r="M33">
            <v>477055.55555555556</v>
          </cell>
        </row>
        <row r="34">
          <cell r="M34">
            <v>477055.55555555556</v>
          </cell>
        </row>
        <row r="35">
          <cell r="M35">
            <v>1580246.5277777778</v>
          </cell>
        </row>
        <row r="36">
          <cell r="M36">
            <v>0</v>
          </cell>
        </row>
        <row r="37">
          <cell r="M37">
            <v>0</v>
          </cell>
        </row>
        <row r="38">
          <cell r="M38">
            <v>0</v>
          </cell>
        </row>
        <row r="39">
          <cell r="M39">
            <v>0</v>
          </cell>
        </row>
        <row r="40">
          <cell r="M40">
            <v>0</v>
          </cell>
        </row>
        <row r="41">
          <cell r="M41">
            <v>0</v>
          </cell>
        </row>
      </sheetData>
      <sheetData sheetId="3"/>
      <sheetData sheetId="4"/>
      <sheetData sheetId="5"/>
      <sheetData sheetId="6"/>
      <sheetData sheetId="7"/>
      <sheetData sheetId="8"/>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I"/>
      <sheetName val="Inv"/>
      <sheetName val="O_Inv"/>
      <sheetName val="Preço"/>
      <sheetName val="Aux1"/>
      <sheetName val="Resumo"/>
      <sheetName val="Ano1"/>
      <sheetName val="Ano2"/>
      <sheetName val="Ano3"/>
      <sheetName val="CF"/>
      <sheetName val="Rel_Viab"/>
      <sheetName val="Rel_Mês"/>
      <sheetName val="Rel_I"/>
      <sheetName val="Cen_Ot"/>
      <sheetName val="Cen_Pess"/>
      <sheetName val="Dash_Viab"/>
      <sheetName val="Dash_Disp"/>
      <sheetName val="Dash_Proj"/>
      <sheetName val="Dash_Cen"/>
      <sheetName val="Dash_Fin"/>
      <sheetName val="INI"/>
      <sheetName val="DUV"/>
      <sheetName val="SUG"/>
      <sheetName val="LUZ"/>
    </sheetNames>
    <sheetDataSet>
      <sheetData sheetId="0"/>
      <sheetData sheetId="1"/>
      <sheetData sheetId="2"/>
      <sheetData sheetId="3"/>
      <sheetData sheetId="4">
        <row r="2">
          <cell r="C2">
            <v>3</v>
          </cell>
        </row>
        <row r="24">
          <cell r="C24">
            <v>-3250000</v>
          </cell>
          <cell r="D24">
            <v>0</v>
          </cell>
          <cell r="E24">
            <v>0</v>
          </cell>
          <cell r="F24">
            <v>0</v>
          </cell>
          <cell r="G24">
            <v>6153142.8571428526</v>
          </cell>
          <cell r="H24">
            <v>0</v>
          </cell>
          <cell r="I24">
            <v>6153142.8571428526</v>
          </cell>
          <cell r="J24">
            <v>0</v>
          </cell>
          <cell r="K24">
            <v>6153142.8571428526</v>
          </cell>
          <cell r="L24">
            <v>6153142.8571428526</v>
          </cell>
          <cell r="M24">
            <v>0</v>
          </cell>
          <cell r="N24">
            <v>0</v>
          </cell>
          <cell r="O24">
            <v>-15205850</v>
          </cell>
          <cell r="P24">
            <v>0</v>
          </cell>
          <cell r="Q24">
            <v>6153142.8571428526</v>
          </cell>
          <cell r="R24">
            <v>0</v>
          </cell>
          <cell r="S24">
            <v>12306285.714285705</v>
          </cell>
          <cell r="T24">
            <v>12306285.714285705</v>
          </cell>
          <cell r="U24">
            <v>18459428.571428552</v>
          </cell>
          <cell r="V24">
            <v>6153142.8571428526</v>
          </cell>
          <cell r="W24">
            <v>0</v>
          </cell>
          <cell r="X24">
            <v>0</v>
          </cell>
          <cell r="Y24">
            <v>0</v>
          </cell>
          <cell r="Z24">
            <v>6153142.8571428526</v>
          </cell>
          <cell r="AA24">
            <v>-5000</v>
          </cell>
          <cell r="AB24">
            <v>0</v>
          </cell>
          <cell r="AC24">
            <v>0</v>
          </cell>
          <cell r="AD24">
            <v>0</v>
          </cell>
          <cell r="AE24">
            <v>0</v>
          </cell>
          <cell r="AF24">
            <v>0</v>
          </cell>
          <cell r="AG24">
            <v>0</v>
          </cell>
          <cell r="AH24">
            <v>0</v>
          </cell>
          <cell r="AI24">
            <v>0</v>
          </cell>
          <cell r="AJ24">
            <v>0</v>
          </cell>
          <cell r="AK24">
            <v>0</v>
          </cell>
          <cell r="AL24">
            <v>0</v>
          </cell>
        </row>
      </sheetData>
      <sheetData sheetId="5"/>
      <sheetData sheetId="6"/>
      <sheetData sheetId="7"/>
      <sheetData sheetId="8"/>
      <sheetData sheetId="9"/>
      <sheetData sheetId="10">
        <row r="4">
          <cell r="G4" t="str">
            <v>Ano 1</v>
          </cell>
          <cell r="H4" t="str">
            <v>Ano 2</v>
          </cell>
          <cell r="I4" t="str">
            <v>Ano 3</v>
          </cell>
          <cell r="J4" t="str">
            <v>Total</v>
          </cell>
          <cell r="M4" t="str">
            <v>Ano 1</v>
          </cell>
          <cell r="N4" t="str">
            <v>Ano 2</v>
          </cell>
          <cell r="O4" t="str">
            <v>Ano 3</v>
          </cell>
        </row>
        <row r="5">
          <cell r="G5">
            <v>71999999.999999985</v>
          </cell>
          <cell r="H5">
            <v>179999999.99999994</v>
          </cell>
          <cell r="I5">
            <v>0</v>
          </cell>
          <cell r="J5">
            <v>251999999.99999994</v>
          </cell>
          <cell r="L5" t="str">
            <v>Receita Bruta</v>
          </cell>
          <cell r="M5">
            <v>71999999.999999985</v>
          </cell>
          <cell r="N5">
            <v>179999999.99999994</v>
          </cell>
          <cell r="O5">
            <v>0</v>
          </cell>
        </row>
        <row r="6">
          <cell r="D6">
            <v>9919421.0118782446</v>
          </cell>
          <cell r="F6" t="str">
            <v>Custos Variáveis</v>
          </cell>
          <cell r="G6">
            <v>44507428.571428575</v>
          </cell>
          <cell r="H6">
            <v>111268571.42857145</v>
          </cell>
          <cell r="I6">
            <v>0</v>
          </cell>
          <cell r="J6">
            <v>155776000.00000003</v>
          </cell>
          <cell r="L6" t="str">
            <v>Despesas</v>
          </cell>
          <cell r="M6">
            <v>50637428.571428575</v>
          </cell>
          <cell r="N6">
            <v>133674421.42857145</v>
          </cell>
          <cell r="O6">
            <v>5000</v>
          </cell>
        </row>
        <row r="7">
          <cell r="D7">
            <v>0.29351410815755852</v>
          </cell>
          <cell r="F7" t="str">
            <v>Impostos Diretos</v>
          </cell>
          <cell r="G7">
            <v>2879999.9999999995</v>
          </cell>
          <cell r="H7">
            <v>7199999.9999999981</v>
          </cell>
          <cell r="I7">
            <v>0</v>
          </cell>
          <cell r="J7">
            <v>10079999.999999998</v>
          </cell>
          <cell r="L7" t="str">
            <v>Lucro Livre</v>
          </cell>
          <cell r="M7">
            <v>21362571.42857141</v>
          </cell>
          <cell r="N7">
            <v>46325578.571428493</v>
          </cell>
          <cell r="O7">
            <v>-5000</v>
          </cell>
        </row>
        <row r="8">
          <cell r="D8">
            <v>44200000</v>
          </cell>
          <cell r="G8">
            <v>24612571.42857141</v>
          </cell>
          <cell r="H8">
            <v>61531428.571428493</v>
          </cell>
          <cell r="I8">
            <v>0</v>
          </cell>
          <cell r="J8">
            <v>86143999.999999911</v>
          </cell>
        </row>
        <row r="9">
          <cell r="F9" t="str">
            <v>Despesas Fixas</v>
          </cell>
          <cell r="G9">
            <v>0</v>
          </cell>
          <cell r="H9">
            <v>0</v>
          </cell>
          <cell r="I9">
            <v>0</v>
          </cell>
          <cell r="J9">
            <v>0</v>
          </cell>
        </row>
        <row r="10">
          <cell r="D10" t="str">
            <v>18 meses</v>
          </cell>
          <cell r="G10">
            <v>6049875</v>
          </cell>
          <cell r="H10">
            <v>7988620.875</v>
          </cell>
          <cell r="I10">
            <v>7989258.375</v>
          </cell>
          <cell r="J10">
            <v>22027754.25</v>
          </cell>
        </row>
        <row r="11">
          <cell r="D11" t="str">
            <v>1 mês</v>
          </cell>
          <cell r="G11">
            <v>18562696.42857141</v>
          </cell>
          <cell r="H11">
            <v>53542807.696428493</v>
          </cell>
          <cell r="I11">
            <v>-7989258.375</v>
          </cell>
          <cell r="J11">
            <v>64116245.749999911</v>
          </cell>
        </row>
        <row r="12">
          <cell r="F12" t="str">
            <v>Investimento Bruto</v>
          </cell>
          <cell r="G12">
            <v>3250000</v>
          </cell>
          <cell r="H12">
            <v>15205850</v>
          </cell>
          <cell r="I12">
            <v>5000</v>
          </cell>
          <cell r="J12">
            <v>18460850</v>
          </cell>
        </row>
        <row r="13">
          <cell r="F13" t="str">
            <v>Lucro Livre</v>
          </cell>
          <cell r="G13">
            <v>21362571.42857141</v>
          </cell>
          <cell r="H13">
            <v>46325578.571428493</v>
          </cell>
          <cell r="I13">
            <v>-5000</v>
          </cell>
          <cell r="J13">
            <v>23483149.999999911</v>
          </cell>
        </row>
        <row r="14">
          <cell r="G14">
            <v>24242571.42857141</v>
          </cell>
          <cell r="H14">
            <v>53525578.571428493</v>
          </cell>
          <cell r="I14">
            <v>-5000</v>
          </cell>
          <cell r="J14">
            <v>77763149.999999911</v>
          </cell>
        </row>
        <row r="15">
          <cell r="G15">
            <v>0.29670238095238077</v>
          </cell>
          <cell r="H15">
            <v>0.25736432539682502</v>
          </cell>
          <cell r="I15">
            <v>0</v>
          </cell>
          <cell r="J15">
            <v>9.3187103174602839E-2</v>
          </cell>
          <cell r="Q15">
            <v>-22837428.57142859</v>
          </cell>
          <cell r="R15">
            <v>23488149.999999903</v>
          </cell>
          <cell r="S15">
            <v>23483149.999999903</v>
          </cell>
          <cell r="T15" t="e">
            <v>#REF!</v>
          </cell>
          <cell r="U15" t="e">
            <v>#REF!</v>
          </cell>
        </row>
      </sheetData>
      <sheetData sheetId="11">
        <row r="4">
          <cell r="D4">
            <v>62655849.999999993</v>
          </cell>
          <cell r="G4">
            <v>44200000</v>
          </cell>
        </row>
        <row r="6">
          <cell r="D6" t="str">
            <v>Junho</v>
          </cell>
          <cell r="E6" t="str">
            <v>Julho</v>
          </cell>
          <cell r="F6" t="str">
            <v>Agosto</v>
          </cell>
          <cell r="G6" t="str">
            <v>Setembro</v>
          </cell>
          <cell r="H6" t="str">
            <v>Outubro</v>
          </cell>
          <cell r="I6" t="str">
            <v>Novembro</v>
          </cell>
          <cell r="J6" t="str">
            <v>Dezembro</v>
          </cell>
          <cell r="K6" t="str">
            <v>Janeiro</v>
          </cell>
          <cell r="L6" t="str">
            <v>Fevereiro</v>
          </cell>
          <cell r="M6" t="str">
            <v>Março</v>
          </cell>
          <cell r="N6" t="str">
            <v>Abril</v>
          </cell>
          <cell r="O6" t="str">
            <v>Maio</v>
          </cell>
          <cell r="R6">
            <v>0</v>
          </cell>
        </row>
        <row r="7">
          <cell r="C7" t="str">
            <v>Resultados - Ano 1</v>
          </cell>
          <cell r="R7">
            <v>0</v>
          </cell>
        </row>
        <row r="8">
          <cell r="D8">
            <v>15205849.999999993</v>
          </cell>
          <cell r="E8">
            <v>15205849.999999993</v>
          </cell>
          <cell r="F8">
            <v>15205849.999999993</v>
          </cell>
          <cell r="G8">
            <v>15205849.999999993</v>
          </cell>
          <cell r="H8">
            <v>21358992.857142843</v>
          </cell>
          <cell r="I8">
            <v>21358992.857142843</v>
          </cell>
          <cell r="J8">
            <v>27512135.714285694</v>
          </cell>
          <cell r="K8">
            <v>27512135.714285694</v>
          </cell>
          <cell r="L8">
            <v>33665278.571428545</v>
          </cell>
          <cell r="M8">
            <v>39818421.428571396</v>
          </cell>
          <cell r="N8">
            <v>39818421.428571396</v>
          </cell>
          <cell r="O8">
            <v>39818421.428571396</v>
          </cell>
          <cell r="R8">
            <v>0</v>
          </cell>
        </row>
        <row r="9">
          <cell r="R9"/>
        </row>
        <row r="10">
          <cell r="C10" t="str">
            <v>Resultados - Ano 2</v>
          </cell>
          <cell r="R10"/>
        </row>
        <row r="11">
          <cell r="D11">
            <v>24612571.428571396</v>
          </cell>
          <cell r="E11">
            <v>24612571.428571396</v>
          </cell>
          <cell r="F11">
            <v>30765714.285714246</v>
          </cell>
          <cell r="G11">
            <v>30765714.285714246</v>
          </cell>
          <cell r="H11">
            <v>43071999.999999955</v>
          </cell>
          <cell r="I11">
            <v>55378285.714285657</v>
          </cell>
          <cell r="J11">
            <v>73837714.285714209</v>
          </cell>
          <cell r="K11">
            <v>79990857.14285706</v>
          </cell>
          <cell r="L11">
            <v>79990857.14285706</v>
          </cell>
          <cell r="M11">
            <v>79990857.14285706</v>
          </cell>
          <cell r="N11">
            <v>79990857.14285706</v>
          </cell>
          <cell r="O11">
            <v>86143999.999999911</v>
          </cell>
        </row>
        <row r="13">
          <cell r="C13" t="str">
            <v>Resultados - Ano 3</v>
          </cell>
        </row>
        <row r="14">
          <cell r="D14">
            <v>86138999.999999911</v>
          </cell>
          <cell r="E14">
            <v>86138999.999999911</v>
          </cell>
          <cell r="F14">
            <v>86138999.999999911</v>
          </cell>
          <cell r="G14">
            <v>86138999.999999911</v>
          </cell>
          <cell r="H14">
            <v>86138999.999999911</v>
          </cell>
          <cell r="I14">
            <v>86138999.999999911</v>
          </cell>
          <cell r="J14">
            <v>86138999.999999911</v>
          </cell>
          <cell r="K14">
            <v>86138999.999999911</v>
          </cell>
          <cell r="L14">
            <v>86138999.999999911</v>
          </cell>
          <cell r="M14">
            <v>86138999.999999911</v>
          </cell>
          <cell r="N14">
            <v>86138999.999999911</v>
          </cell>
          <cell r="O14">
            <v>86138999.999999911</v>
          </cell>
        </row>
      </sheetData>
      <sheetData sheetId="12"/>
      <sheetData sheetId="13">
        <row r="5">
          <cell r="D5">
            <v>0.12</v>
          </cell>
        </row>
        <row r="6">
          <cell r="D6">
            <v>0.1</v>
          </cell>
        </row>
        <row r="7">
          <cell r="D7">
            <v>0.1</v>
          </cell>
        </row>
        <row r="10">
          <cell r="D10">
            <v>49015345.711354882</v>
          </cell>
        </row>
        <row r="11">
          <cell r="D11">
            <v>0.93667084377918264</v>
          </cell>
        </row>
        <row r="12">
          <cell r="D12">
            <v>39780000</v>
          </cell>
        </row>
        <row r="13">
          <cell r="J13">
            <v>76574834.999999911</v>
          </cell>
        </row>
        <row r="14">
          <cell r="D14" t="str">
            <v>16 meses</v>
          </cell>
        </row>
        <row r="15">
          <cell r="D15" t="str">
            <v>1 mês</v>
          </cell>
          <cell r="Q15">
            <v>-4713685.7142857313</v>
          </cell>
          <cell r="R15">
            <v>76579334.999999911</v>
          </cell>
          <cell r="S15">
            <v>76574834.999999911</v>
          </cell>
          <cell r="T15" t="e">
            <v>#REF!</v>
          </cell>
          <cell r="U15" t="e">
            <v>#REF!</v>
          </cell>
        </row>
      </sheetData>
      <sheetData sheetId="14">
        <row r="5">
          <cell r="D5">
            <v>0.1</v>
          </cell>
        </row>
        <row r="6">
          <cell r="D6">
            <v>0.1</v>
          </cell>
        </row>
        <row r="7">
          <cell r="D7">
            <v>0.1</v>
          </cell>
        </row>
        <row r="10">
          <cell r="D10">
            <v>-25532152.160265263</v>
          </cell>
        </row>
        <row r="11">
          <cell r="D11">
            <v>-0.34407960819050143</v>
          </cell>
        </row>
        <row r="12">
          <cell r="D12">
            <v>48620000.000000007</v>
          </cell>
        </row>
        <row r="13">
          <cell r="J13">
            <v>-24568535.000000112</v>
          </cell>
        </row>
        <row r="14">
          <cell r="D14" t="str">
            <v>Não houve</v>
          </cell>
        </row>
        <row r="15">
          <cell r="D15" t="str">
            <v>1 mês</v>
          </cell>
          <cell r="Q15">
            <v>-36353171.428571455</v>
          </cell>
          <cell r="R15">
            <v>-21395035.000000112</v>
          </cell>
          <cell r="S15">
            <v>-21400535.000000112</v>
          </cell>
          <cell r="T15" t="e">
            <v>#REF!</v>
          </cell>
          <cell r="U15" t="e">
            <v>#REF!</v>
          </cell>
        </row>
      </sheetData>
      <sheetData sheetId="15"/>
      <sheetData sheetId="16"/>
      <sheetData sheetId="17"/>
      <sheetData sheetId="18"/>
      <sheetData sheetId="19"/>
      <sheetData sheetId="20"/>
      <sheetData sheetId="21"/>
      <sheetData sheetId="22"/>
      <sheetData sheetId="23"/>
    </sheetDataSet>
  </externalBook>
</externalLink>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eqdi.com.br/estrutur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eqdi.com.br/" TargetMode="Externa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13.bin"/><Relationship Id="rId1" Type="http://schemas.openxmlformats.org/officeDocument/2006/relationships/hyperlink" Target="https://www.habitissimo.com.br/orcamentos/demolicoes" TargetMode="Externa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14.bin"/><Relationship Id="rId1" Type="http://schemas.openxmlformats.org/officeDocument/2006/relationships/hyperlink" Target="https://www.habitissimo.com.br/orcamentos/demolicoes" TargetMode="Externa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3.xml"/><Relationship Id="rId1" Type="http://schemas.openxmlformats.org/officeDocument/2006/relationships/printerSettings" Target="../printerSettings/printerSettings19.bin"/><Relationship Id="rId4" Type="http://schemas.openxmlformats.org/officeDocument/2006/relationships/ctrlProp" Target="../ctrlProps/ctrlProp1.xm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22.bin"/><Relationship Id="rId2" Type="http://schemas.openxmlformats.org/officeDocument/2006/relationships/hyperlink" Target="http://www.eqdi.com.br/" TargetMode="External"/><Relationship Id="rId1" Type="http://schemas.openxmlformats.org/officeDocument/2006/relationships/hyperlink" Target="http://eqdi.com.b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DDF80-9293-4299-8900-66919D6C8850}">
  <sheetPr codeName="Planilha1">
    <tabColor rgb="FF002060"/>
  </sheetPr>
  <dimension ref="C2:X73"/>
  <sheetViews>
    <sheetView showGridLines="0" topLeftCell="A19" zoomScale="70" zoomScaleNormal="70" workbookViewId="0">
      <selection activeCell="L43" sqref="L43"/>
    </sheetView>
  </sheetViews>
  <sheetFormatPr baseColWidth="10" defaultColWidth="8.83203125" defaultRowHeight="15"/>
  <cols>
    <col min="1" max="1" width="4.83203125" customWidth="1"/>
    <col min="2" max="2" width="10.83203125" customWidth="1"/>
    <col min="3" max="3" width="40.1640625" customWidth="1"/>
    <col min="4" max="5" width="8.5" bestFit="1" customWidth="1"/>
    <col min="6" max="6" width="17.33203125" customWidth="1"/>
    <col min="7" max="7" width="11.33203125" bestFit="1" customWidth="1"/>
    <col min="8" max="8" width="8.5" bestFit="1" customWidth="1"/>
    <col min="9" max="9" width="28.33203125" customWidth="1"/>
    <col min="10" max="10" width="8.5" bestFit="1" customWidth="1"/>
    <col min="11" max="11" width="9.6640625" customWidth="1"/>
    <col min="12" max="12" width="18.5" customWidth="1"/>
    <col min="13" max="13" width="9.5" bestFit="1" customWidth="1"/>
    <col min="14" max="14" width="40.1640625" bestFit="1" customWidth="1"/>
    <col min="15" max="15" width="13.33203125" customWidth="1"/>
    <col min="16" max="16" width="12.5" bestFit="1" customWidth="1"/>
    <col min="17" max="17" width="12.83203125" bestFit="1" customWidth="1"/>
    <col min="18" max="18" width="12.5" bestFit="1" customWidth="1"/>
    <col min="19" max="19" width="12.83203125" bestFit="1" customWidth="1"/>
    <col min="20" max="23" width="10.6640625" bestFit="1" customWidth="1"/>
    <col min="24" max="24" width="10.6640625" customWidth="1"/>
  </cols>
  <sheetData>
    <row r="2" spans="3:14" ht="29">
      <c r="C2" s="12" t="s">
        <v>8</v>
      </c>
      <c r="D2" s="13"/>
      <c r="E2" s="13"/>
      <c r="F2" s="13"/>
      <c r="G2" s="13"/>
      <c r="H2" s="13"/>
      <c r="I2" s="13"/>
      <c r="J2" s="13"/>
      <c r="K2" s="13"/>
      <c r="L2" s="14"/>
    </row>
    <row r="3" spans="3:14">
      <c r="C3" s="15" t="s">
        <v>685</v>
      </c>
      <c r="D3" s="16"/>
      <c r="E3" s="16"/>
      <c r="F3" s="16"/>
      <c r="G3" s="16"/>
      <c r="H3" s="16"/>
      <c r="I3" s="16"/>
      <c r="J3" s="16"/>
      <c r="K3" s="16"/>
      <c r="L3" s="16"/>
    </row>
    <row r="4" spans="3:14" ht="7.5" customHeight="1"/>
    <row r="5" spans="3:14" s="18" customFormat="1">
      <c r="C5" s="17" t="s">
        <v>11</v>
      </c>
    </row>
    <row r="6" spans="3:14" s="18" customFormat="1">
      <c r="C6" s="19" t="s">
        <v>9</v>
      </c>
    </row>
    <row r="7" spans="3:14" s="18" customFormat="1">
      <c r="C7" s="19" t="s">
        <v>1</v>
      </c>
    </row>
    <row r="8" spans="3:14" s="18" customFormat="1">
      <c r="C8" s="19" t="s">
        <v>12</v>
      </c>
    </row>
    <row r="9" spans="3:14" s="18" customFormat="1">
      <c r="C9" s="20" t="s">
        <v>13</v>
      </c>
    </row>
    <row r="10" spans="3:14" s="18" customFormat="1">
      <c r="C10" s="21"/>
    </row>
    <row r="11" spans="3:14">
      <c r="C11" s="11" t="s">
        <v>14</v>
      </c>
      <c r="D11" s="22"/>
      <c r="E11" s="22"/>
      <c r="F11" s="22"/>
      <c r="G11" s="22"/>
      <c r="H11" s="22"/>
      <c r="I11" s="22"/>
      <c r="J11" s="22"/>
      <c r="K11" s="22"/>
      <c r="L11" s="22"/>
    </row>
    <row r="12" spans="3:14" ht="6.75" customHeight="1"/>
    <row r="13" spans="3:14">
      <c r="C13" s="23" t="s">
        <v>15</v>
      </c>
      <c r="D13" s="24"/>
      <c r="E13" s="24"/>
      <c r="F13" s="24"/>
      <c r="G13" s="8"/>
      <c r="I13" s="23" t="s">
        <v>16</v>
      </c>
      <c r="J13" s="23"/>
      <c r="K13" s="24"/>
      <c r="L13" s="24"/>
    </row>
    <row r="14" spans="3:14">
      <c r="C14" t="s">
        <v>17</v>
      </c>
      <c r="F14" s="25">
        <v>0.112</v>
      </c>
      <c r="G14" s="8"/>
      <c r="I14" t="s">
        <v>18</v>
      </c>
      <c r="L14" s="25">
        <v>0.03</v>
      </c>
      <c r="N14" s="10"/>
    </row>
    <row r="15" spans="3:14">
      <c r="C15" t="s">
        <v>19</v>
      </c>
      <c r="F15" s="25">
        <v>0.1477</v>
      </c>
      <c r="I15" t="s">
        <v>693</v>
      </c>
      <c r="L15" s="25">
        <v>0.01</v>
      </c>
    </row>
    <row r="16" spans="3:14">
      <c r="C16" t="s">
        <v>21</v>
      </c>
      <c r="F16" s="25">
        <v>0.13250000000000001</v>
      </c>
      <c r="I16" t="s">
        <v>22</v>
      </c>
      <c r="L16" s="26">
        <v>4</v>
      </c>
    </row>
    <row r="17" spans="3:14">
      <c r="C17" s="27" t="s">
        <v>23</v>
      </c>
      <c r="F17" s="25">
        <v>0.15</v>
      </c>
      <c r="I17" s="28" t="s">
        <v>24</v>
      </c>
      <c r="J17" s="28"/>
      <c r="K17" s="28"/>
      <c r="L17" s="29">
        <f ca="1">EOMONTH($F$24,2)</f>
        <v>44957</v>
      </c>
    </row>
    <row r="18" spans="3:14">
      <c r="C18" s="30" t="s">
        <v>25</v>
      </c>
      <c r="D18" s="28"/>
      <c r="E18" s="28"/>
      <c r="F18" s="31">
        <f>F16*(1-F17)</f>
        <v>0.112625</v>
      </c>
    </row>
    <row r="19" spans="3:14">
      <c r="I19" s="23" t="s">
        <v>26</v>
      </c>
      <c r="J19" s="23"/>
      <c r="K19" s="24"/>
      <c r="L19" s="24"/>
    </row>
    <row r="20" spans="3:14">
      <c r="C20" s="23" t="s">
        <v>27</v>
      </c>
      <c r="D20" s="24"/>
      <c r="E20" s="24"/>
      <c r="F20" s="24"/>
      <c r="I20" t="s">
        <v>28</v>
      </c>
      <c r="L20" s="32">
        <v>18000000</v>
      </c>
      <c r="N20" s="33"/>
    </row>
    <row r="21" spans="3:14">
      <c r="C21" t="s">
        <v>29</v>
      </c>
      <c r="F21" s="34">
        <f>18000000/1.285</f>
        <v>14007782.101167316</v>
      </c>
      <c r="G21" s="35"/>
      <c r="I21" t="s">
        <v>30</v>
      </c>
      <c r="L21" s="25">
        <f>(F15+1)*(1+0.38%)-1</f>
        <v>0.15206125999999998</v>
      </c>
    </row>
    <row r="22" spans="3:14">
      <c r="C22" s="27" t="s">
        <v>31</v>
      </c>
      <c r="F22" s="36">
        <v>1</v>
      </c>
      <c r="G22" s="35"/>
      <c r="I22" t="str">
        <f ca="1">"Valor de Venda em "&amp;YEAR(L29)</f>
        <v>Valor de Venda em 2026</v>
      </c>
      <c r="L22" s="37">
        <f ca="1">L20*(1+L21)^YEARFRAC(G24,L29)</f>
        <v>29195374.208333682</v>
      </c>
    </row>
    <row r="23" spans="3:14">
      <c r="C23" s="27" t="s">
        <v>32</v>
      </c>
      <c r="F23" s="38">
        <f>F21*50%</f>
        <v>7003891.0505836578</v>
      </c>
      <c r="G23" s="35"/>
      <c r="I23" s="27" t="s">
        <v>33</v>
      </c>
      <c r="J23" s="39">
        <v>0.3</v>
      </c>
      <c r="K23" s="40">
        <v>1</v>
      </c>
      <c r="L23" s="41">
        <f ca="1">L22*J23/K23</f>
        <v>8758612.2625001036</v>
      </c>
    </row>
    <row r="24" spans="3:14">
      <c r="C24" s="27" t="s">
        <v>34</v>
      </c>
      <c r="F24" s="42">
        <f ca="1">NOW()+30</f>
        <v>44882.623496527776</v>
      </c>
      <c r="G24" s="43">
        <f ca="1">EOMONTH(F24,0)</f>
        <v>44895</v>
      </c>
      <c r="I24" s="27" t="s">
        <v>35</v>
      </c>
      <c r="J24" s="44">
        <f>1-J23</f>
        <v>0.7</v>
      </c>
      <c r="K24" s="18"/>
      <c r="L24" s="41">
        <f ca="1">L22-L23*K23</f>
        <v>20436761.945833579</v>
      </c>
    </row>
    <row r="25" spans="3:14">
      <c r="C25" s="27" t="s">
        <v>36</v>
      </c>
      <c r="F25" s="45">
        <f ca="1">EOMONTH(F24,F22)</f>
        <v>44926</v>
      </c>
      <c r="G25" s="43">
        <f ca="1">EOMONTH(F25,0)</f>
        <v>44926</v>
      </c>
      <c r="I25" s="27" t="s">
        <v>37</v>
      </c>
      <c r="J25" s="27"/>
      <c r="L25" s="26">
        <v>2</v>
      </c>
    </row>
    <row r="26" spans="3:14">
      <c r="C26" s="27" t="s">
        <v>38</v>
      </c>
      <c r="F26" s="36">
        <v>24</v>
      </c>
      <c r="G26" s="46"/>
      <c r="I26" t="s">
        <v>39</v>
      </c>
      <c r="L26" s="687">
        <v>7000</v>
      </c>
    </row>
    <row r="27" spans="3:14">
      <c r="C27" s="27" t="s">
        <v>40</v>
      </c>
      <c r="F27" s="38">
        <f>F21*50%/F26</f>
        <v>291828.79377431906</v>
      </c>
      <c r="G27" s="46"/>
      <c r="I27" s="47" t="s">
        <v>41</v>
      </c>
      <c r="J27" s="47"/>
      <c r="K27" s="47"/>
      <c r="L27" s="48">
        <v>12</v>
      </c>
    </row>
    <row r="28" spans="3:14">
      <c r="C28" s="27" t="s">
        <v>42</v>
      </c>
      <c r="F28" s="26">
        <v>12</v>
      </c>
      <c r="G28" s="49"/>
      <c r="I28" t="s">
        <v>43</v>
      </c>
      <c r="L28" s="50">
        <f ca="1">NOW()+180</f>
        <v>45032.623496527776</v>
      </c>
    </row>
    <row r="29" spans="3:14">
      <c r="C29" s="27" t="s">
        <v>44</v>
      </c>
      <c r="E29" s="7"/>
      <c r="F29" s="42">
        <f ca="1">F24+150</f>
        <v>45032.623496527776</v>
      </c>
      <c r="G29" s="43">
        <f ca="1">EOMONTH(F29,0)</f>
        <v>45046</v>
      </c>
      <c r="I29" s="28" t="s">
        <v>45</v>
      </c>
      <c r="J29" s="28"/>
      <c r="K29" s="28"/>
      <c r="L29" s="29">
        <f ca="1">EOMONTH(L28,L27)+365*2</f>
        <v>46142</v>
      </c>
    </row>
    <row r="30" spans="3:14">
      <c r="C30" s="27" t="s">
        <v>46</v>
      </c>
      <c r="F30" s="45">
        <f ca="1">EOMONTH(F29,F26)</f>
        <v>45777</v>
      </c>
      <c r="G30" s="43">
        <f ca="1">EOMONTH(F30,0)</f>
        <v>45777</v>
      </c>
      <c r="I30" t="s">
        <v>47</v>
      </c>
      <c r="L30" s="51">
        <v>8.8999999999999996E-2</v>
      </c>
    </row>
    <row r="31" spans="3:14">
      <c r="C31" t="s">
        <v>48</v>
      </c>
      <c r="F31" s="51">
        <v>0.1</v>
      </c>
      <c r="G31" s="8"/>
      <c r="I31" s="28" t="s">
        <v>49</v>
      </c>
      <c r="J31" s="28"/>
      <c r="K31" s="52">
        <v>1</v>
      </c>
      <c r="L31" s="53">
        <v>0.05</v>
      </c>
    </row>
    <row r="32" spans="3:14">
      <c r="C32" s="28" t="s">
        <v>50</v>
      </c>
      <c r="D32" s="28"/>
      <c r="E32" s="28"/>
      <c r="F32" s="54">
        <v>6</v>
      </c>
      <c r="G32" s="8"/>
    </row>
    <row r="33" spans="3:24">
      <c r="G33" s="8"/>
    </row>
    <row r="34" spans="3:24">
      <c r="C34" s="15" t="s">
        <v>51</v>
      </c>
      <c r="D34" s="15"/>
      <c r="E34" s="15"/>
      <c r="F34" s="15"/>
      <c r="G34" s="15"/>
      <c r="H34" s="15"/>
      <c r="I34" s="15"/>
      <c r="J34" s="15"/>
      <c r="K34" s="15"/>
      <c r="L34" s="15"/>
    </row>
    <row r="35" spans="3:24" ht="5.25" customHeight="1"/>
    <row r="36" spans="3:24">
      <c r="C36" s="55" t="s">
        <v>52</v>
      </c>
      <c r="D36" s="55"/>
      <c r="E36" s="55"/>
      <c r="F36" s="55"/>
      <c r="I36" s="55" t="s">
        <v>53</v>
      </c>
      <c r="J36" s="56"/>
      <c r="K36" s="56"/>
      <c r="L36" s="56"/>
    </row>
    <row r="37" spans="3:24">
      <c r="C37" s="57" t="s">
        <v>54</v>
      </c>
      <c r="F37" s="58"/>
      <c r="I37" s="27" t="s">
        <v>55</v>
      </c>
      <c r="L37" s="59">
        <f ca="1">'Fluxo de caixa'!E26</f>
        <v>0.18202218413352972</v>
      </c>
      <c r="N37" s="60" t="s">
        <v>56</v>
      </c>
      <c r="O37" s="61">
        <f ca="1">YEAR(G24)</f>
        <v>2022</v>
      </c>
      <c r="P37" s="61">
        <f ca="1">O37+1</f>
        <v>2023</v>
      </c>
      <c r="Q37" s="61">
        <f t="shared" ref="Q37:X37" ca="1" si="0">P37+1</f>
        <v>2024</v>
      </c>
      <c r="R37" s="61">
        <f t="shared" ca="1" si="0"/>
        <v>2025</v>
      </c>
      <c r="S37" s="61">
        <f t="shared" ca="1" si="0"/>
        <v>2026</v>
      </c>
      <c r="T37" s="61">
        <f t="shared" ca="1" si="0"/>
        <v>2027</v>
      </c>
      <c r="U37" s="61">
        <f t="shared" ca="1" si="0"/>
        <v>2028</v>
      </c>
      <c r="V37" s="61">
        <f t="shared" ca="1" si="0"/>
        <v>2029</v>
      </c>
      <c r="W37" s="61">
        <f t="shared" ca="1" si="0"/>
        <v>2030</v>
      </c>
      <c r="X37" s="61">
        <f t="shared" ca="1" si="0"/>
        <v>2031</v>
      </c>
    </row>
    <row r="38" spans="3:24">
      <c r="C38" s="27" t="s">
        <v>57</v>
      </c>
      <c r="F38" s="62">
        <f ca="1">'Fluxo de caixa'!F20+'Fluxo de caixa'!F21</f>
        <v>29195374.208333682</v>
      </c>
      <c r="I38" s="27" t="s">
        <v>58</v>
      </c>
      <c r="L38" s="59">
        <f ca="1">'Fluxo de caixa'!E27</f>
        <v>2.9878833889961241E-2</v>
      </c>
      <c r="N38" s="1" t="s">
        <v>59</v>
      </c>
    </row>
    <row r="39" spans="3:24">
      <c r="C39" s="27" t="s">
        <v>60</v>
      </c>
      <c r="F39" s="62">
        <f ca="1">'Fluxo de caixa'!F22</f>
        <v>-1459768.7104166842</v>
      </c>
      <c r="I39" s="63" t="s">
        <v>61</v>
      </c>
      <c r="J39" s="47"/>
      <c r="K39" s="47"/>
      <c r="L39" s="64">
        <f ca="1">L37/F18</f>
        <v>1.6161792153920507</v>
      </c>
      <c r="N39" s="65" t="s">
        <v>62</v>
      </c>
      <c r="O39" s="66">
        <f ca="1">SUMIF('Fluxo de caixa'!$G$5:$CX$5,'Painel de Controle para SCP-Inv'!O$37,'Fluxo de caixa'!$G13:$CX13)</f>
        <v>-7003891.0505836578</v>
      </c>
      <c r="P39" s="66">
        <f ca="1">SUMIF('Fluxo de caixa'!$G$5:$CX$5,'Painel de Controle para SCP-Inv'!P$37,'Fluxo de caixa'!$G13:$CX13)</f>
        <v>0</v>
      </c>
      <c r="Q39" s="66">
        <f ca="1">SUMIF('Fluxo de caixa'!$G$5:$CX$5,'Painel de Controle para SCP-Inv'!Q$37,'Fluxo de caixa'!$G13:$CX13)</f>
        <v>0</v>
      </c>
      <c r="R39" s="66">
        <f ca="1">SUMIF('Fluxo de caixa'!$G$5:$CX$5,'Painel de Controle para SCP-Inv'!R$37,'Fluxo de caixa'!$G13:$CX13)</f>
        <v>0</v>
      </c>
      <c r="S39" s="66">
        <f ca="1">SUMIF('Fluxo de caixa'!$G$5:$CX$5,'Painel de Controle para SCP-Inv'!S$37,'Fluxo de caixa'!$G13:$CX13)</f>
        <v>0</v>
      </c>
      <c r="T39" s="66">
        <f ca="1">SUMIF('Fluxo de caixa'!$G$5:$CX$5,'Painel de Controle para SCP-Inv'!T$37,'Fluxo de caixa'!$G13:$CX13)</f>
        <v>0</v>
      </c>
      <c r="U39" s="66">
        <f ca="1">SUMIF('Fluxo de caixa'!$G$5:$CX$5,'Painel de Controle para SCP-Inv'!U$37,'Fluxo de caixa'!$G13:$CX13)</f>
        <v>0</v>
      </c>
      <c r="V39" s="66">
        <f ca="1">SUMIF('Fluxo de caixa'!$G$5:$CX$5,'Painel de Controle para SCP-Inv'!V$37,'Fluxo de caixa'!$G13:$CX13)</f>
        <v>0</v>
      </c>
      <c r="W39" s="66">
        <f ca="1">SUMIF('Fluxo de caixa'!$G$5:$CX$5,'Painel de Controle para SCP-Inv'!W$37,'Fluxo de caixa'!$G13:$CX13)</f>
        <v>0</v>
      </c>
      <c r="X39" s="66">
        <f ca="1">SUMIF('Fluxo de caixa'!$G$5:$CX$5,'Painel de Controle para SCP-Inv'!X$37,'Fluxo de caixa'!$G13:$CX13)</f>
        <v>0</v>
      </c>
    </row>
    <row r="40" spans="3:24">
      <c r="C40" s="27" t="s">
        <v>63</v>
      </c>
      <c r="F40" s="62">
        <f ca="1">'Fluxo de caixa'!F23</f>
        <v>-967176.51863756881</v>
      </c>
      <c r="I40" s="63" t="s">
        <v>64</v>
      </c>
      <c r="J40" s="47"/>
      <c r="K40" s="47"/>
      <c r="L40" s="67">
        <f ca="1">-SUMIF('Fluxo de caixa'!G26:CX26,"&gt;0")/SUMIF('Fluxo de caixa'!G26:CX26,"&lt;0")</f>
        <v>1.5785484095566229</v>
      </c>
      <c r="N40" s="65" t="s">
        <v>65</v>
      </c>
      <c r="O40" s="66">
        <f ca="1">SUMIF('Fluxo de caixa'!$G$5:$CX$5,'Painel de Controle para SCP-Inv'!O$37,'Fluxo de caixa'!$G14:$CX14)</f>
        <v>0</v>
      </c>
      <c r="P40" s="66">
        <f ca="1">SUMIF('Fluxo de caixa'!$G$5:$CX$5,'Painel de Controle para SCP-Inv'!P$37,'Fluxo de caixa'!$G14:$CX14)</f>
        <v>-2691828.7937743203</v>
      </c>
      <c r="Q40" s="66">
        <f ca="1">SUMIF('Fluxo de caixa'!$G$5:$CX$5,'Painel de Controle para SCP-Inv'!Q$37,'Fluxo de caixa'!$G14:$CX14)</f>
        <v>-3966854.4747081767</v>
      </c>
      <c r="R40" s="66">
        <f ca="1">SUMIF('Fluxo de caixa'!$G$5:$CX$5,'Painel de Controle para SCP-Inv'!R$37,'Fluxo de caixa'!$G14:$CX14)</f>
        <v>-1082577.431906617</v>
      </c>
      <c r="S40" s="66">
        <f ca="1">SUMIF('Fluxo de caixa'!$G$5:$CX$5,'Painel de Controle para SCP-Inv'!S$37,'Fluxo de caixa'!$G14:$CX14)</f>
        <v>0</v>
      </c>
      <c r="T40" s="66">
        <f ca="1">SUMIF('Fluxo de caixa'!$G$5:$CX$5,'Painel de Controle para SCP-Inv'!T$37,'Fluxo de caixa'!$G14:$CX14)</f>
        <v>0</v>
      </c>
      <c r="U40" s="66">
        <f ca="1">SUMIF('Fluxo de caixa'!$G$5:$CX$5,'Painel de Controle para SCP-Inv'!U$37,'Fluxo de caixa'!$G14:$CX14)</f>
        <v>0</v>
      </c>
      <c r="V40" s="66">
        <f ca="1">SUMIF('Fluxo de caixa'!$G$5:$CX$5,'Painel de Controle para SCP-Inv'!V$37,'Fluxo de caixa'!$G14:$CX14)</f>
        <v>0</v>
      </c>
      <c r="W40" s="66">
        <f ca="1">SUMIF('Fluxo de caixa'!$G$5:$CX$5,'Painel de Controle para SCP-Inv'!W$37,'Fluxo de caixa'!$G14:$CX14)</f>
        <v>0</v>
      </c>
      <c r="X40" s="66">
        <f ca="1">SUMIF('Fluxo de caixa'!$G$5:$CX$5,'Painel de Controle para SCP-Inv'!X$37,'Fluxo de caixa'!$G14:$CX14)</f>
        <v>0</v>
      </c>
    </row>
    <row r="41" spans="3:24">
      <c r="C41" t="s">
        <v>66</v>
      </c>
      <c r="I41" s="30" t="s">
        <v>67</v>
      </c>
      <c r="J41" s="28"/>
      <c r="K41" s="28"/>
      <c r="L41" s="68">
        <f ca="1">-SUMIF('Fluxo de caixa'!G27:CX27,"&gt;0")/SUMIF('Fluxo de caixa'!G27:CX27,"&lt;0")</f>
        <v>1.0855159316851077</v>
      </c>
      <c r="N41" s="65" t="s">
        <v>48</v>
      </c>
      <c r="O41" s="66">
        <f ca="1">SUMIF('Fluxo de caixa'!$G$5:$CX$5,'Painel de Controle para SCP-Inv'!O$37,'Fluxo de caixa'!$G15:$CX15)</f>
        <v>0</v>
      </c>
      <c r="P41" s="66">
        <f ca="1">SUMIF('Fluxo de caixa'!$G$5:$CX$5,'Painel de Controle para SCP-Inv'!P$37,'Fluxo de caixa'!$G15:$CX15)</f>
        <v>0</v>
      </c>
      <c r="Q41" s="66">
        <f ca="1">SUMIF('Fluxo de caixa'!$G$5:$CX$5,'Painel de Controle para SCP-Inv'!Q$37,'Fluxo de caixa'!$G15:$CX15)</f>
        <v>0</v>
      </c>
      <c r="R41" s="66">
        <f ca="1">SUMIF('Fluxo de caixa'!$G$5:$CX$5,'Painel de Controle para SCP-Inv'!R$37,'Fluxo de caixa'!$G15:$CX15)</f>
        <v>-1474515.1750972774</v>
      </c>
      <c r="S41" s="66">
        <f ca="1">SUMIF('Fluxo de caixa'!$G$5:$CX$5,'Painel de Controle para SCP-Inv'!S$37,'Fluxo de caixa'!$G15:$CX15)</f>
        <v>0</v>
      </c>
      <c r="T41" s="66">
        <f ca="1">SUMIF('Fluxo de caixa'!$G$5:$CX$5,'Painel de Controle para SCP-Inv'!T$37,'Fluxo de caixa'!$G15:$CX15)</f>
        <v>0</v>
      </c>
      <c r="U41" s="66">
        <f ca="1">SUMIF('Fluxo de caixa'!$G$5:$CX$5,'Painel de Controle para SCP-Inv'!U$37,'Fluxo de caixa'!$G15:$CX15)</f>
        <v>0</v>
      </c>
      <c r="V41" s="66">
        <f ca="1">SUMIF('Fluxo de caixa'!$G$5:$CX$5,'Painel de Controle para SCP-Inv'!V$37,'Fluxo de caixa'!$G15:$CX15)</f>
        <v>0</v>
      </c>
      <c r="W41" s="66">
        <f ca="1">SUMIF('Fluxo de caixa'!$G$5:$CX$5,'Painel de Controle para SCP-Inv'!W$37,'Fluxo de caixa'!$G15:$CX15)</f>
        <v>0</v>
      </c>
      <c r="X41" s="66">
        <f ca="1">SUMIF('Fluxo de caixa'!$G$5:$CX$5,'Painel de Controle para SCP-Inv'!X$37,'Fluxo de caixa'!$G15:$CX15)</f>
        <v>0</v>
      </c>
    </row>
    <row r="42" spans="3:24">
      <c r="C42" s="27" t="s">
        <v>68</v>
      </c>
      <c r="D42" s="8"/>
      <c r="E42" s="8"/>
      <c r="F42" s="62">
        <f ca="1">'Fluxo de caixa'!F13</f>
        <v>-7003891.0505836578</v>
      </c>
      <c r="I42" s="27" t="s">
        <v>69</v>
      </c>
      <c r="L42" s="62">
        <f ca="1">'Fluxo de caixa'!C28</f>
        <v>-16957623.103112847</v>
      </c>
      <c r="N42" s="65" t="s">
        <v>70</v>
      </c>
      <c r="O42" s="66">
        <f ca="1">SUMIF('Fluxo de caixa'!$G$5:$CX$5,'Painel de Controle para SCP-Inv'!O$37,'Fluxo de caixa'!$G16:$CX16)</f>
        <v>0</v>
      </c>
      <c r="P42" s="66">
        <f ca="1">SUMIF('Fluxo de caixa'!$G$5:$CX$5,'Painel de Controle para SCP-Inv'!P$37,'Fluxo de caixa'!$G16:$CX16)</f>
        <v>-648786.6770428021</v>
      </c>
      <c r="Q42" s="66">
        <f ca="1">SUMIF('Fluxo de caixa'!$G$5:$CX$5,'Painel de Controle para SCP-Inv'!Q$37,'Fluxo de caixa'!$G16:$CX16)</f>
        <v>0</v>
      </c>
      <c r="R42" s="66">
        <f ca="1">SUMIF('Fluxo de caixa'!$G$5:$CX$5,'Painel de Controle para SCP-Inv'!R$37,'Fluxo de caixa'!$G16:$CX16)</f>
        <v>0</v>
      </c>
      <c r="S42" s="66">
        <f ca="1">SUMIF('Fluxo de caixa'!$G$5:$CX$5,'Painel de Controle para SCP-Inv'!S$37,'Fluxo de caixa'!$G16:$CX16)</f>
        <v>0</v>
      </c>
      <c r="T42" s="66">
        <f ca="1">SUMIF('Fluxo de caixa'!$G$5:$CX$5,'Painel de Controle para SCP-Inv'!T$37,'Fluxo de caixa'!$G16:$CX16)</f>
        <v>0</v>
      </c>
      <c r="U42" s="66">
        <f ca="1">SUMIF('Fluxo de caixa'!$G$5:$CX$5,'Painel de Controle para SCP-Inv'!U$37,'Fluxo de caixa'!$G16:$CX16)</f>
        <v>0</v>
      </c>
      <c r="V42" s="66">
        <f ca="1">SUMIF('Fluxo de caixa'!$G$5:$CX$5,'Painel de Controle para SCP-Inv'!V$37,'Fluxo de caixa'!$G16:$CX16)</f>
        <v>0</v>
      </c>
      <c r="W42" s="66">
        <f ca="1">SUMIF('Fluxo de caixa'!$G$5:$CX$5,'Painel de Controle para SCP-Inv'!W$37,'Fluxo de caixa'!$G16:$CX16)</f>
        <v>0</v>
      </c>
      <c r="X42" s="66">
        <f ca="1">SUMIF('Fluxo de caixa'!$G$5:$CX$5,'Painel de Controle para SCP-Inv'!X$37,'Fluxo de caixa'!$G16:$CX16)</f>
        <v>0</v>
      </c>
    </row>
    <row r="43" spans="3:24">
      <c r="C43" s="27" t="s">
        <v>71</v>
      </c>
      <c r="D43" s="8"/>
      <c r="E43" s="8"/>
      <c r="F43" s="62">
        <f ca="1">'Fluxo de caixa'!F14</f>
        <v>-7741260.700389117</v>
      </c>
      <c r="I43" s="27" t="s">
        <v>72</v>
      </c>
      <c r="L43" s="62">
        <f ca="1">'Fluxo de caixa'!C29</f>
        <v>-15134949.837089349</v>
      </c>
      <c r="N43" s="65" t="s">
        <v>73</v>
      </c>
      <c r="O43" s="66">
        <f ca="1">SUMIF('Fluxo de caixa'!$G$5:$CX$5,'Painel de Controle para SCP-Inv'!O$37,'Fluxo de caixa'!$G17:$CX17)</f>
        <v>0</v>
      </c>
      <c r="P43" s="66">
        <f ca="1">SUMIF('Fluxo de caixa'!$G$5:$CX$5,'Painel de Controle para SCP-Inv'!P$37,'Fluxo de caixa'!$G17:$CX17)</f>
        <v>-65067.799999999988</v>
      </c>
      <c r="Q43" s="66">
        <f ca="1">SUMIF('Fluxo de caixa'!$G$5:$CX$5,'Painel de Controle para SCP-Inv'!Q$37,'Fluxo de caixa'!$G17:$CX17)</f>
        <v>-24101.699999999972</v>
      </c>
      <c r="R43" s="66">
        <f ca="1">SUMIF('Fluxo de caixa'!$G$5:$CX$5,'Painel de Controle para SCP-Inv'!R$37,'Fluxo de caixa'!$G17:$CX17)</f>
        <v>0</v>
      </c>
      <c r="S43" s="66">
        <f ca="1">SUMIF('Fluxo de caixa'!$G$5:$CX$5,'Painel de Controle para SCP-Inv'!S$37,'Fluxo de caixa'!$G17:$CX17)</f>
        <v>0</v>
      </c>
      <c r="T43" s="66">
        <f ca="1">SUMIF('Fluxo de caixa'!$G$5:$CX$5,'Painel de Controle para SCP-Inv'!T$37,'Fluxo de caixa'!$G17:$CX17)</f>
        <v>0</v>
      </c>
      <c r="U43" s="66">
        <f ca="1">SUMIF('Fluxo de caixa'!$G$5:$CX$5,'Painel de Controle para SCP-Inv'!U$37,'Fluxo de caixa'!$G17:$CX17)</f>
        <v>0</v>
      </c>
      <c r="V43" s="66">
        <f ca="1">SUMIF('Fluxo de caixa'!$G$5:$CX$5,'Painel de Controle para SCP-Inv'!V$37,'Fluxo de caixa'!$G17:$CX17)</f>
        <v>0</v>
      </c>
      <c r="W43" s="66">
        <f ca="1">SUMIF('Fluxo de caixa'!$G$5:$CX$5,'Painel de Controle para SCP-Inv'!W$37,'Fluxo de caixa'!$G17:$CX17)</f>
        <v>0</v>
      </c>
      <c r="X43" s="66">
        <f ca="1">SUMIF('Fluxo de caixa'!$G$5:$CX$5,'Painel de Controle para SCP-Inv'!X$37,'Fluxo de caixa'!$G17:$CX17)</f>
        <v>0</v>
      </c>
    </row>
    <row r="44" spans="3:24">
      <c r="C44" s="27" t="s">
        <v>74</v>
      </c>
      <c r="D44" s="8"/>
      <c r="E44" s="8"/>
      <c r="F44" s="62">
        <f ca="1">'Fluxo de caixa'!F15</f>
        <v>-1474515.1750972774</v>
      </c>
      <c r="I44" s="63" t="s">
        <v>75</v>
      </c>
      <c r="J44" s="47"/>
      <c r="K44" s="47"/>
      <c r="L44" s="69">
        <f ca="1">'Fluxo de caixa'!D26</f>
        <v>2808130.6014468027</v>
      </c>
      <c r="N44" s="1" t="s">
        <v>26</v>
      </c>
      <c r="O44" s="18"/>
      <c r="P44" s="18"/>
      <c r="Q44" s="18"/>
      <c r="R44" s="18"/>
      <c r="S44" s="18"/>
      <c r="T44" s="18"/>
      <c r="U44" s="18"/>
      <c r="V44" s="18"/>
      <c r="W44" s="18"/>
      <c r="X44" s="18"/>
    </row>
    <row r="45" spans="3:24">
      <c r="C45" s="27" t="s">
        <v>76</v>
      </c>
      <c r="F45" s="62">
        <f ca="1">'Fluxo de caixa'!F16</f>
        <v>-648786.6770428021</v>
      </c>
      <c r="I45" s="30" t="s">
        <v>77</v>
      </c>
      <c r="J45" s="28"/>
      <c r="K45" s="28"/>
      <c r="L45" s="70">
        <f ca="1">'Fluxo de caixa'!D27</f>
        <v>-2727135.899864974</v>
      </c>
      <c r="N45" s="65" t="s">
        <v>33</v>
      </c>
      <c r="O45" s="66">
        <f ca="1">SUMIF('Fluxo de caixa'!$G$5:$CX$5,'Painel de Controle para SCP-Inv'!O$37,'Fluxo de caixa'!$G20:$CX20)</f>
        <v>0</v>
      </c>
      <c r="P45" s="66">
        <f ca="1">SUMIF('Fluxo de caixa'!$G$5:$CX$5,'Painel de Controle para SCP-Inv'!P$37,'Fluxo de caixa'!$G20:$CX20)</f>
        <v>0</v>
      </c>
      <c r="Q45" s="66">
        <f ca="1">SUMIF('Fluxo de caixa'!$G$5:$CX$5,'Painel de Controle para SCP-Inv'!Q$37,'Fluxo de caixa'!$G20:$CX20)</f>
        <v>0</v>
      </c>
      <c r="R45" s="66">
        <f ca="1">SUMIF('Fluxo de caixa'!$G$5:$CX$5,'Painel de Controle para SCP-Inv'!R$37,'Fluxo de caixa'!$G20:$CX20)</f>
        <v>0</v>
      </c>
      <c r="S45" s="66">
        <f ca="1">SUMIF('Fluxo de caixa'!$G$5:$CX$5,'Painel de Controle para SCP-Inv'!S$37,'Fluxo de caixa'!$G20:$CX20)</f>
        <v>8758612.2625001036</v>
      </c>
      <c r="T45" s="66">
        <f ca="1">SUMIF('Fluxo de caixa'!$G$5:$CX$5,'Painel de Controle para SCP-Inv'!T$37,'Fluxo de caixa'!$G20:$CX20)</f>
        <v>0</v>
      </c>
      <c r="U45" s="66">
        <f ca="1">SUMIF('Fluxo de caixa'!$G$5:$CX$5,'Painel de Controle para SCP-Inv'!U$37,'Fluxo de caixa'!$G20:$CX20)</f>
        <v>0</v>
      </c>
      <c r="V45" s="66">
        <f ca="1">SUMIF('Fluxo de caixa'!$G$5:$CX$5,'Painel de Controle para SCP-Inv'!V$37,'Fluxo de caixa'!$G20:$CX20)</f>
        <v>0</v>
      </c>
      <c r="W45" s="66">
        <f ca="1">SUMIF('Fluxo de caixa'!$G$5:$CX$5,'Painel de Controle para SCP-Inv'!W$37,'Fluxo de caixa'!$G20:$CX20)</f>
        <v>0</v>
      </c>
      <c r="X45" s="66">
        <f ca="1">SUMIF('Fluxo de caixa'!$G$5:$CX$5,'Painel de Controle para SCP-Inv'!X$37,'Fluxo de caixa'!$G20:$CX20)</f>
        <v>0</v>
      </c>
    </row>
    <row r="46" spans="3:24">
      <c r="C46" s="27" t="s">
        <v>78</v>
      </c>
      <c r="D46" s="8"/>
      <c r="E46" s="8"/>
      <c r="F46" s="62">
        <f ca="1">'Fluxo de caixa'!F17</f>
        <v>-89169.499999999971</v>
      </c>
      <c r="N46" s="65" t="s">
        <v>35</v>
      </c>
      <c r="O46" s="66">
        <f ca="1">SUMIF('Fluxo de caixa'!$G$5:$CX$5,'Painel de Controle para SCP-Inv'!O$37,'Fluxo de caixa'!$G21:$CX21)</f>
        <v>0</v>
      </c>
      <c r="P46" s="66">
        <f ca="1">SUMIF('Fluxo de caixa'!$G$5:$CX$5,'Painel de Controle para SCP-Inv'!P$37,'Fluxo de caixa'!$G21:$CX21)</f>
        <v>0</v>
      </c>
      <c r="Q46" s="66">
        <f ca="1">SUMIF('Fluxo de caixa'!$G$5:$CX$5,'Painel de Controle para SCP-Inv'!Q$37,'Fluxo de caixa'!$G21:$CX21)</f>
        <v>0</v>
      </c>
      <c r="R46" s="66">
        <f ca="1">SUMIF('Fluxo de caixa'!$G$5:$CX$5,'Painel de Controle para SCP-Inv'!R$37,'Fluxo de caixa'!$G21:$CX21)</f>
        <v>0</v>
      </c>
      <c r="S46" s="66">
        <f ca="1">SUMIF('Fluxo de caixa'!$G$5:$CX$5,'Painel de Controle para SCP-Inv'!S$37,'Fluxo de caixa'!$G21:$CX21)</f>
        <v>20436761.945833579</v>
      </c>
      <c r="T46" s="66">
        <f ca="1">SUMIF('Fluxo de caixa'!$G$5:$CX$5,'Painel de Controle para SCP-Inv'!T$37,'Fluxo de caixa'!$G21:$CX21)</f>
        <v>0</v>
      </c>
      <c r="U46" s="66">
        <f ca="1">SUMIF('Fluxo de caixa'!$G$5:$CX$5,'Painel de Controle para SCP-Inv'!U$37,'Fluxo de caixa'!$G21:$CX21)</f>
        <v>0</v>
      </c>
      <c r="V46" s="66">
        <f ca="1">SUMIF('Fluxo de caixa'!$G$5:$CX$5,'Painel de Controle para SCP-Inv'!V$37,'Fluxo de caixa'!$G21:$CX21)</f>
        <v>0</v>
      </c>
      <c r="W46" s="66">
        <f ca="1">SUMIF('Fluxo de caixa'!$G$5:$CX$5,'Painel de Controle para SCP-Inv'!W$37,'Fluxo de caixa'!$G21:$CX21)</f>
        <v>0</v>
      </c>
      <c r="X46" s="66">
        <f ca="1">SUMIF('Fluxo de caixa'!$G$5:$CX$5,'Painel de Controle para SCP-Inv'!X$37,'Fluxo de caixa'!$G21:$CX21)</f>
        <v>0</v>
      </c>
    </row>
    <row r="47" spans="3:24" ht="16" thickBot="1">
      <c r="C47" s="71" t="s">
        <v>79</v>
      </c>
      <c r="D47" s="72"/>
      <c r="E47" s="72"/>
      <c r="F47" s="73">
        <f ca="1">SUM(F38:F46)</f>
        <v>9810805.8761665747</v>
      </c>
      <c r="N47" s="65" t="s">
        <v>49</v>
      </c>
      <c r="O47" s="66">
        <f ca="1">SUMIF('Fluxo de caixa'!$G$5:$CX$5,'Painel de Controle para SCP-Inv'!O$37,'Fluxo de caixa'!$G22:$CX22)</f>
        <v>0</v>
      </c>
      <c r="P47" s="66">
        <f ca="1">SUMIF('Fluxo de caixa'!$G$5:$CX$5,'Painel de Controle para SCP-Inv'!P$37,'Fluxo de caixa'!$G22:$CX22)</f>
        <v>0</v>
      </c>
      <c r="Q47" s="66">
        <f ca="1">SUMIF('Fluxo de caixa'!$G$5:$CX$5,'Painel de Controle para SCP-Inv'!Q$37,'Fluxo de caixa'!$G22:$CX22)</f>
        <v>0</v>
      </c>
      <c r="R47" s="66">
        <f ca="1">SUMIF('Fluxo de caixa'!$G$5:$CX$5,'Painel de Controle para SCP-Inv'!R$37,'Fluxo de caixa'!$G22:$CX22)</f>
        <v>0</v>
      </c>
      <c r="S47" s="66">
        <f ca="1">SUMIF('Fluxo de caixa'!$G$5:$CX$5,'Painel de Controle para SCP-Inv'!S$37,'Fluxo de caixa'!$G22:$CX22)</f>
        <v>-1459768.7104166842</v>
      </c>
      <c r="T47" s="66">
        <f ca="1">SUMIF('Fluxo de caixa'!$G$5:$CX$5,'Painel de Controle para SCP-Inv'!T$37,'Fluxo de caixa'!$G22:$CX22)</f>
        <v>0</v>
      </c>
      <c r="U47" s="66">
        <f ca="1">SUMIF('Fluxo de caixa'!$G$5:$CX$5,'Painel de Controle para SCP-Inv'!U$37,'Fluxo de caixa'!$G22:$CX22)</f>
        <v>0</v>
      </c>
      <c r="V47" s="66">
        <f ca="1">SUMIF('Fluxo de caixa'!$G$5:$CX$5,'Painel de Controle para SCP-Inv'!V$37,'Fluxo de caixa'!$G22:$CX22)</f>
        <v>0</v>
      </c>
      <c r="W47" s="66">
        <f ca="1">SUMIF('Fluxo de caixa'!$G$5:$CX$5,'Painel de Controle para SCP-Inv'!W$37,'Fluxo de caixa'!$G22:$CX22)</f>
        <v>0</v>
      </c>
      <c r="X47" s="66">
        <f ca="1">SUMIF('Fluxo de caixa'!$G$5:$CX$5,'Painel de Controle para SCP-Inv'!X$37,'Fluxo de caixa'!$G22:$CX22)</f>
        <v>0</v>
      </c>
    </row>
    <row r="48" spans="3:24">
      <c r="N48" s="65" t="s">
        <v>47</v>
      </c>
      <c r="O48" s="66">
        <f ca="1">SUMIF('Fluxo de caixa'!$G$5:$CX$5,'Painel de Controle para SCP-Inv'!O$37,'Fluxo de caixa'!$G23:$CX23)</f>
        <v>0</v>
      </c>
      <c r="P48" s="66">
        <f ca="1">SUMIF('Fluxo de caixa'!$G$5:$CX$5,'Painel de Controle para SCP-Inv'!P$37,'Fluxo de caixa'!$G23:$CX23)</f>
        <v>0</v>
      </c>
      <c r="Q48" s="66">
        <f ca="1">SUMIF('Fluxo de caixa'!$G$5:$CX$5,'Painel de Controle para SCP-Inv'!Q$37,'Fluxo de caixa'!$G23:$CX23)</f>
        <v>0</v>
      </c>
      <c r="R48" s="66">
        <f ca="1">SUMIF('Fluxo de caixa'!$G$5:$CX$5,'Painel de Controle para SCP-Inv'!R$37,'Fluxo de caixa'!$G23:$CX23)</f>
        <v>0</v>
      </c>
      <c r="S48" s="66">
        <f ca="1">SUMIF('Fluxo de caixa'!$G$5:$CX$5,'Painel de Controle para SCP-Inv'!S$37,'Fluxo de caixa'!$G23:$CX23)</f>
        <v>-967176.51863756881</v>
      </c>
      <c r="T48" s="66">
        <f ca="1">SUMIF('Fluxo de caixa'!$G$5:$CX$5,'Painel de Controle para SCP-Inv'!T$37,'Fluxo de caixa'!$G23:$CX23)</f>
        <v>0</v>
      </c>
      <c r="U48" s="66">
        <f ca="1">SUMIF('Fluxo de caixa'!$G$5:$CX$5,'Painel de Controle para SCP-Inv'!U$37,'Fluxo de caixa'!$G23:$CX23)</f>
        <v>0</v>
      </c>
      <c r="V48" s="66">
        <f ca="1">SUMIF('Fluxo de caixa'!$G$5:$CX$5,'Painel de Controle para SCP-Inv'!V$37,'Fluxo de caixa'!$G23:$CX23)</f>
        <v>0</v>
      </c>
      <c r="W48" s="66">
        <f ca="1">SUMIF('Fluxo de caixa'!$G$5:$CX$5,'Painel de Controle para SCP-Inv'!W$37,'Fluxo de caixa'!$G23:$CX23)</f>
        <v>0</v>
      </c>
      <c r="X48" s="66">
        <f ca="1">SUMIF('Fluxo de caixa'!$G$5:$CX$5,'Painel de Controle para SCP-Inv'!X$37,'Fluxo de caixa'!$G23:$CX23)</f>
        <v>0</v>
      </c>
    </row>
    <row r="49" spans="3:24">
      <c r="N49" s="3" t="s">
        <v>80</v>
      </c>
      <c r="O49" s="74">
        <f ca="1">SUMIF('Fluxo de caixa'!$G$5:$CX$5,'Painel de Controle para SCP-Inv'!O$37,'Fluxo de caixa'!$G26:$CX26)</f>
        <v>-7003891.0505836578</v>
      </c>
      <c r="P49" s="74">
        <f ca="1">SUMIF('Fluxo de caixa'!$G$5:$CX$5,'Painel de Controle para SCP-Inv'!P$37,'Fluxo de caixa'!$G26:$CX26)</f>
        <v>-3405683.270817122</v>
      </c>
      <c r="Q49" s="74">
        <f ca="1">SUMIF('Fluxo de caixa'!$G$5:$CX$5,'Painel de Controle para SCP-Inv'!Q$37,'Fluxo de caixa'!$G26:$CX26)</f>
        <v>-3990956.1747081769</v>
      </c>
      <c r="R49" s="74">
        <f ca="1">SUMIF('Fluxo de caixa'!$G$5:$CX$5,'Painel de Controle para SCP-Inv'!R$37,'Fluxo de caixa'!$G26:$CX26)</f>
        <v>-2557092.6070038942</v>
      </c>
      <c r="S49" s="74">
        <f ca="1">SUMIF('Fluxo de caixa'!$G$5:$CX$5,'Painel de Controle para SCP-Inv'!S$37,'Fluxo de caixa'!$G26:$CX26)</f>
        <v>26768428.979279429</v>
      </c>
      <c r="T49" s="74">
        <f ca="1">SUMIF('Fluxo de caixa'!$G$5:$CX$5,'Painel de Controle para SCP-Inv'!T$37,'Fluxo de caixa'!$G26:$CX26)</f>
        <v>0</v>
      </c>
      <c r="U49" s="74">
        <f ca="1">SUMIF('Fluxo de caixa'!$G$5:$CX$5,'Painel de Controle para SCP-Inv'!U$37,'Fluxo de caixa'!$G26:$CX26)</f>
        <v>0</v>
      </c>
      <c r="V49" s="74">
        <f ca="1">SUMIF('Fluxo de caixa'!$G$5:$CX$5,'Painel de Controle para SCP-Inv'!V$37,'Fluxo de caixa'!$G26:$CX26)</f>
        <v>0</v>
      </c>
      <c r="W49" s="74">
        <f ca="1">SUMIF('Fluxo de caixa'!$G$5:$CX$5,'Painel de Controle para SCP-Inv'!W$37,'Fluxo de caixa'!$G26:$CX26)</f>
        <v>0</v>
      </c>
      <c r="X49" s="74">
        <f ca="1">SUMIF('Fluxo de caixa'!$G$5:$CX$5,'Painel de Controle para SCP-Inv'!X$37,'Fluxo de caixa'!$G26:$CX26)</f>
        <v>0</v>
      </c>
    </row>
    <row r="50" spans="3:24">
      <c r="C50" s="75" t="s">
        <v>81</v>
      </c>
      <c r="D50" s="76"/>
      <c r="E50" s="76"/>
      <c r="F50" s="76"/>
      <c r="N50" s="55" t="s">
        <v>82</v>
      </c>
      <c r="O50" s="77">
        <f ca="1">SUMIF('Fluxo de caixa'!$G$5:$CX$5,'Painel de Controle para SCP-Inv'!O$37,'Fluxo de caixa'!$G27:$CX27)</f>
        <v>-7003891.0505836578</v>
      </c>
      <c r="P50" s="77">
        <f ca="1">SUMIF('Fluxo de caixa'!$G$5:$CX$5,'Painel de Controle para SCP-Inv'!P$37,'Fluxo de caixa'!$G27:$CX27)</f>
        <v>-3119006.8001513584</v>
      </c>
      <c r="Q50" s="77">
        <f ca="1">SUMIF('Fluxo de caixa'!$G$5:$CX$5,'Painel de Controle para SCP-Inv'!Q$37,'Fluxo de caixa'!$G27:$CX27)</f>
        <v>-3190705.4124131636</v>
      </c>
      <c r="R50" s="77">
        <f ca="1">SUMIF('Fluxo de caixa'!$G$5:$CX$5,'Painel de Controle para SCP-Inv'!R$37,'Fluxo de caixa'!$G27:$CX27)</f>
        <v>-1821346.5739411723</v>
      </c>
      <c r="S50" s="77">
        <f ca="1">SUMIF('Fluxo de caixa'!$G$5:$CX$5,'Painel de Controle para SCP-Inv'!S$37,'Fluxo de caixa'!$G27:$CX27)</f>
        <v>16429229.173415415</v>
      </c>
      <c r="T50" s="77">
        <f ca="1">SUMIF('Fluxo de caixa'!$G$5:$CX$5,'Painel de Controle para SCP-Inv'!T$37,'Fluxo de caixa'!$G27:$CX27)</f>
        <v>0</v>
      </c>
      <c r="U50" s="77">
        <f ca="1">SUMIF('Fluxo de caixa'!$G$5:$CX$5,'Painel de Controle para SCP-Inv'!U$37,'Fluxo de caixa'!$G27:$CX27)</f>
        <v>0</v>
      </c>
      <c r="V50" s="77">
        <f ca="1">SUMIF('Fluxo de caixa'!$G$5:$CX$5,'Painel de Controle para SCP-Inv'!V$37,'Fluxo de caixa'!$G27:$CX27)</f>
        <v>0</v>
      </c>
      <c r="W50" s="77">
        <f ca="1">SUMIF('Fluxo de caixa'!$G$5:$CX$5,'Painel de Controle para SCP-Inv'!W$37,'Fluxo de caixa'!$G27:$CX27)</f>
        <v>0</v>
      </c>
      <c r="X50" s="77">
        <f ca="1">SUMIF('Fluxo de caixa'!$G$5:$CX$5,'Painel de Controle para SCP-Inv'!X$37,'Fluxo de caixa'!$G27:$CX27)</f>
        <v>0</v>
      </c>
    </row>
    <row r="51" spans="3:24">
      <c r="C51" s="78" t="s">
        <v>62</v>
      </c>
      <c r="D51" s="76"/>
      <c r="E51" s="79">
        <f ca="1">-F42/1000</f>
        <v>7003.8910505836575</v>
      </c>
      <c r="F51" s="80">
        <v>0</v>
      </c>
      <c r="N51" s="3" t="s">
        <v>83</v>
      </c>
      <c r="O51" s="74">
        <f ca="1">O49</f>
        <v>-7003891.0505836578</v>
      </c>
      <c r="P51" s="74">
        <f ca="1">O51+P49</f>
        <v>-10409574.32140078</v>
      </c>
      <c r="Q51" s="74">
        <f t="shared" ref="Q51:X52" ca="1" si="1">P51+Q49</f>
        <v>-14400530.496108957</v>
      </c>
      <c r="R51" s="74">
        <f t="shared" ca="1" si="1"/>
        <v>-16957623.10311285</v>
      </c>
      <c r="S51" s="74">
        <f t="shared" ca="1" si="1"/>
        <v>9810805.8761665784</v>
      </c>
      <c r="T51" s="74">
        <f t="shared" ca="1" si="1"/>
        <v>9810805.8761665784</v>
      </c>
      <c r="U51" s="74">
        <f t="shared" ca="1" si="1"/>
        <v>9810805.8761665784</v>
      </c>
      <c r="V51" s="74">
        <f t="shared" ca="1" si="1"/>
        <v>9810805.8761665784</v>
      </c>
      <c r="W51" s="74">
        <f t="shared" ca="1" si="1"/>
        <v>9810805.8761665784</v>
      </c>
      <c r="X51" s="74">
        <f t="shared" ca="1" si="1"/>
        <v>9810805.8761665784</v>
      </c>
    </row>
    <row r="52" spans="3:24" ht="16" thickBot="1">
      <c r="C52" s="78" t="s">
        <v>65</v>
      </c>
      <c r="D52" s="76"/>
      <c r="E52" s="79">
        <f ca="1">-F43/1000</f>
        <v>7741.2607003891171</v>
      </c>
      <c r="F52" s="80">
        <f ca="1">E51</f>
        <v>7003.8910505836575</v>
      </c>
      <c r="N52" s="81" t="s">
        <v>84</v>
      </c>
      <c r="O52" s="82">
        <f ca="1">O50</f>
        <v>-7003891.0505836578</v>
      </c>
      <c r="P52" s="82">
        <f ca="1">O52+P50</f>
        <v>-10122897.850735016</v>
      </c>
      <c r="Q52" s="82">
        <f t="shared" ca="1" si="1"/>
        <v>-13313603.263148179</v>
      </c>
      <c r="R52" s="82">
        <f t="shared" ca="1" si="1"/>
        <v>-15134949.837089352</v>
      </c>
      <c r="S52" s="82">
        <f t="shared" ca="1" si="1"/>
        <v>1294279.3363260627</v>
      </c>
      <c r="T52" s="82">
        <f t="shared" ca="1" si="1"/>
        <v>1294279.3363260627</v>
      </c>
      <c r="U52" s="82">
        <f t="shared" ca="1" si="1"/>
        <v>1294279.3363260627</v>
      </c>
      <c r="V52" s="82">
        <f t="shared" ca="1" si="1"/>
        <v>1294279.3363260627</v>
      </c>
      <c r="W52" s="82">
        <f t="shared" ca="1" si="1"/>
        <v>1294279.3363260627</v>
      </c>
      <c r="X52" s="82">
        <f t="shared" ca="1" si="1"/>
        <v>1294279.3363260627</v>
      </c>
    </row>
    <row r="53" spans="3:24">
      <c r="C53" s="78" t="s">
        <v>48</v>
      </c>
      <c r="D53" s="76"/>
      <c r="E53" s="79">
        <f ca="1">-F44/1000</f>
        <v>1474.5151750972773</v>
      </c>
      <c r="F53" s="80">
        <f ca="1">F52+E52</f>
        <v>14745.151750972775</v>
      </c>
    </row>
    <row r="54" spans="3:24">
      <c r="C54" s="78" t="s">
        <v>70</v>
      </c>
      <c r="D54" s="76"/>
      <c r="E54" s="79">
        <f ca="1">-F45/1000</f>
        <v>648.78667704280213</v>
      </c>
      <c r="F54" s="80">
        <f ca="1">F53+E53</f>
        <v>16219.666926070051</v>
      </c>
    </row>
    <row r="55" spans="3:24">
      <c r="C55" s="78" t="s">
        <v>73</v>
      </c>
      <c r="D55" s="76"/>
      <c r="E55" s="79">
        <f ca="1">-F46/1000</f>
        <v>89.169499999999971</v>
      </c>
      <c r="F55" s="80">
        <f ca="1">F54+E54</f>
        <v>16868.453603112852</v>
      </c>
    </row>
    <row r="56" spans="3:24">
      <c r="C56" s="78" t="s">
        <v>66</v>
      </c>
      <c r="D56" s="76"/>
      <c r="E56" s="79">
        <f ca="1">SUM(E51:E55)</f>
        <v>16957.623103112852</v>
      </c>
      <c r="F56" s="80">
        <v>0</v>
      </c>
    </row>
    <row r="57" spans="3:24">
      <c r="C57" s="78" t="s">
        <v>49</v>
      </c>
      <c r="D57" s="76"/>
      <c r="E57" s="79">
        <f ca="1">-F39/1000</f>
        <v>1459.7687104166841</v>
      </c>
      <c r="F57" s="80">
        <f ca="1">E56</f>
        <v>16957.623103112852</v>
      </c>
    </row>
    <row r="58" spans="3:24">
      <c r="C58" s="78" t="s">
        <v>47</v>
      </c>
      <c r="D58" s="76"/>
      <c r="E58" s="79">
        <f ca="1">-F40/1000</f>
        <v>967.17651863756885</v>
      </c>
      <c r="F58" s="80">
        <f ca="1">F57+E57</f>
        <v>18417.391813529535</v>
      </c>
    </row>
    <row r="59" spans="3:24">
      <c r="C59" s="78" t="s">
        <v>6</v>
      </c>
      <c r="D59" s="76"/>
      <c r="E59" s="79">
        <f ca="1">(E60-E58-E57-E56)</f>
        <v>9810.8058761665779</v>
      </c>
      <c r="F59" s="80">
        <f ca="1">F58+E58</f>
        <v>19384.568332167106</v>
      </c>
    </row>
    <row r="60" spans="3:24">
      <c r="C60" s="78" t="s">
        <v>28</v>
      </c>
      <c r="D60" s="76"/>
      <c r="E60" s="79">
        <f ca="1">F38/1000</f>
        <v>29195.374208333684</v>
      </c>
      <c r="F60" s="80">
        <v>0</v>
      </c>
    </row>
    <row r="69" spans="3:5">
      <c r="C69" t="s">
        <v>21</v>
      </c>
      <c r="D69" s="10">
        <f>F16</f>
        <v>0.13250000000000001</v>
      </c>
      <c r="E69">
        <v>0</v>
      </c>
    </row>
    <row r="70" spans="3:5">
      <c r="C70" t="s">
        <v>85</v>
      </c>
      <c r="D70" s="10">
        <f>D69-D71</f>
        <v>1.9875000000000004E-2</v>
      </c>
      <c r="E70" s="10">
        <f>D71</f>
        <v>0.112625</v>
      </c>
    </row>
    <row r="71" spans="3:5">
      <c r="C71" t="s">
        <v>86</v>
      </c>
      <c r="D71" s="10">
        <f>F18</f>
        <v>0.112625</v>
      </c>
      <c r="E71">
        <v>0</v>
      </c>
    </row>
    <row r="72" spans="3:5">
      <c r="C72" t="s">
        <v>87</v>
      </c>
      <c r="D72" s="10">
        <f ca="1">L37</f>
        <v>0.18202218413352972</v>
      </c>
      <c r="E72">
        <v>0</v>
      </c>
    </row>
    <row r="73" spans="3:5">
      <c r="C73" t="s">
        <v>88</v>
      </c>
      <c r="D73" s="10">
        <f>F15</f>
        <v>0.1477</v>
      </c>
      <c r="E73">
        <v>0</v>
      </c>
    </row>
  </sheetData>
  <hyperlinks>
    <hyperlink ref="C9" r:id="rId1" display="• Siga as orientações em: www.rexperts.com.br/preco-de-custo" xr:uid="{A947EA3C-24DD-4A92-87B3-2D8E9185673B}"/>
  </hyperlinks>
  <pageMargins left="0.7" right="0.7" top="0.75" bottom="0.75" header="0.3" footer="0.3"/>
  <pageSetup paperSize="9" orientation="portrait" r:id="rId2"/>
  <headerFooter>
    <oddFooter>&amp;L&amp;1#&amp;"Calibri"&amp;10&amp;K000000Internal Use Only</oddFooter>
  </headerFooter>
  <ignoredErrors>
    <ignoredError sqref="L21" unlockedFormula="1"/>
  </ignoredErrors>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A7CAC-CFDC-4E3B-893F-74EBB1480BF6}">
  <sheetPr codeName="Planilha2">
    <tabColor rgb="FFC00000"/>
  </sheetPr>
  <dimension ref="B5:DJ29"/>
  <sheetViews>
    <sheetView showGridLines="0" zoomScaleNormal="100" workbookViewId="0">
      <pane xSplit="6" ySplit="6" topLeftCell="G15" activePane="bottomRight" state="frozen"/>
      <selection activeCell="I7" sqref="I7"/>
      <selection pane="topRight" activeCell="I7" sqref="I7"/>
      <selection pane="bottomLeft" activeCell="I7" sqref="I7"/>
      <selection pane="bottomRight" activeCell="E20" sqref="E20"/>
    </sheetView>
  </sheetViews>
  <sheetFormatPr baseColWidth="10" defaultColWidth="9.1640625" defaultRowHeight="15" outlineLevelCol="1"/>
  <cols>
    <col min="1" max="1" width="9.1640625" style="18"/>
    <col min="2" max="2" width="40.1640625" style="18" bestFit="1" customWidth="1"/>
    <col min="3" max="3" width="13.83203125" style="18" customWidth="1" outlineLevel="1"/>
    <col min="4" max="4" width="10.5" style="18" customWidth="1" outlineLevel="1"/>
    <col min="5" max="5" width="9.33203125" style="18" customWidth="1" outlineLevel="1"/>
    <col min="6" max="6" width="11.83203125" style="18" customWidth="1" outlineLevel="1"/>
    <col min="7" max="106" width="12" style="18" bestFit="1" customWidth="1"/>
    <col min="107" max="114" width="10.1640625" style="18" bestFit="1" customWidth="1"/>
    <col min="115" max="16384" width="9.1640625" style="18"/>
  </cols>
  <sheetData>
    <row r="5" spans="2:114">
      <c r="G5" s="83">
        <f ca="1">YEAR(G6)</f>
        <v>2022</v>
      </c>
      <c r="H5" s="83">
        <f t="shared" ref="H5:BS5" ca="1" si="0">YEAR(H6)</f>
        <v>2022</v>
      </c>
      <c r="I5" s="83">
        <f t="shared" ca="1" si="0"/>
        <v>2023</v>
      </c>
      <c r="J5" s="83">
        <f t="shared" ca="1" si="0"/>
        <v>2023</v>
      </c>
      <c r="K5" s="83">
        <f t="shared" ca="1" si="0"/>
        <v>2023</v>
      </c>
      <c r="L5" s="83">
        <f t="shared" ca="1" si="0"/>
        <v>2023</v>
      </c>
      <c r="M5" s="83">
        <f t="shared" ca="1" si="0"/>
        <v>2023</v>
      </c>
      <c r="N5" s="83">
        <f t="shared" ca="1" si="0"/>
        <v>2023</v>
      </c>
      <c r="O5" s="83">
        <f t="shared" ca="1" si="0"/>
        <v>2023</v>
      </c>
      <c r="P5" s="83">
        <f t="shared" ca="1" si="0"/>
        <v>2023</v>
      </c>
      <c r="Q5" s="83">
        <f t="shared" ca="1" si="0"/>
        <v>2023</v>
      </c>
      <c r="R5" s="83">
        <f t="shared" ca="1" si="0"/>
        <v>2023</v>
      </c>
      <c r="S5" s="83">
        <f t="shared" ca="1" si="0"/>
        <v>2023</v>
      </c>
      <c r="T5" s="83">
        <f t="shared" ca="1" si="0"/>
        <v>2023</v>
      </c>
      <c r="U5" s="83">
        <f t="shared" ca="1" si="0"/>
        <v>2024</v>
      </c>
      <c r="V5" s="83">
        <f t="shared" ca="1" si="0"/>
        <v>2024</v>
      </c>
      <c r="W5" s="83">
        <f t="shared" ca="1" si="0"/>
        <v>2024</v>
      </c>
      <c r="X5" s="83">
        <f t="shared" ca="1" si="0"/>
        <v>2024</v>
      </c>
      <c r="Y5" s="83">
        <f t="shared" ca="1" si="0"/>
        <v>2024</v>
      </c>
      <c r="Z5" s="83">
        <f t="shared" ca="1" si="0"/>
        <v>2024</v>
      </c>
      <c r="AA5" s="83">
        <f t="shared" ca="1" si="0"/>
        <v>2024</v>
      </c>
      <c r="AB5" s="83">
        <f t="shared" ca="1" si="0"/>
        <v>2024</v>
      </c>
      <c r="AC5" s="83">
        <f t="shared" ca="1" si="0"/>
        <v>2024</v>
      </c>
      <c r="AD5" s="83">
        <f t="shared" ca="1" si="0"/>
        <v>2024</v>
      </c>
      <c r="AE5" s="83">
        <f t="shared" ca="1" si="0"/>
        <v>2024</v>
      </c>
      <c r="AF5" s="83">
        <f t="shared" ca="1" si="0"/>
        <v>2024</v>
      </c>
      <c r="AG5" s="83">
        <f t="shared" ca="1" si="0"/>
        <v>2025</v>
      </c>
      <c r="AH5" s="83">
        <f t="shared" ca="1" si="0"/>
        <v>2025</v>
      </c>
      <c r="AI5" s="83">
        <f t="shared" ca="1" si="0"/>
        <v>2025</v>
      </c>
      <c r="AJ5" s="83">
        <f t="shared" ca="1" si="0"/>
        <v>2025</v>
      </c>
      <c r="AK5" s="83">
        <f t="shared" ca="1" si="0"/>
        <v>2025</v>
      </c>
      <c r="AL5" s="83">
        <f t="shared" ca="1" si="0"/>
        <v>2025</v>
      </c>
      <c r="AM5" s="83">
        <f t="shared" ca="1" si="0"/>
        <v>2025</v>
      </c>
      <c r="AN5" s="83">
        <f t="shared" ca="1" si="0"/>
        <v>2025</v>
      </c>
      <c r="AO5" s="83">
        <f t="shared" ca="1" si="0"/>
        <v>2025</v>
      </c>
      <c r="AP5" s="83">
        <f t="shared" ca="1" si="0"/>
        <v>2025</v>
      </c>
      <c r="AQ5" s="83">
        <f t="shared" ca="1" si="0"/>
        <v>2025</v>
      </c>
      <c r="AR5" s="83">
        <f t="shared" ca="1" si="0"/>
        <v>2025</v>
      </c>
      <c r="AS5" s="83">
        <f t="shared" ca="1" si="0"/>
        <v>2026</v>
      </c>
      <c r="AT5" s="83">
        <f t="shared" ca="1" si="0"/>
        <v>2026</v>
      </c>
      <c r="AU5" s="83">
        <f t="shared" ca="1" si="0"/>
        <v>2026</v>
      </c>
      <c r="AV5" s="83">
        <f t="shared" ca="1" si="0"/>
        <v>2026</v>
      </c>
      <c r="AW5" s="83">
        <f t="shared" ca="1" si="0"/>
        <v>2026</v>
      </c>
      <c r="AX5" s="83">
        <f t="shared" ca="1" si="0"/>
        <v>2026</v>
      </c>
      <c r="AY5" s="83">
        <f t="shared" ca="1" si="0"/>
        <v>2026</v>
      </c>
      <c r="AZ5" s="83">
        <f t="shared" ca="1" si="0"/>
        <v>2026</v>
      </c>
      <c r="BA5" s="83">
        <f t="shared" ca="1" si="0"/>
        <v>2026</v>
      </c>
      <c r="BB5" s="83">
        <f t="shared" ca="1" si="0"/>
        <v>2026</v>
      </c>
      <c r="BC5" s="83">
        <f t="shared" ca="1" si="0"/>
        <v>2026</v>
      </c>
      <c r="BD5" s="83">
        <f t="shared" ca="1" si="0"/>
        <v>2026</v>
      </c>
      <c r="BE5" s="83">
        <f t="shared" ca="1" si="0"/>
        <v>2027</v>
      </c>
      <c r="BF5" s="83">
        <f t="shared" ca="1" si="0"/>
        <v>2027</v>
      </c>
      <c r="BG5" s="83">
        <f t="shared" ca="1" si="0"/>
        <v>2027</v>
      </c>
      <c r="BH5" s="83">
        <f t="shared" ca="1" si="0"/>
        <v>2027</v>
      </c>
      <c r="BI5" s="83">
        <f t="shared" ca="1" si="0"/>
        <v>2027</v>
      </c>
      <c r="BJ5" s="83">
        <f t="shared" ca="1" si="0"/>
        <v>2027</v>
      </c>
      <c r="BK5" s="83">
        <f t="shared" ca="1" si="0"/>
        <v>2027</v>
      </c>
      <c r="BL5" s="83">
        <f t="shared" ca="1" si="0"/>
        <v>2027</v>
      </c>
      <c r="BM5" s="83">
        <f t="shared" ca="1" si="0"/>
        <v>2027</v>
      </c>
      <c r="BN5" s="83">
        <f t="shared" ca="1" si="0"/>
        <v>2027</v>
      </c>
      <c r="BO5" s="83">
        <f t="shared" ca="1" si="0"/>
        <v>2027</v>
      </c>
      <c r="BP5" s="83">
        <f t="shared" ca="1" si="0"/>
        <v>2027</v>
      </c>
      <c r="BQ5" s="83">
        <f t="shared" ca="1" si="0"/>
        <v>2028</v>
      </c>
      <c r="BR5" s="83">
        <f t="shared" ca="1" si="0"/>
        <v>2028</v>
      </c>
      <c r="BS5" s="83">
        <f t="shared" ca="1" si="0"/>
        <v>2028</v>
      </c>
      <c r="BT5" s="83">
        <f t="shared" ref="BT5:DJ5" ca="1" si="1">YEAR(BT6)</f>
        <v>2028</v>
      </c>
      <c r="BU5" s="83">
        <f t="shared" ca="1" si="1"/>
        <v>2028</v>
      </c>
      <c r="BV5" s="83">
        <f t="shared" ca="1" si="1"/>
        <v>2028</v>
      </c>
      <c r="BW5" s="83">
        <f t="shared" ca="1" si="1"/>
        <v>2028</v>
      </c>
      <c r="BX5" s="83">
        <f t="shared" ca="1" si="1"/>
        <v>2028</v>
      </c>
      <c r="BY5" s="83">
        <f t="shared" ca="1" si="1"/>
        <v>2028</v>
      </c>
      <c r="BZ5" s="83">
        <f t="shared" ca="1" si="1"/>
        <v>2028</v>
      </c>
      <c r="CA5" s="83">
        <f t="shared" ca="1" si="1"/>
        <v>2028</v>
      </c>
      <c r="CB5" s="83">
        <f t="shared" ca="1" si="1"/>
        <v>2028</v>
      </c>
      <c r="CC5" s="83">
        <f t="shared" ca="1" si="1"/>
        <v>2029</v>
      </c>
      <c r="CD5" s="83">
        <f t="shared" ca="1" si="1"/>
        <v>2029</v>
      </c>
      <c r="CE5" s="83">
        <f t="shared" ca="1" si="1"/>
        <v>2029</v>
      </c>
      <c r="CF5" s="83">
        <f t="shared" ca="1" si="1"/>
        <v>2029</v>
      </c>
      <c r="CG5" s="83">
        <f t="shared" ca="1" si="1"/>
        <v>2029</v>
      </c>
      <c r="CH5" s="83">
        <f t="shared" ca="1" si="1"/>
        <v>2029</v>
      </c>
      <c r="CI5" s="83">
        <f t="shared" ca="1" si="1"/>
        <v>2029</v>
      </c>
      <c r="CJ5" s="83">
        <f t="shared" ca="1" si="1"/>
        <v>2029</v>
      </c>
      <c r="CK5" s="83">
        <f t="shared" ca="1" si="1"/>
        <v>2029</v>
      </c>
      <c r="CL5" s="83">
        <f t="shared" ca="1" si="1"/>
        <v>2029</v>
      </c>
      <c r="CM5" s="83">
        <f t="shared" ca="1" si="1"/>
        <v>2029</v>
      </c>
      <c r="CN5" s="83">
        <f t="shared" ca="1" si="1"/>
        <v>2029</v>
      </c>
      <c r="CO5" s="83">
        <f t="shared" ca="1" si="1"/>
        <v>2030</v>
      </c>
      <c r="CP5" s="83">
        <f t="shared" ca="1" si="1"/>
        <v>2030</v>
      </c>
      <c r="CQ5" s="83">
        <f t="shared" ca="1" si="1"/>
        <v>2030</v>
      </c>
      <c r="CR5" s="83">
        <f t="shared" ca="1" si="1"/>
        <v>2030</v>
      </c>
      <c r="CS5" s="83">
        <f t="shared" ca="1" si="1"/>
        <v>2030</v>
      </c>
      <c r="CT5" s="83">
        <f t="shared" ca="1" si="1"/>
        <v>2030</v>
      </c>
      <c r="CU5" s="83">
        <f t="shared" ca="1" si="1"/>
        <v>2030</v>
      </c>
      <c r="CV5" s="83">
        <f t="shared" ca="1" si="1"/>
        <v>2030</v>
      </c>
      <c r="CW5" s="83">
        <f t="shared" ca="1" si="1"/>
        <v>2030</v>
      </c>
      <c r="CX5" s="83">
        <f t="shared" ca="1" si="1"/>
        <v>2030</v>
      </c>
      <c r="CY5" s="83">
        <f t="shared" ca="1" si="1"/>
        <v>2030</v>
      </c>
      <c r="CZ5" s="83">
        <f t="shared" ca="1" si="1"/>
        <v>2030</v>
      </c>
      <c r="DA5" s="83">
        <f t="shared" ca="1" si="1"/>
        <v>2031</v>
      </c>
      <c r="DB5" s="83">
        <f t="shared" ca="1" si="1"/>
        <v>2031</v>
      </c>
      <c r="DC5" s="83">
        <f t="shared" ca="1" si="1"/>
        <v>2031</v>
      </c>
      <c r="DD5" s="83">
        <f t="shared" ca="1" si="1"/>
        <v>2031</v>
      </c>
      <c r="DE5" s="83">
        <f t="shared" ca="1" si="1"/>
        <v>2031</v>
      </c>
      <c r="DF5" s="83">
        <f t="shared" ca="1" si="1"/>
        <v>2031</v>
      </c>
      <c r="DG5" s="83">
        <f t="shared" ca="1" si="1"/>
        <v>2031</v>
      </c>
      <c r="DH5" s="83">
        <f t="shared" ca="1" si="1"/>
        <v>2031</v>
      </c>
      <c r="DI5" s="83">
        <f t="shared" ca="1" si="1"/>
        <v>2031</v>
      </c>
      <c r="DJ5" s="83">
        <f t="shared" ca="1" si="1"/>
        <v>2031</v>
      </c>
    </row>
    <row r="6" spans="2:114">
      <c r="B6" s="84"/>
      <c r="C6" s="84"/>
      <c r="D6" s="84"/>
      <c r="E6" s="84"/>
      <c r="F6" s="84"/>
      <c r="G6" s="85">
        <f ca="1">'Painel de Controle para SCP-Inv'!G24</f>
        <v>44895</v>
      </c>
      <c r="H6" s="85">
        <f t="shared" ref="H6:BS6" ca="1" si="2">EOMONTH(G6,1)</f>
        <v>44926</v>
      </c>
      <c r="I6" s="85">
        <f t="shared" ca="1" si="2"/>
        <v>44957</v>
      </c>
      <c r="J6" s="85">
        <f t="shared" ca="1" si="2"/>
        <v>44985</v>
      </c>
      <c r="K6" s="85">
        <f t="shared" ca="1" si="2"/>
        <v>45016</v>
      </c>
      <c r="L6" s="85">
        <f t="shared" ca="1" si="2"/>
        <v>45046</v>
      </c>
      <c r="M6" s="85">
        <f t="shared" ca="1" si="2"/>
        <v>45077</v>
      </c>
      <c r="N6" s="85">
        <f t="shared" ca="1" si="2"/>
        <v>45107</v>
      </c>
      <c r="O6" s="85">
        <f t="shared" ca="1" si="2"/>
        <v>45138</v>
      </c>
      <c r="P6" s="85">
        <f t="shared" ca="1" si="2"/>
        <v>45169</v>
      </c>
      <c r="Q6" s="85">
        <f t="shared" ca="1" si="2"/>
        <v>45199</v>
      </c>
      <c r="R6" s="85">
        <f t="shared" ca="1" si="2"/>
        <v>45230</v>
      </c>
      <c r="S6" s="85">
        <f t="shared" ca="1" si="2"/>
        <v>45260</v>
      </c>
      <c r="T6" s="85">
        <f t="shared" ca="1" si="2"/>
        <v>45291</v>
      </c>
      <c r="U6" s="85">
        <f t="shared" ca="1" si="2"/>
        <v>45322</v>
      </c>
      <c r="V6" s="85">
        <f t="shared" ca="1" si="2"/>
        <v>45351</v>
      </c>
      <c r="W6" s="85">
        <f t="shared" ca="1" si="2"/>
        <v>45382</v>
      </c>
      <c r="X6" s="85">
        <f t="shared" ca="1" si="2"/>
        <v>45412</v>
      </c>
      <c r="Y6" s="85">
        <f t="shared" ca="1" si="2"/>
        <v>45443</v>
      </c>
      <c r="Z6" s="85">
        <f t="shared" ca="1" si="2"/>
        <v>45473</v>
      </c>
      <c r="AA6" s="85">
        <f t="shared" ca="1" si="2"/>
        <v>45504</v>
      </c>
      <c r="AB6" s="85">
        <f t="shared" ca="1" si="2"/>
        <v>45535</v>
      </c>
      <c r="AC6" s="85">
        <f t="shared" ca="1" si="2"/>
        <v>45565</v>
      </c>
      <c r="AD6" s="85">
        <f t="shared" ca="1" si="2"/>
        <v>45596</v>
      </c>
      <c r="AE6" s="85">
        <f t="shared" ca="1" si="2"/>
        <v>45626</v>
      </c>
      <c r="AF6" s="85">
        <f t="shared" ca="1" si="2"/>
        <v>45657</v>
      </c>
      <c r="AG6" s="85">
        <f t="shared" ca="1" si="2"/>
        <v>45688</v>
      </c>
      <c r="AH6" s="85">
        <f t="shared" ca="1" si="2"/>
        <v>45716</v>
      </c>
      <c r="AI6" s="85">
        <f t="shared" ca="1" si="2"/>
        <v>45747</v>
      </c>
      <c r="AJ6" s="85">
        <f t="shared" ca="1" si="2"/>
        <v>45777</v>
      </c>
      <c r="AK6" s="85">
        <f t="shared" ca="1" si="2"/>
        <v>45808</v>
      </c>
      <c r="AL6" s="85">
        <f t="shared" ca="1" si="2"/>
        <v>45838</v>
      </c>
      <c r="AM6" s="85">
        <f t="shared" ca="1" si="2"/>
        <v>45869</v>
      </c>
      <c r="AN6" s="85">
        <f t="shared" ca="1" si="2"/>
        <v>45900</v>
      </c>
      <c r="AO6" s="85">
        <f t="shared" ca="1" si="2"/>
        <v>45930</v>
      </c>
      <c r="AP6" s="85">
        <f t="shared" ca="1" si="2"/>
        <v>45961</v>
      </c>
      <c r="AQ6" s="85">
        <f t="shared" ca="1" si="2"/>
        <v>45991</v>
      </c>
      <c r="AR6" s="85">
        <f t="shared" ca="1" si="2"/>
        <v>46022</v>
      </c>
      <c r="AS6" s="85">
        <f t="shared" ca="1" si="2"/>
        <v>46053</v>
      </c>
      <c r="AT6" s="85">
        <f t="shared" ca="1" si="2"/>
        <v>46081</v>
      </c>
      <c r="AU6" s="85">
        <f t="shared" ca="1" si="2"/>
        <v>46112</v>
      </c>
      <c r="AV6" s="85">
        <f t="shared" ca="1" si="2"/>
        <v>46142</v>
      </c>
      <c r="AW6" s="85">
        <f t="shared" ca="1" si="2"/>
        <v>46173</v>
      </c>
      <c r="AX6" s="85">
        <f t="shared" ca="1" si="2"/>
        <v>46203</v>
      </c>
      <c r="AY6" s="85">
        <f t="shared" ca="1" si="2"/>
        <v>46234</v>
      </c>
      <c r="AZ6" s="85">
        <f t="shared" ca="1" si="2"/>
        <v>46265</v>
      </c>
      <c r="BA6" s="85">
        <f t="shared" ca="1" si="2"/>
        <v>46295</v>
      </c>
      <c r="BB6" s="85">
        <f t="shared" ca="1" si="2"/>
        <v>46326</v>
      </c>
      <c r="BC6" s="85">
        <f t="shared" ca="1" si="2"/>
        <v>46356</v>
      </c>
      <c r="BD6" s="85">
        <f t="shared" ca="1" si="2"/>
        <v>46387</v>
      </c>
      <c r="BE6" s="85">
        <f t="shared" ca="1" si="2"/>
        <v>46418</v>
      </c>
      <c r="BF6" s="85">
        <f t="shared" ca="1" si="2"/>
        <v>46446</v>
      </c>
      <c r="BG6" s="85">
        <f t="shared" ca="1" si="2"/>
        <v>46477</v>
      </c>
      <c r="BH6" s="85">
        <f t="shared" ca="1" si="2"/>
        <v>46507</v>
      </c>
      <c r="BI6" s="85">
        <f t="shared" ca="1" si="2"/>
        <v>46538</v>
      </c>
      <c r="BJ6" s="85">
        <f t="shared" ca="1" si="2"/>
        <v>46568</v>
      </c>
      <c r="BK6" s="85">
        <f t="shared" ca="1" si="2"/>
        <v>46599</v>
      </c>
      <c r="BL6" s="85">
        <f t="shared" ca="1" si="2"/>
        <v>46630</v>
      </c>
      <c r="BM6" s="85">
        <f t="shared" ca="1" si="2"/>
        <v>46660</v>
      </c>
      <c r="BN6" s="85">
        <f t="shared" ca="1" si="2"/>
        <v>46691</v>
      </c>
      <c r="BO6" s="85">
        <f t="shared" ca="1" si="2"/>
        <v>46721</v>
      </c>
      <c r="BP6" s="85">
        <f t="shared" ca="1" si="2"/>
        <v>46752</v>
      </c>
      <c r="BQ6" s="85">
        <f t="shared" ca="1" si="2"/>
        <v>46783</v>
      </c>
      <c r="BR6" s="85">
        <f t="shared" ca="1" si="2"/>
        <v>46812</v>
      </c>
      <c r="BS6" s="85">
        <f t="shared" ca="1" si="2"/>
        <v>46843</v>
      </c>
      <c r="BT6" s="85">
        <f t="shared" ref="BT6:DJ6" ca="1" si="3">EOMONTH(BS6,1)</f>
        <v>46873</v>
      </c>
      <c r="BU6" s="85">
        <f t="shared" ca="1" si="3"/>
        <v>46904</v>
      </c>
      <c r="BV6" s="85">
        <f t="shared" ca="1" si="3"/>
        <v>46934</v>
      </c>
      <c r="BW6" s="85">
        <f t="shared" ca="1" si="3"/>
        <v>46965</v>
      </c>
      <c r="BX6" s="85">
        <f t="shared" ca="1" si="3"/>
        <v>46996</v>
      </c>
      <c r="BY6" s="85">
        <f t="shared" ca="1" si="3"/>
        <v>47026</v>
      </c>
      <c r="BZ6" s="85">
        <f t="shared" ca="1" si="3"/>
        <v>47057</v>
      </c>
      <c r="CA6" s="85">
        <f t="shared" ca="1" si="3"/>
        <v>47087</v>
      </c>
      <c r="CB6" s="85">
        <f t="shared" ca="1" si="3"/>
        <v>47118</v>
      </c>
      <c r="CC6" s="85">
        <f t="shared" ca="1" si="3"/>
        <v>47149</v>
      </c>
      <c r="CD6" s="85">
        <f t="shared" ca="1" si="3"/>
        <v>47177</v>
      </c>
      <c r="CE6" s="85">
        <f t="shared" ca="1" si="3"/>
        <v>47208</v>
      </c>
      <c r="CF6" s="85">
        <f t="shared" ca="1" si="3"/>
        <v>47238</v>
      </c>
      <c r="CG6" s="85">
        <f t="shared" ca="1" si="3"/>
        <v>47269</v>
      </c>
      <c r="CH6" s="85">
        <f t="shared" ca="1" si="3"/>
        <v>47299</v>
      </c>
      <c r="CI6" s="85">
        <f t="shared" ca="1" si="3"/>
        <v>47330</v>
      </c>
      <c r="CJ6" s="85">
        <f t="shared" ca="1" si="3"/>
        <v>47361</v>
      </c>
      <c r="CK6" s="85">
        <f t="shared" ca="1" si="3"/>
        <v>47391</v>
      </c>
      <c r="CL6" s="85">
        <f t="shared" ca="1" si="3"/>
        <v>47422</v>
      </c>
      <c r="CM6" s="85">
        <f t="shared" ca="1" si="3"/>
        <v>47452</v>
      </c>
      <c r="CN6" s="85">
        <f t="shared" ca="1" si="3"/>
        <v>47483</v>
      </c>
      <c r="CO6" s="85">
        <f t="shared" ca="1" si="3"/>
        <v>47514</v>
      </c>
      <c r="CP6" s="85">
        <f t="shared" ca="1" si="3"/>
        <v>47542</v>
      </c>
      <c r="CQ6" s="85">
        <f t="shared" ca="1" si="3"/>
        <v>47573</v>
      </c>
      <c r="CR6" s="85">
        <f t="shared" ca="1" si="3"/>
        <v>47603</v>
      </c>
      <c r="CS6" s="85">
        <f t="shared" ca="1" si="3"/>
        <v>47634</v>
      </c>
      <c r="CT6" s="85">
        <f t="shared" ca="1" si="3"/>
        <v>47664</v>
      </c>
      <c r="CU6" s="85">
        <f t="shared" ca="1" si="3"/>
        <v>47695</v>
      </c>
      <c r="CV6" s="85">
        <f t="shared" ca="1" si="3"/>
        <v>47726</v>
      </c>
      <c r="CW6" s="85">
        <f t="shared" ca="1" si="3"/>
        <v>47756</v>
      </c>
      <c r="CX6" s="85">
        <f t="shared" ca="1" si="3"/>
        <v>47787</v>
      </c>
      <c r="CY6" s="85">
        <f t="shared" ca="1" si="3"/>
        <v>47817</v>
      </c>
      <c r="CZ6" s="85">
        <f t="shared" ca="1" si="3"/>
        <v>47848</v>
      </c>
      <c r="DA6" s="85">
        <f t="shared" ca="1" si="3"/>
        <v>47879</v>
      </c>
      <c r="DB6" s="85">
        <f t="shared" ca="1" si="3"/>
        <v>47907</v>
      </c>
      <c r="DC6" s="85">
        <f t="shared" ca="1" si="3"/>
        <v>47938</v>
      </c>
      <c r="DD6" s="85">
        <f t="shared" ca="1" si="3"/>
        <v>47968</v>
      </c>
      <c r="DE6" s="85">
        <f t="shared" ca="1" si="3"/>
        <v>47999</v>
      </c>
      <c r="DF6" s="85">
        <f t="shared" ca="1" si="3"/>
        <v>48029</v>
      </c>
      <c r="DG6" s="85">
        <f t="shared" ca="1" si="3"/>
        <v>48060</v>
      </c>
      <c r="DH6" s="85">
        <f t="shared" ca="1" si="3"/>
        <v>48091</v>
      </c>
      <c r="DI6" s="85">
        <f t="shared" ca="1" si="3"/>
        <v>48121</v>
      </c>
      <c r="DJ6" s="85">
        <f t="shared" ca="1" si="3"/>
        <v>48152</v>
      </c>
    </row>
    <row r="7" spans="2:114">
      <c r="B7" s="86" t="s">
        <v>89</v>
      </c>
      <c r="C7" s="87">
        <f>'Painel de Controle para SCP-Inv'!F15</f>
        <v>0.1477</v>
      </c>
      <c r="G7" s="88">
        <v>1</v>
      </c>
      <c r="H7" s="88">
        <f>G7*(1+$C$7)^(1/12)</f>
        <v>1.011546143001685</v>
      </c>
      <c r="I7" s="88">
        <f t="shared" ref="I7:BT7" si="4">H7*(1+$C$7)^(1/12)</f>
        <v>1.0232255994215853</v>
      </c>
      <c r="J7" s="88">
        <f t="shared" si="4"/>
        <v>1.0350399085154918</v>
      </c>
      <c r="K7" s="88">
        <f t="shared" si="4"/>
        <v>1.0469906273116625</v>
      </c>
      <c r="L7" s="88">
        <f t="shared" si="4"/>
        <v>1.0590793308160269</v>
      </c>
      <c r="M7" s="88">
        <f t="shared" si="4"/>
        <v>1.0713076122197576</v>
      </c>
      <c r="N7" s="88">
        <f t="shared" si="4"/>
        <v>1.0836770831092406</v>
      </c>
      <c r="O7" s="88">
        <f t="shared" si="4"/>
        <v>1.0961893736784687</v>
      </c>
      <c r="P7" s="88">
        <f t="shared" si="4"/>
        <v>1.1088461329438879</v>
      </c>
      <c r="Q7" s="88">
        <f t="shared" si="4"/>
        <v>1.1216490289617234</v>
      </c>
      <c r="R7" s="88">
        <f t="shared" si="4"/>
        <v>1.1345997490478166</v>
      </c>
      <c r="S7" s="88">
        <f t="shared" si="4"/>
        <v>1.1476999999999986</v>
      </c>
      <c r="T7" s="88">
        <f t="shared" si="4"/>
        <v>1.1609515083230324</v>
      </c>
      <c r="U7" s="88">
        <f t="shared" si="4"/>
        <v>1.1743560204561521</v>
      </c>
      <c r="V7" s="88">
        <f t="shared" si="4"/>
        <v>1.1879153030032286</v>
      </c>
      <c r="W7" s="88">
        <f t="shared" si="4"/>
        <v>1.2016311429655937</v>
      </c>
      <c r="X7" s="88">
        <f t="shared" si="4"/>
        <v>1.2155053479775526</v>
      </c>
      <c r="Y7" s="88">
        <f t="shared" si="4"/>
        <v>1.2295397465446143</v>
      </c>
      <c r="Z7" s="88">
        <f t="shared" si="4"/>
        <v>1.243736188284474</v>
      </c>
      <c r="AA7" s="88">
        <f t="shared" si="4"/>
        <v>1.2580965441707772</v>
      </c>
      <c r="AB7" s="88">
        <f t="shared" si="4"/>
        <v>1.2726227067796987</v>
      </c>
      <c r="AC7" s="88">
        <f t="shared" si="4"/>
        <v>1.2873165905393684</v>
      </c>
      <c r="AD7" s="88">
        <f t="shared" si="4"/>
        <v>1.3021801319821775</v>
      </c>
      <c r="AE7" s="88">
        <f t="shared" si="4"/>
        <v>1.3172152899999967</v>
      </c>
      <c r="AF7" s="88">
        <f t="shared" si="4"/>
        <v>1.3324240461023427</v>
      </c>
      <c r="AG7" s="88">
        <f t="shared" si="4"/>
        <v>1.3478084046775241</v>
      </c>
      <c r="AH7" s="88">
        <f t="shared" si="4"/>
        <v>1.3633703932568038</v>
      </c>
      <c r="AI7" s="88">
        <f t="shared" si="4"/>
        <v>1.3791120627816102</v>
      </c>
      <c r="AJ7" s="88">
        <f t="shared" si="4"/>
        <v>1.3950354878738356</v>
      </c>
      <c r="AK7" s="88">
        <f t="shared" si="4"/>
        <v>1.4111427671092522</v>
      </c>
      <c r="AL7" s="88">
        <f t="shared" si="4"/>
        <v>1.427436023294089</v>
      </c>
      <c r="AM7" s="88">
        <f t="shared" si="4"/>
        <v>1.443917403744799</v>
      </c>
      <c r="AN7" s="88">
        <f t="shared" si="4"/>
        <v>1.4605890805710582</v>
      </c>
      <c r="AO7" s="88">
        <f t="shared" si="4"/>
        <v>1.4774532509620313</v>
      </c>
      <c r="AP7" s="88">
        <f t="shared" si="4"/>
        <v>1.4945121374759434</v>
      </c>
      <c r="AQ7" s="88">
        <f t="shared" si="4"/>
        <v>1.5117679883329944</v>
      </c>
      <c r="AR7" s="88">
        <f t="shared" si="4"/>
        <v>1.5292230777116569</v>
      </c>
      <c r="AS7" s="88">
        <f t="shared" si="4"/>
        <v>1.5468797060483925</v>
      </c>
      <c r="AT7" s="88">
        <f t="shared" si="4"/>
        <v>1.5647402003408317</v>
      </c>
      <c r="AU7" s="88">
        <f t="shared" si="4"/>
        <v>1.5828069144544521</v>
      </c>
      <c r="AV7" s="88">
        <f t="shared" si="4"/>
        <v>1.6010822294327991</v>
      </c>
      <c r="AW7" s="88">
        <f t="shared" si="4"/>
        <v>1.6195685538112867</v>
      </c>
      <c r="AX7" s="88">
        <f t="shared" si="4"/>
        <v>1.6382683239346241</v>
      </c>
      <c r="AY7" s="88">
        <f t="shared" si="4"/>
        <v>1.657184004277904</v>
      </c>
      <c r="AZ7" s="88">
        <f t="shared" si="4"/>
        <v>1.6763180877714017</v>
      </c>
      <c r="BA7" s="88">
        <f t="shared" si="4"/>
        <v>1.6956730961291213</v>
      </c>
      <c r="BB7" s="88">
        <f t="shared" si="4"/>
        <v>1.7152515801811381</v>
      </c>
      <c r="BC7" s="88">
        <f t="shared" si="4"/>
        <v>1.7350561202097756</v>
      </c>
      <c r="BD7" s="88">
        <f t="shared" si="4"/>
        <v>1.7550893262896665</v>
      </c>
      <c r="BE7" s="88">
        <f t="shared" si="4"/>
        <v>1.775353838631738</v>
      </c>
      <c r="BF7" s="88">
        <f t="shared" si="4"/>
        <v>1.7958523279311704</v>
      </c>
      <c r="BG7" s="88">
        <f t="shared" si="4"/>
        <v>1.8165874957193726</v>
      </c>
      <c r="BH7" s="88">
        <f t="shared" si="4"/>
        <v>1.8375620747200214</v>
      </c>
      <c r="BI7" s="88">
        <f t="shared" si="4"/>
        <v>1.8587788292092118</v>
      </c>
      <c r="BJ7" s="88">
        <f t="shared" si="4"/>
        <v>1.8802405553797659</v>
      </c>
      <c r="BK7" s="88">
        <f t="shared" si="4"/>
        <v>1.9019500817097483</v>
      </c>
      <c r="BL7" s="88">
        <f t="shared" si="4"/>
        <v>1.9239102693352355</v>
      </c>
      <c r="BM7" s="88">
        <f t="shared" si="4"/>
        <v>1.9461240124273904</v>
      </c>
      <c r="BN7" s="88">
        <f t="shared" si="4"/>
        <v>1.9685942385738902</v>
      </c>
      <c r="BO7" s="88">
        <f t="shared" si="4"/>
        <v>1.9913239091647574</v>
      </c>
      <c r="BP7" s="88">
        <f t="shared" si="4"/>
        <v>2.014316019782648</v>
      </c>
      <c r="BQ7" s="88">
        <f t="shared" si="4"/>
        <v>2.0375736005976433</v>
      </c>
      <c r="BR7" s="88">
        <f t="shared" si="4"/>
        <v>2.0610997167666016</v>
      </c>
      <c r="BS7" s="88">
        <f t="shared" si="4"/>
        <v>2.0848974688371213</v>
      </c>
      <c r="BT7" s="88">
        <f t="shared" si="4"/>
        <v>2.1089699931561658</v>
      </c>
      <c r="BU7" s="88">
        <f t="shared" ref="BU7:DJ7" si="5">BT7*(1+$C$7)^(1/12)</f>
        <v>2.1333204622834097</v>
      </c>
      <c r="BV7" s="88">
        <f t="shared" si="5"/>
        <v>2.1579520854093546</v>
      </c>
      <c r="BW7" s="88">
        <f t="shared" si="5"/>
        <v>2.1828681087782753</v>
      </c>
      <c r="BX7" s="88">
        <f t="shared" si="5"/>
        <v>2.2080718161160471</v>
      </c>
      <c r="BY7" s="88">
        <f t="shared" si="5"/>
        <v>2.2335665290629132</v>
      </c>
      <c r="BZ7" s="88">
        <f t="shared" si="5"/>
        <v>2.2593556076112509</v>
      </c>
      <c r="CA7" s="88">
        <f t="shared" si="5"/>
        <v>2.2854424505483895</v>
      </c>
      <c r="CB7" s="88">
        <f t="shared" si="5"/>
        <v>2.3118304959045424</v>
      </c>
      <c r="CC7" s="88">
        <f t="shared" si="5"/>
        <v>2.3385232214059126</v>
      </c>
      <c r="CD7" s="88">
        <f t="shared" si="5"/>
        <v>2.3655241449330262</v>
      </c>
      <c r="CE7" s="88">
        <f t="shared" si="5"/>
        <v>2.3928368249843617</v>
      </c>
      <c r="CF7" s="88">
        <f t="shared" si="5"/>
        <v>2.4204648611453292</v>
      </c>
      <c r="CG7" s="88">
        <f t="shared" si="5"/>
        <v>2.4484118945626667</v>
      </c>
      <c r="CH7" s="88">
        <f t="shared" si="5"/>
        <v>2.4766816084243137</v>
      </c>
      <c r="CI7" s="88">
        <f t="shared" si="5"/>
        <v>2.505277728444824</v>
      </c>
      <c r="CJ7" s="88">
        <f t="shared" si="5"/>
        <v>2.5342040233563843</v>
      </c>
      <c r="CK7" s="88">
        <f t="shared" si="5"/>
        <v>2.5634643054055024</v>
      </c>
      <c r="CL7" s="88">
        <f t="shared" si="5"/>
        <v>2.5930624308554293</v>
      </c>
      <c r="CM7" s="88">
        <f t="shared" si="5"/>
        <v>2.6230023004943832</v>
      </c>
      <c r="CN7" s="88">
        <f t="shared" si="5"/>
        <v>2.6532878601496401</v>
      </c>
      <c r="CO7" s="88">
        <f t="shared" si="5"/>
        <v>2.6839231012075628</v>
      </c>
      <c r="CP7" s="88">
        <f t="shared" si="5"/>
        <v>2.7149120611396311</v>
      </c>
      <c r="CQ7" s="88">
        <f t="shared" si="5"/>
        <v>2.7462588240345487</v>
      </c>
      <c r="CR7" s="88">
        <f t="shared" si="5"/>
        <v>2.7779675211364907</v>
      </c>
      <c r="CS7" s="88">
        <f t="shared" si="5"/>
        <v>2.8100423313895688</v>
      </c>
      <c r="CT7" s="88">
        <f t="shared" si="5"/>
        <v>2.8424874819885813</v>
      </c>
      <c r="CU7" s="88">
        <f t="shared" si="5"/>
        <v>2.8753072489361209</v>
      </c>
      <c r="CV7" s="88">
        <f t="shared" si="5"/>
        <v>2.9085059576061187</v>
      </c>
      <c r="CW7" s="88">
        <f t="shared" si="5"/>
        <v>2.9420879833138915</v>
      </c>
      <c r="CX7" s="88">
        <f t="shared" si="5"/>
        <v>2.9760577518927729</v>
      </c>
      <c r="CY7" s="88">
        <f t="shared" si="5"/>
        <v>3.0104197402774</v>
      </c>
      <c r="CZ7" s="88">
        <f t="shared" si="5"/>
        <v>3.0451784770937382</v>
      </c>
      <c r="DA7" s="88">
        <f t="shared" si="5"/>
        <v>3.0803385432559161</v>
      </c>
      <c r="DB7" s="88">
        <f t="shared" si="5"/>
        <v>3.115904572569951</v>
      </c>
      <c r="DC7" s="89">
        <f t="shared" si="5"/>
        <v>3.1518812523444479</v>
      </c>
      <c r="DD7" s="89">
        <f t="shared" si="5"/>
        <v>3.188273324008347</v>
      </c>
      <c r="DE7" s="89">
        <f t="shared" si="5"/>
        <v>3.225085583735805</v>
      </c>
      <c r="DF7" s="89">
        <f t="shared" si="5"/>
        <v>3.2623228830782915</v>
      </c>
      <c r="DG7" s="89">
        <f t="shared" si="5"/>
        <v>3.2999901296039829</v>
      </c>
      <c r="DH7" s="89">
        <f t="shared" si="5"/>
        <v>3.3380922875445393</v>
      </c>
      <c r="DI7" s="89">
        <f t="shared" si="5"/>
        <v>3.3766343784493502</v>
      </c>
      <c r="DJ7" s="89">
        <f t="shared" si="5"/>
        <v>3.4156214818473321</v>
      </c>
    </row>
    <row r="8" spans="2:114">
      <c r="B8" s="86" t="s">
        <v>90</v>
      </c>
      <c r="C8" s="90">
        <v>12</v>
      </c>
      <c r="D8" s="91" t="s">
        <v>91</v>
      </c>
      <c r="G8" s="88">
        <v>1</v>
      </c>
      <c r="H8" s="88">
        <f ca="1">IF(ROUND(MOD(YEARFRAC($G$6,H6,1)*12,$C$8),0)=0,H7,G8)</f>
        <v>1</v>
      </c>
      <c r="I8" s="88">
        <f t="shared" ref="I8:BT8" ca="1" si="6">IF(ROUND(MOD(YEARFRAC($G$6,I6,1)*12,$C$8),0)=0,I7,H8)</f>
        <v>1</v>
      </c>
      <c r="J8" s="88">
        <f t="shared" ca="1" si="6"/>
        <v>1</v>
      </c>
      <c r="K8" s="88">
        <f t="shared" ca="1" si="6"/>
        <v>1</v>
      </c>
      <c r="L8" s="88">
        <f t="shared" ca="1" si="6"/>
        <v>1</v>
      </c>
      <c r="M8" s="88">
        <f t="shared" ca="1" si="6"/>
        <v>1</v>
      </c>
      <c r="N8" s="88">
        <f t="shared" ca="1" si="6"/>
        <v>1</v>
      </c>
      <c r="O8" s="88">
        <f t="shared" ca="1" si="6"/>
        <v>1</v>
      </c>
      <c r="P8" s="88">
        <f t="shared" ca="1" si="6"/>
        <v>1</v>
      </c>
      <c r="Q8" s="88">
        <f t="shared" ca="1" si="6"/>
        <v>1</v>
      </c>
      <c r="R8" s="88">
        <f t="shared" ca="1" si="6"/>
        <v>1</v>
      </c>
      <c r="S8" s="88">
        <f t="shared" ca="1" si="6"/>
        <v>1.1476999999999986</v>
      </c>
      <c r="T8" s="88">
        <f t="shared" ca="1" si="6"/>
        <v>1.1476999999999986</v>
      </c>
      <c r="U8" s="88">
        <f t="shared" ca="1" si="6"/>
        <v>1.1476999999999986</v>
      </c>
      <c r="V8" s="88">
        <f t="shared" ca="1" si="6"/>
        <v>1.1476999999999986</v>
      </c>
      <c r="W8" s="88">
        <f t="shared" ca="1" si="6"/>
        <v>1.1476999999999986</v>
      </c>
      <c r="X8" s="88">
        <f t="shared" ca="1" si="6"/>
        <v>1.1476999999999986</v>
      </c>
      <c r="Y8" s="88">
        <f t="shared" ca="1" si="6"/>
        <v>1.1476999999999986</v>
      </c>
      <c r="Z8" s="88">
        <f t="shared" ca="1" si="6"/>
        <v>1.1476999999999986</v>
      </c>
      <c r="AA8" s="88">
        <f t="shared" ca="1" si="6"/>
        <v>1.1476999999999986</v>
      </c>
      <c r="AB8" s="88">
        <f t="shared" ca="1" si="6"/>
        <v>1.1476999999999986</v>
      </c>
      <c r="AC8" s="88">
        <f t="shared" ca="1" si="6"/>
        <v>1.1476999999999986</v>
      </c>
      <c r="AD8" s="88">
        <f t="shared" ca="1" si="6"/>
        <v>1.1476999999999986</v>
      </c>
      <c r="AE8" s="88">
        <f t="shared" ca="1" si="6"/>
        <v>1.3172152899999967</v>
      </c>
      <c r="AF8" s="88">
        <f t="shared" ca="1" si="6"/>
        <v>1.3172152899999967</v>
      </c>
      <c r="AG8" s="88">
        <f t="shared" ca="1" si="6"/>
        <v>1.3172152899999967</v>
      </c>
      <c r="AH8" s="88">
        <f t="shared" ca="1" si="6"/>
        <v>1.3172152899999967</v>
      </c>
      <c r="AI8" s="88">
        <f t="shared" ca="1" si="6"/>
        <v>1.3172152899999967</v>
      </c>
      <c r="AJ8" s="88">
        <f t="shared" ca="1" si="6"/>
        <v>1.3172152899999967</v>
      </c>
      <c r="AK8" s="88">
        <f t="shared" ca="1" si="6"/>
        <v>1.3172152899999967</v>
      </c>
      <c r="AL8" s="88">
        <f t="shared" ca="1" si="6"/>
        <v>1.3172152899999967</v>
      </c>
      <c r="AM8" s="88">
        <f t="shared" ca="1" si="6"/>
        <v>1.3172152899999967</v>
      </c>
      <c r="AN8" s="88">
        <f t="shared" ca="1" si="6"/>
        <v>1.3172152899999967</v>
      </c>
      <c r="AO8" s="88">
        <f t="shared" ca="1" si="6"/>
        <v>1.3172152899999967</v>
      </c>
      <c r="AP8" s="88">
        <f t="shared" ca="1" si="6"/>
        <v>1.3172152899999967</v>
      </c>
      <c r="AQ8" s="88">
        <f t="shared" ca="1" si="6"/>
        <v>1.5117679883329944</v>
      </c>
      <c r="AR8" s="88">
        <f t="shared" ca="1" si="6"/>
        <v>1.5117679883329944</v>
      </c>
      <c r="AS8" s="88">
        <f t="shared" ca="1" si="6"/>
        <v>1.5117679883329944</v>
      </c>
      <c r="AT8" s="88">
        <f t="shared" ca="1" si="6"/>
        <v>1.5117679883329944</v>
      </c>
      <c r="AU8" s="88">
        <f t="shared" ca="1" si="6"/>
        <v>1.5117679883329944</v>
      </c>
      <c r="AV8" s="88">
        <f t="shared" ca="1" si="6"/>
        <v>1.5117679883329944</v>
      </c>
      <c r="AW8" s="88">
        <f t="shared" ca="1" si="6"/>
        <v>1.5117679883329944</v>
      </c>
      <c r="AX8" s="88">
        <f t="shared" ca="1" si="6"/>
        <v>1.5117679883329944</v>
      </c>
      <c r="AY8" s="88">
        <f t="shared" ca="1" si="6"/>
        <v>1.5117679883329944</v>
      </c>
      <c r="AZ8" s="88">
        <f t="shared" ca="1" si="6"/>
        <v>1.5117679883329944</v>
      </c>
      <c r="BA8" s="88">
        <f t="shared" ca="1" si="6"/>
        <v>1.5117679883329944</v>
      </c>
      <c r="BB8" s="88">
        <f t="shared" ca="1" si="6"/>
        <v>1.5117679883329944</v>
      </c>
      <c r="BC8" s="88">
        <f t="shared" ca="1" si="6"/>
        <v>1.7350561202097756</v>
      </c>
      <c r="BD8" s="88">
        <f t="shared" ca="1" si="6"/>
        <v>1.7350561202097756</v>
      </c>
      <c r="BE8" s="88">
        <f t="shared" ca="1" si="6"/>
        <v>1.7350561202097756</v>
      </c>
      <c r="BF8" s="88">
        <f t="shared" ca="1" si="6"/>
        <v>1.7350561202097756</v>
      </c>
      <c r="BG8" s="88">
        <f t="shared" ca="1" si="6"/>
        <v>1.7350561202097756</v>
      </c>
      <c r="BH8" s="88">
        <f t="shared" ca="1" si="6"/>
        <v>1.7350561202097756</v>
      </c>
      <c r="BI8" s="88">
        <f t="shared" ca="1" si="6"/>
        <v>1.7350561202097756</v>
      </c>
      <c r="BJ8" s="88">
        <f t="shared" ca="1" si="6"/>
        <v>1.7350561202097756</v>
      </c>
      <c r="BK8" s="88">
        <f t="shared" ca="1" si="6"/>
        <v>1.7350561202097756</v>
      </c>
      <c r="BL8" s="88">
        <f t="shared" ca="1" si="6"/>
        <v>1.7350561202097756</v>
      </c>
      <c r="BM8" s="88">
        <f t="shared" ca="1" si="6"/>
        <v>1.7350561202097756</v>
      </c>
      <c r="BN8" s="88">
        <f t="shared" ca="1" si="6"/>
        <v>1.7350561202097756</v>
      </c>
      <c r="BO8" s="88">
        <f t="shared" ca="1" si="6"/>
        <v>1.9913239091647574</v>
      </c>
      <c r="BP8" s="88">
        <f t="shared" ca="1" si="6"/>
        <v>1.9913239091647574</v>
      </c>
      <c r="BQ8" s="88">
        <f t="shared" ca="1" si="6"/>
        <v>1.9913239091647574</v>
      </c>
      <c r="BR8" s="88">
        <f t="shared" ca="1" si="6"/>
        <v>1.9913239091647574</v>
      </c>
      <c r="BS8" s="88">
        <f t="shared" ca="1" si="6"/>
        <v>1.9913239091647574</v>
      </c>
      <c r="BT8" s="88">
        <f t="shared" ca="1" si="6"/>
        <v>1.9913239091647574</v>
      </c>
      <c r="BU8" s="88">
        <f t="shared" ref="BU8:DJ8" ca="1" si="7">IF(ROUND(MOD(YEARFRAC($G$6,BU6,1)*12,$C$8),0)=0,BU7,BT8)</f>
        <v>1.9913239091647574</v>
      </c>
      <c r="BV8" s="88">
        <f t="shared" ca="1" si="7"/>
        <v>1.9913239091647574</v>
      </c>
      <c r="BW8" s="88">
        <f t="shared" ca="1" si="7"/>
        <v>1.9913239091647574</v>
      </c>
      <c r="BX8" s="88">
        <f t="shared" ca="1" si="7"/>
        <v>1.9913239091647574</v>
      </c>
      <c r="BY8" s="88">
        <f t="shared" ca="1" si="7"/>
        <v>1.9913239091647574</v>
      </c>
      <c r="BZ8" s="88">
        <f t="shared" ca="1" si="7"/>
        <v>1.9913239091647574</v>
      </c>
      <c r="CA8" s="88">
        <f t="shared" ca="1" si="7"/>
        <v>2.2854424505483895</v>
      </c>
      <c r="CB8" s="88">
        <f t="shared" ca="1" si="7"/>
        <v>2.2854424505483895</v>
      </c>
      <c r="CC8" s="88">
        <f t="shared" ca="1" si="7"/>
        <v>2.2854424505483895</v>
      </c>
      <c r="CD8" s="88">
        <f t="shared" ca="1" si="7"/>
        <v>2.2854424505483895</v>
      </c>
      <c r="CE8" s="88">
        <f t="shared" ca="1" si="7"/>
        <v>2.2854424505483895</v>
      </c>
      <c r="CF8" s="88">
        <f t="shared" ca="1" si="7"/>
        <v>2.2854424505483895</v>
      </c>
      <c r="CG8" s="88">
        <f t="shared" ca="1" si="7"/>
        <v>2.2854424505483895</v>
      </c>
      <c r="CH8" s="88">
        <f t="shared" ca="1" si="7"/>
        <v>2.2854424505483895</v>
      </c>
      <c r="CI8" s="88">
        <f t="shared" ca="1" si="7"/>
        <v>2.2854424505483895</v>
      </c>
      <c r="CJ8" s="88">
        <f t="shared" ca="1" si="7"/>
        <v>2.2854424505483895</v>
      </c>
      <c r="CK8" s="88">
        <f t="shared" ca="1" si="7"/>
        <v>2.2854424505483895</v>
      </c>
      <c r="CL8" s="88">
        <f t="shared" ca="1" si="7"/>
        <v>2.2854424505483895</v>
      </c>
      <c r="CM8" s="88">
        <f t="shared" ca="1" si="7"/>
        <v>2.6230023004943832</v>
      </c>
      <c r="CN8" s="88">
        <f t="shared" ca="1" si="7"/>
        <v>2.6230023004943832</v>
      </c>
      <c r="CO8" s="88">
        <f t="shared" ca="1" si="7"/>
        <v>2.6230023004943832</v>
      </c>
      <c r="CP8" s="88">
        <f t="shared" ca="1" si="7"/>
        <v>2.6230023004943832</v>
      </c>
      <c r="CQ8" s="88">
        <f t="shared" ca="1" si="7"/>
        <v>2.6230023004943832</v>
      </c>
      <c r="CR8" s="88">
        <f t="shared" ca="1" si="7"/>
        <v>2.6230023004943832</v>
      </c>
      <c r="CS8" s="88">
        <f t="shared" ca="1" si="7"/>
        <v>2.6230023004943832</v>
      </c>
      <c r="CT8" s="88">
        <f t="shared" ca="1" si="7"/>
        <v>2.6230023004943832</v>
      </c>
      <c r="CU8" s="88">
        <f t="shared" ca="1" si="7"/>
        <v>2.6230023004943832</v>
      </c>
      <c r="CV8" s="88">
        <f t="shared" ca="1" si="7"/>
        <v>2.6230023004943832</v>
      </c>
      <c r="CW8" s="88">
        <f t="shared" ca="1" si="7"/>
        <v>2.6230023004943832</v>
      </c>
      <c r="CX8" s="88">
        <f t="shared" ca="1" si="7"/>
        <v>2.6230023004943832</v>
      </c>
      <c r="CY8" s="88">
        <f t="shared" ca="1" si="7"/>
        <v>3.0104197402774</v>
      </c>
      <c r="CZ8" s="88">
        <f t="shared" ca="1" si="7"/>
        <v>3.0104197402774</v>
      </c>
      <c r="DA8" s="88">
        <f t="shared" ca="1" si="7"/>
        <v>3.0104197402774</v>
      </c>
      <c r="DB8" s="88">
        <f t="shared" ca="1" si="7"/>
        <v>3.0104197402774</v>
      </c>
      <c r="DC8" s="89">
        <f t="shared" ca="1" si="7"/>
        <v>3.0104197402774</v>
      </c>
      <c r="DD8" s="89">
        <f t="shared" ca="1" si="7"/>
        <v>3.0104197402774</v>
      </c>
      <c r="DE8" s="89">
        <f t="shared" ca="1" si="7"/>
        <v>3.0104197402774</v>
      </c>
      <c r="DF8" s="89">
        <f t="shared" ca="1" si="7"/>
        <v>3.0104197402774</v>
      </c>
      <c r="DG8" s="89">
        <f t="shared" ca="1" si="7"/>
        <v>3.0104197402774</v>
      </c>
      <c r="DH8" s="89">
        <f t="shared" ca="1" si="7"/>
        <v>3.0104197402774</v>
      </c>
      <c r="DI8" s="89">
        <f t="shared" ca="1" si="7"/>
        <v>3.0104197402774</v>
      </c>
      <c r="DJ8" s="89">
        <f t="shared" ca="1" si="7"/>
        <v>3.0104197402774</v>
      </c>
    </row>
    <row r="9" spans="2:114">
      <c r="B9" s="86" t="s">
        <v>92</v>
      </c>
      <c r="C9" s="87">
        <f>'Painel de Controle para SCP-Inv'!$F$14</f>
        <v>0.112</v>
      </c>
      <c r="G9" s="88">
        <v>1</v>
      </c>
      <c r="H9" s="88">
        <f t="shared" ref="H9:BS9" si="8">G9*(1+$C$9)^(1/12)</f>
        <v>1.0088859305371316</v>
      </c>
      <c r="I9" s="88">
        <f t="shared" si="8"/>
        <v>1.0178508208357739</v>
      </c>
      <c r="J9" s="88">
        <f t="shared" si="8"/>
        <v>1.026895372526883</v>
      </c>
      <c r="K9" s="88">
        <f t="shared" si="8"/>
        <v>1.0360202934760587</v>
      </c>
      <c r="L9" s="88">
        <f t="shared" si="8"/>
        <v>1.0452262978389457</v>
      </c>
      <c r="M9" s="88">
        <f t="shared" si="8"/>
        <v>1.0545141061171259</v>
      </c>
      <c r="N9" s="88">
        <f t="shared" si="8"/>
        <v>1.0638844452145082</v>
      </c>
      <c r="O9" s="88">
        <f t="shared" si="8"/>
        <v>1.0733380484942192</v>
      </c>
      <c r="P9" s="88">
        <f t="shared" si="8"/>
        <v>1.0828756558359993</v>
      </c>
      <c r="Q9" s="88">
        <f t="shared" si="8"/>
        <v>1.0924980136941089</v>
      </c>
      <c r="R9" s="88">
        <f t="shared" si="8"/>
        <v>1.1022058751557491</v>
      </c>
      <c r="S9" s="88">
        <f t="shared" si="8"/>
        <v>1.1120000000000014</v>
      </c>
      <c r="T9" s="88">
        <f t="shared" si="8"/>
        <v>1.1218811547572918</v>
      </c>
      <c r="U9" s="88">
        <f t="shared" si="8"/>
        <v>1.1318501127693821</v>
      </c>
      <c r="V9" s="88">
        <f t="shared" si="8"/>
        <v>1.1419076542498954</v>
      </c>
      <c r="W9" s="88">
        <f t="shared" si="8"/>
        <v>1.1520545663453787</v>
      </c>
      <c r="X9" s="88">
        <f t="shared" si="8"/>
        <v>1.162291643196909</v>
      </c>
      <c r="Y9" s="88">
        <f t="shared" si="8"/>
        <v>1.1726196860022453</v>
      </c>
      <c r="Z9" s="88">
        <f t="shared" si="8"/>
        <v>1.1830395030785343</v>
      </c>
      <c r="AA9" s="88">
        <f t="shared" si="8"/>
        <v>1.1935519099255729</v>
      </c>
      <c r="AB9" s="88">
        <f t="shared" si="8"/>
        <v>1.2041577292896324</v>
      </c>
      <c r="AC9" s="88">
        <f t="shared" si="8"/>
        <v>1.2148577912278502</v>
      </c>
      <c r="AD9" s="88">
        <f t="shared" si="8"/>
        <v>1.225652933173194</v>
      </c>
      <c r="AE9" s="88">
        <f t="shared" si="8"/>
        <v>1.2365440000000025</v>
      </c>
      <c r="AF9" s="88">
        <f t="shared" si="8"/>
        <v>1.2475318440901093</v>
      </c>
      <c r="AG9" s="88">
        <f t="shared" si="8"/>
        <v>1.2586173253995536</v>
      </c>
      <c r="AH9" s="88">
        <f t="shared" si="8"/>
        <v>1.2698013115258844</v>
      </c>
      <c r="AI9" s="88">
        <f t="shared" si="8"/>
        <v>1.2810846777760621</v>
      </c>
      <c r="AJ9" s="88">
        <f t="shared" si="8"/>
        <v>1.2924683072349639</v>
      </c>
      <c r="AK9" s="88">
        <f t="shared" si="8"/>
        <v>1.3039530908344978</v>
      </c>
      <c r="AL9" s="88">
        <f t="shared" si="8"/>
        <v>1.3155399274233313</v>
      </c>
      <c r="AM9" s="88">
        <f t="shared" si="8"/>
        <v>1.3272297238372381</v>
      </c>
      <c r="AN9" s="88">
        <f t="shared" si="8"/>
        <v>1.3390233949700723</v>
      </c>
      <c r="AO9" s="88">
        <f t="shared" si="8"/>
        <v>1.3509218638453704</v>
      </c>
      <c r="AP9" s="88">
        <f t="shared" si="8"/>
        <v>1.3629260616885928</v>
      </c>
      <c r="AQ9" s="88">
        <f t="shared" si="8"/>
        <v>1.3750369280000039</v>
      </c>
      <c r="AR9" s="88">
        <f t="shared" si="8"/>
        <v>1.3872554106282027</v>
      </c>
      <c r="AS9" s="88">
        <f t="shared" si="8"/>
        <v>1.3995824658443048</v>
      </c>
      <c r="AT9" s="88">
        <f t="shared" si="8"/>
        <v>1.4120190584167847</v>
      </c>
      <c r="AU9" s="88">
        <f t="shared" si="8"/>
        <v>1.4245661616869822</v>
      </c>
      <c r="AV9" s="88">
        <f t="shared" si="8"/>
        <v>1.437224757645281</v>
      </c>
      <c r="AW9" s="88">
        <f t="shared" si="8"/>
        <v>1.4499958370079629</v>
      </c>
      <c r="AX9" s="88">
        <f t="shared" si="8"/>
        <v>1.4628803992947457</v>
      </c>
      <c r="AY9" s="88">
        <f t="shared" si="8"/>
        <v>1.4758794529070101</v>
      </c>
      <c r="AZ9" s="88">
        <f t="shared" si="8"/>
        <v>1.4889940152067216</v>
      </c>
      <c r="BA9" s="88">
        <f t="shared" si="8"/>
        <v>1.5022251125960533</v>
      </c>
      <c r="BB9" s="88">
        <f t="shared" si="8"/>
        <v>1.5155737805977165</v>
      </c>
      <c r="BC9" s="88">
        <f t="shared" si="8"/>
        <v>1.5290410639360057</v>
      </c>
      <c r="BD9" s="88">
        <f t="shared" si="8"/>
        <v>1.5426280166185629</v>
      </c>
      <c r="BE9" s="88">
        <f t="shared" si="8"/>
        <v>1.5563357020188684</v>
      </c>
      <c r="BF9" s="88">
        <f t="shared" si="8"/>
        <v>1.570165192959466</v>
      </c>
      <c r="BG9" s="88">
        <f t="shared" si="8"/>
        <v>1.5841175717959257</v>
      </c>
      <c r="BH9" s="88">
        <f t="shared" si="8"/>
        <v>1.598193930501554</v>
      </c>
      <c r="BI9" s="88">
        <f t="shared" si="8"/>
        <v>1.6123953707528562</v>
      </c>
      <c r="BJ9" s="88">
        <f t="shared" si="8"/>
        <v>1.6267230040157588</v>
      </c>
      <c r="BK9" s="88">
        <f t="shared" si="8"/>
        <v>1.6411779516325968</v>
      </c>
      <c r="BL9" s="88">
        <f t="shared" si="8"/>
        <v>1.655761344909876</v>
      </c>
      <c r="BM9" s="88">
        <f t="shared" si="8"/>
        <v>1.6704743252068128</v>
      </c>
      <c r="BN9" s="88">
        <f t="shared" si="8"/>
        <v>1.6853180440246625</v>
      </c>
      <c r="BO9" s="88">
        <f t="shared" si="8"/>
        <v>1.7002936630968402</v>
      </c>
      <c r="BP9" s="88">
        <f t="shared" si="8"/>
        <v>1.7154023544798438</v>
      </c>
      <c r="BQ9" s="88">
        <f t="shared" si="8"/>
        <v>1.7306453006449838</v>
      </c>
      <c r="BR9" s="88">
        <f t="shared" si="8"/>
        <v>1.7460236945709284</v>
      </c>
      <c r="BS9" s="88">
        <f t="shared" si="8"/>
        <v>1.7615387398370717</v>
      </c>
      <c r="BT9" s="88">
        <f t="shared" ref="BT9:DJ9" si="9">BS9*(1+$C$9)^(1/12)</f>
        <v>1.7771916507177301</v>
      </c>
      <c r="BU9" s="88">
        <f t="shared" si="9"/>
        <v>1.792983652277178</v>
      </c>
      <c r="BV9" s="88">
        <f t="shared" si="9"/>
        <v>1.8089159804655255</v>
      </c>
      <c r="BW9" s="88">
        <f t="shared" si="9"/>
        <v>1.8249898822154496</v>
      </c>
      <c r="BX9" s="88">
        <f t="shared" si="9"/>
        <v>1.8412066155397839</v>
      </c>
      <c r="BY9" s="88">
        <f t="shared" si="9"/>
        <v>1.8575674496299777</v>
      </c>
      <c r="BZ9" s="88">
        <f t="shared" si="9"/>
        <v>1.8740736649554264</v>
      </c>
      <c r="CA9" s="88">
        <f t="shared" si="9"/>
        <v>1.8907265533636879</v>
      </c>
      <c r="CB9" s="88">
        <f t="shared" si="9"/>
        <v>1.9075274181815878</v>
      </c>
      <c r="CC9" s="88">
        <f t="shared" si="9"/>
        <v>1.9244775743172233</v>
      </c>
      <c r="CD9" s="88">
        <f t="shared" si="9"/>
        <v>1.9415783483628737</v>
      </c>
      <c r="CE9" s="88">
        <f t="shared" si="9"/>
        <v>1.9588310786988248</v>
      </c>
      <c r="CF9" s="88">
        <f t="shared" si="9"/>
        <v>1.9762371155981171</v>
      </c>
      <c r="CG9" s="88">
        <f t="shared" si="9"/>
        <v>1.9937978213322234</v>
      </c>
      <c r="CH9" s="88">
        <f t="shared" si="9"/>
        <v>2.011514570277666</v>
      </c>
      <c r="CI9" s="88">
        <f t="shared" si="9"/>
        <v>2.0293887490235814</v>
      </c>
      <c r="CJ9" s="88">
        <f t="shared" si="9"/>
        <v>2.0474217564802415</v>
      </c>
      <c r="CK9" s="88">
        <f t="shared" si="9"/>
        <v>2.0656150039885368</v>
      </c>
      <c r="CL9" s="88">
        <f t="shared" si="9"/>
        <v>2.0839699154304356</v>
      </c>
      <c r="CM9" s="88">
        <f t="shared" si="9"/>
        <v>2.1024879273404227</v>
      </c>
      <c r="CN9" s="88">
        <f t="shared" si="9"/>
        <v>2.1211704890179273</v>
      </c>
      <c r="CO9" s="88">
        <f t="shared" si="9"/>
        <v>2.140019062640754</v>
      </c>
      <c r="CP9" s="88">
        <f t="shared" si="9"/>
        <v>2.1590351233795171</v>
      </c>
      <c r="CQ9" s="88">
        <f t="shared" si="9"/>
        <v>2.1782201595130948</v>
      </c>
      <c r="CR9" s="88">
        <f t="shared" si="9"/>
        <v>2.1975756725451077</v>
      </c>
      <c r="CS9" s="88">
        <f t="shared" si="9"/>
        <v>2.2171031773214338</v>
      </c>
      <c r="CT9" s="88">
        <f t="shared" si="9"/>
        <v>2.236804202148766</v>
      </c>
      <c r="CU9" s="88">
        <f t="shared" si="9"/>
        <v>2.2566802889142239</v>
      </c>
      <c r="CV9" s="88">
        <f t="shared" si="9"/>
        <v>2.2767329932060298</v>
      </c>
      <c r="CW9" s="88">
        <f t="shared" si="9"/>
        <v>2.2969638844352542</v>
      </c>
      <c r="CX9" s="88">
        <f t="shared" si="9"/>
        <v>2.3173745459586459</v>
      </c>
      <c r="CY9" s="88">
        <f t="shared" si="9"/>
        <v>2.3379665752025511</v>
      </c>
      <c r="CZ9" s="88">
        <f t="shared" si="9"/>
        <v>2.3587415837879364</v>
      </c>
      <c r="DA9" s="88">
        <f t="shared" si="9"/>
        <v>2.3797011976565199</v>
      </c>
      <c r="DB9" s="88">
        <f t="shared" si="9"/>
        <v>2.4008470571980247</v>
      </c>
      <c r="DC9" s="89">
        <f t="shared" si="9"/>
        <v>2.4221808173785631</v>
      </c>
      <c r="DD9" s="89">
        <f t="shared" si="9"/>
        <v>2.4437041478701618</v>
      </c>
      <c r="DE9" s="89">
        <f t="shared" si="9"/>
        <v>2.4654187331814366</v>
      </c>
      <c r="DF9" s="89">
        <f t="shared" si="9"/>
        <v>2.4873262727894296</v>
      </c>
      <c r="DG9" s="89">
        <f t="shared" si="9"/>
        <v>2.5094284812726189</v>
      </c>
      <c r="DH9" s="89">
        <f t="shared" si="9"/>
        <v>2.5317270884451069</v>
      </c>
      <c r="DI9" s="89">
        <f t="shared" si="9"/>
        <v>2.5542238394920047</v>
      </c>
      <c r="DJ9" s="89">
        <f t="shared" si="9"/>
        <v>2.5769204951060161</v>
      </c>
    </row>
    <row r="10" spans="2:114">
      <c r="B10" s="86" t="s">
        <v>93</v>
      </c>
      <c r="C10" s="92">
        <f>'Painel de Controle para SCP-Inv'!F28</f>
        <v>12</v>
      </c>
      <c r="D10" s="91" t="s">
        <v>91</v>
      </c>
      <c r="G10" s="88">
        <v>1</v>
      </c>
      <c r="H10" s="88">
        <f ca="1">IF(ROUND(MOD(ROUND(YEARFRAC($G$6,H6,1),2)*12,$C$10),0)=0,H9,G10)</f>
        <v>1</v>
      </c>
      <c r="I10" s="88">
        <f t="shared" ref="I10:BT10" ca="1" si="10">IF(ROUND(MOD(ROUND(YEARFRAC($G$6,I6,1),2)*12,$C$10),0)=0,I9,H10)</f>
        <v>1</v>
      </c>
      <c r="J10" s="88">
        <f t="shared" ca="1" si="10"/>
        <v>1</v>
      </c>
      <c r="K10" s="88">
        <f t="shared" ca="1" si="10"/>
        <v>1</v>
      </c>
      <c r="L10" s="88">
        <f t="shared" ca="1" si="10"/>
        <v>1</v>
      </c>
      <c r="M10" s="88">
        <f t="shared" ca="1" si="10"/>
        <v>1</v>
      </c>
      <c r="N10" s="88">
        <f t="shared" ca="1" si="10"/>
        <v>1</v>
      </c>
      <c r="O10" s="88">
        <f t="shared" ca="1" si="10"/>
        <v>1</v>
      </c>
      <c r="P10" s="88">
        <f t="shared" ca="1" si="10"/>
        <v>1</v>
      </c>
      <c r="Q10" s="88">
        <f t="shared" ca="1" si="10"/>
        <v>1</v>
      </c>
      <c r="R10" s="88">
        <f t="shared" ca="1" si="10"/>
        <v>1</v>
      </c>
      <c r="S10" s="88">
        <f t="shared" ca="1" si="10"/>
        <v>1.1120000000000014</v>
      </c>
      <c r="T10" s="88">
        <f t="shared" ca="1" si="10"/>
        <v>1.1120000000000014</v>
      </c>
      <c r="U10" s="88">
        <f t="shared" ca="1" si="10"/>
        <v>1.1120000000000014</v>
      </c>
      <c r="V10" s="88">
        <f t="shared" ca="1" si="10"/>
        <v>1.1120000000000014</v>
      </c>
      <c r="W10" s="88">
        <f t="shared" ca="1" si="10"/>
        <v>1.1120000000000014</v>
      </c>
      <c r="X10" s="88">
        <f t="shared" ca="1" si="10"/>
        <v>1.1120000000000014</v>
      </c>
      <c r="Y10" s="88">
        <f t="shared" ca="1" si="10"/>
        <v>1.1120000000000014</v>
      </c>
      <c r="Z10" s="88">
        <f t="shared" ca="1" si="10"/>
        <v>1.1120000000000014</v>
      </c>
      <c r="AA10" s="88">
        <f t="shared" ca="1" si="10"/>
        <v>1.1120000000000014</v>
      </c>
      <c r="AB10" s="88">
        <f t="shared" ca="1" si="10"/>
        <v>1.1120000000000014</v>
      </c>
      <c r="AC10" s="88">
        <f t="shared" ca="1" si="10"/>
        <v>1.1120000000000014</v>
      </c>
      <c r="AD10" s="88">
        <f t="shared" ca="1" si="10"/>
        <v>1.1120000000000014</v>
      </c>
      <c r="AE10" s="88">
        <f t="shared" ca="1" si="10"/>
        <v>1.2365440000000025</v>
      </c>
      <c r="AF10" s="88">
        <f t="shared" ca="1" si="10"/>
        <v>1.2365440000000025</v>
      </c>
      <c r="AG10" s="88">
        <f t="shared" ca="1" si="10"/>
        <v>1.2365440000000025</v>
      </c>
      <c r="AH10" s="88">
        <f t="shared" ca="1" si="10"/>
        <v>1.2365440000000025</v>
      </c>
      <c r="AI10" s="88">
        <f t="shared" ca="1" si="10"/>
        <v>1.2365440000000025</v>
      </c>
      <c r="AJ10" s="88">
        <f t="shared" ca="1" si="10"/>
        <v>1.2365440000000025</v>
      </c>
      <c r="AK10" s="88">
        <f t="shared" ca="1" si="10"/>
        <v>1.2365440000000025</v>
      </c>
      <c r="AL10" s="88">
        <f t="shared" ca="1" si="10"/>
        <v>1.2365440000000025</v>
      </c>
      <c r="AM10" s="88">
        <f t="shared" ca="1" si="10"/>
        <v>1.2365440000000025</v>
      </c>
      <c r="AN10" s="88">
        <f t="shared" ca="1" si="10"/>
        <v>1.2365440000000025</v>
      </c>
      <c r="AO10" s="88">
        <f t="shared" ca="1" si="10"/>
        <v>1.2365440000000025</v>
      </c>
      <c r="AP10" s="88">
        <f t="shared" ca="1" si="10"/>
        <v>1.2365440000000025</v>
      </c>
      <c r="AQ10" s="88">
        <f t="shared" ca="1" si="10"/>
        <v>1.3750369280000039</v>
      </c>
      <c r="AR10" s="88">
        <f t="shared" ca="1" si="10"/>
        <v>1.3750369280000039</v>
      </c>
      <c r="AS10" s="88">
        <f t="shared" ca="1" si="10"/>
        <v>1.3750369280000039</v>
      </c>
      <c r="AT10" s="88">
        <f t="shared" ca="1" si="10"/>
        <v>1.3750369280000039</v>
      </c>
      <c r="AU10" s="88">
        <f t="shared" ca="1" si="10"/>
        <v>1.3750369280000039</v>
      </c>
      <c r="AV10" s="88">
        <f t="shared" ca="1" si="10"/>
        <v>1.3750369280000039</v>
      </c>
      <c r="AW10" s="88">
        <f t="shared" ca="1" si="10"/>
        <v>1.3750369280000039</v>
      </c>
      <c r="AX10" s="88">
        <f t="shared" ca="1" si="10"/>
        <v>1.3750369280000039</v>
      </c>
      <c r="AY10" s="88">
        <f t="shared" ca="1" si="10"/>
        <v>1.3750369280000039</v>
      </c>
      <c r="AZ10" s="88">
        <f t="shared" ca="1" si="10"/>
        <v>1.3750369280000039</v>
      </c>
      <c r="BA10" s="88">
        <f t="shared" ca="1" si="10"/>
        <v>1.3750369280000039</v>
      </c>
      <c r="BB10" s="88">
        <f t="shared" ca="1" si="10"/>
        <v>1.3750369280000039</v>
      </c>
      <c r="BC10" s="88">
        <f t="shared" ca="1" si="10"/>
        <v>1.5290410639360057</v>
      </c>
      <c r="BD10" s="88">
        <f t="shared" ca="1" si="10"/>
        <v>1.5290410639360057</v>
      </c>
      <c r="BE10" s="88">
        <f t="shared" ca="1" si="10"/>
        <v>1.5290410639360057</v>
      </c>
      <c r="BF10" s="88">
        <f t="shared" ca="1" si="10"/>
        <v>1.5290410639360057</v>
      </c>
      <c r="BG10" s="88">
        <f t="shared" ca="1" si="10"/>
        <v>1.5290410639360057</v>
      </c>
      <c r="BH10" s="88">
        <f t="shared" ca="1" si="10"/>
        <v>1.5290410639360057</v>
      </c>
      <c r="BI10" s="88">
        <f t="shared" ca="1" si="10"/>
        <v>1.5290410639360057</v>
      </c>
      <c r="BJ10" s="88">
        <f t="shared" ca="1" si="10"/>
        <v>1.5290410639360057</v>
      </c>
      <c r="BK10" s="88">
        <f t="shared" ca="1" si="10"/>
        <v>1.5290410639360057</v>
      </c>
      <c r="BL10" s="88">
        <f t="shared" ca="1" si="10"/>
        <v>1.5290410639360057</v>
      </c>
      <c r="BM10" s="88">
        <f t="shared" ca="1" si="10"/>
        <v>1.5290410639360057</v>
      </c>
      <c r="BN10" s="88">
        <f t="shared" ca="1" si="10"/>
        <v>1.5290410639360057</v>
      </c>
      <c r="BO10" s="88">
        <f t="shared" ca="1" si="10"/>
        <v>1.7002936630968402</v>
      </c>
      <c r="BP10" s="88">
        <f t="shared" ca="1" si="10"/>
        <v>1.7002936630968402</v>
      </c>
      <c r="BQ10" s="88">
        <f t="shared" ca="1" si="10"/>
        <v>1.7002936630968402</v>
      </c>
      <c r="BR10" s="88">
        <f t="shared" ca="1" si="10"/>
        <v>1.7002936630968402</v>
      </c>
      <c r="BS10" s="88">
        <f t="shared" ca="1" si="10"/>
        <v>1.7002936630968402</v>
      </c>
      <c r="BT10" s="88">
        <f t="shared" ca="1" si="10"/>
        <v>1.7002936630968402</v>
      </c>
      <c r="BU10" s="88">
        <f t="shared" ref="BU10:DJ10" ca="1" si="11">IF(ROUND(MOD(ROUND(YEARFRAC($G$6,BU6,1),2)*12,$C$10),0)=0,BU9,BT10)</f>
        <v>1.7002936630968402</v>
      </c>
      <c r="BV10" s="88">
        <f t="shared" ca="1" si="11"/>
        <v>1.7002936630968402</v>
      </c>
      <c r="BW10" s="88">
        <f t="shared" ca="1" si="11"/>
        <v>1.7002936630968402</v>
      </c>
      <c r="BX10" s="88">
        <f t="shared" ca="1" si="11"/>
        <v>1.7002936630968402</v>
      </c>
      <c r="BY10" s="88">
        <f t="shared" ca="1" si="11"/>
        <v>1.7002936630968402</v>
      </c>
      <c r="BZ10" s="88">
        <f t="shared" ca="1" si="11"/>
        <v>1.7002936630968402</v>
      </c>
      <c r="CA10" s="88">
        <f t="shared" ca="1" si="11"/>
        <v>1.8907265533636879</v>
      </c>
      <c r="CB10" s="88">
        <f t="shared" ca="1" si="11"/>
        <v>1.8907265533636879</v>
      </c>
      <c r="CC10" s="88">
        <f t="shared" ca="1" si="11"/>
        <v>1.8907265533636879</v>
      </c>
      <c r="CD10" s="88">
        <f t="shared" ca="1" si="11"/>
        <v>1.8907265533636879</v>
      </c>
      <c r="CE10" s="88">
        <f t="shared" ca="1" si="11"/>
        <v>1.8907265533636879</v>
      </c>
      <c r="CF10" s="88">
        <f t="shared" ca="1" si="11"/>
        <v>1.8907265533636879</v>
      </c>
      <c r="CG10" s="88">
        <f t="shared" ca="1" si="11"/>
        <v>1.8907265533636879</v>
      </c>
      <c r="CH10" s="88">
        <f t="shared" ca="1" si="11"/>
        <v>1.8907265533636879</v>
      </c>
      <c r="CI10" s="88">
        <f t="shared" ca="1" si="11"/>
        <v>1.8907265533636879</v>
      </c>
      <c r="CJ10" s="88">
        <f t="shared" ca="1" si="11"/>
        <v>1.8907265533636879</v>
      </c>
      <c r="CK10" s="88">
        <f t="shared" ca="1" si="11"/>
        <v>1.8907265533636879</v>
      </c>
      <c r="CL10" s="88">
        <f t="shared" ca="1" si="11"/>
        <v>1.8907265533636879</v>
      </c>
      <c r="CM10" s="88">
        <f t="shared" ca="1" si="11"/>
        <v>2.1024879273404227</v>
      </c>
      <c r="CN10" s="88">
        <f t="shared" ca="1" si="11"/>
        <v>2.1024879273404227</v>
      </c>
      <c r="CO10" s="88">
        <f t="shared" ca="1" si="11"/>
        <v>2.1024879273404227</v>
      </c>
      <c r="CP10" s="88">
        <f t="shared" ca="1" si="11"/>
        <v>2.1024879273404227</v>
      </c>
      <c r="CQ10" s="88">
        <f t="shared" ca="1" si="11"/>
        <v>2.1024879273404227</v>
      </c>
      <c r="CR10" s="88">
        <f t="shared" ca="1" si="11"/>
        <v>2.1024879273404227</v>
      </c>
      <c r="CS10" s="88">
        <f t="shared" ca="1" si="11"/>
        <v>2.1024879273404227</v>
      </c>
      <c r="CT10" s="88">
        <f t="shared" ca="1" si="11"/>
        <v>2.1024879273404227</v>
      </c>
      <c r="CU10" s="88">
        <f t="shared" ca="1" si="11"/>
        <v>2.1024879273404227</v>
      </c>
      <c r="CV10" s="88">
        <f t="shared" ca="1" si="11"/>
        <v>2.1024879273404227</v>
      </c>
      <c r="CW10" s="88">
        <f t="shared" ca="1" si="11"/>
        <v>2.1024879273404227</v>
      </c>
      <c r="CX10" s="88">
        <f t="shared" ca="1" si="11"/>
        <v>2.1024879273404227</v>
      </c>
      <c r="CY10" s="88">
        <f t="shared" ca="1" si="11"/>
        <v>2.3379665752025511</v>
      </c>
      <c r="CZ10" s="88">
        <f t="shared" ca="1" si="11"/>
        <v>2.3379665752025511</v>
      </c>
      <c r="DA10" s="88">
        <f t="shared" ca="1" si="11"/>
        <v>2.3379665752025511</v>
      </c>
      <c r="DB10" s="88">
        <f t="shared" ca="1" si="11"/>
        <v>2.3379665752025511</v>
      </c>
      <c r="DC10" s="89">
        <f t="shared" ca="1" si="11"/>
        <v>2.3379665752025511</v>
      </c>
      <c r="DD10" s="89">
        <f t="shared" ca="1" si="11"/>
        <v>2.3379665752025511</v>
      </c>
      <c r="DE10" s="89">
        <f t="shared" ca="1" si="11"/>
        <v>2.3379665752025511</v>
      </c>
      <c r="DF10" s="89">
        <f t="shared" ca="1" si="11"/>
        <v>2.3379665752025511</v>
      </c>
      <c r="DG10" s="89">
        <f t="shared" ca="1" si="11"/>
        <v>2.3379665752025511</v>
      </c>
      <c r="DH10" s="89">
        <f t="shared" ca="1" si="11"/>
        <v>2.3379665752025511</v>
      </c>
      <c r="DI10" s="89">
        <f t="shared" ca="1" si="11"/>
        <v>2.3379665752025511</v>
      </c>
      <c r="DJ10" s="89">
        <f t="shared" ca="1" si="11"/>
        <v>2.3379665752025511</v>
      </c>
    </row>
    <row r="12" spans="2:114">
      <c r="B12" s="93" t="s">
        <v>59</v>
      </c>
      <c r="F12" s="94"/>
    </row>
    <row r="13" spans="2:114">
      <c r="B13" s="95" t="s">
        <v>62</v>
      </c>
      <c r="C13" s="96">
        <f>'Painel de Controle para SCP-Inv'!F23</f>
        <v>7003891.0505836578</v>
      </c>
      <c r="D13" s="92">
        <f>'Painel de Controle para SCP-Inv'!F22</f>
        <v>1</v>
      </c>
      <c r="E13" s="97">
        <f ca="1">'Painel de Controle para SCP-Inv'!G24</f>
        <v>44895</v>
      </c>
      <c r="F13" s="96">
        <f ca="1">SUM(G13:CX13)</f>
        <v>-7003891.0505836578</v>
      </c>
      <c r="G13" s="62">
        <f ca="1">IF(AND(G$6&gt;=$E13,G$6&lt;EOMONTH($E13,$D13)),-$C13,0)</f>
        <v>-7003891.0505836578</v>
      </c>
      <c r="H13" s="62">
        <f t="shared" ref="H13:BS13" ca="1" si="12">IF(AND(H$6&gt;=$E13,H$6&lt;EOMONTH($E13,$D13)),-$C13,0)</f>
        <v>0</v>
      </c>
      <c r="I13" s="62">
        <f t="shared" ca="1" si="12"/>
        <v>0</v>
      </c>
      <c r="J13" s="62">
        <f t="shared" ca="1" si="12"/>
        <v>0</v>
      </c>
      <c r="K13" s="62">
        <f t="shared" ca="1" si="12"/>
        <v>0</v>
      </c>
      <c r="L13" s="62">
        <f t="shared" ca="1" si="12"/>
        <v>0</v>
      </c>
      <c r="M13" s="62">
        <f t="shared" ca="1" si="12"/>
        <v>0</v>
      </c>
      <c r="N13" s="62">
        <f t="shared" ca="1" si="12"/>
        <v>0</v>
      </c>
      <c r="O13" s="62">
        <f t="shared" ca="1" si="12"/>
        <v>0</v>
      </c>
      <c r="P13" s="62">
        <f t="shared" ca="1" si="12"/>
        <v>0</v>
      </c>
      <c r="Q13" s="62">
        <f t="shared" ca="1" si="12"/>
        <v>0</v>
      </c>
      <c r="R13" s="62">
        <f t="shared" ca="1" si="12"/>
        <v>0</v>
      </c>
      <c r="S13" s="62">
        <f t="shared" ca="1" si="12"/>
        <v>0</v>
      </c>
      <c r="T13" s="62">
        <f t="shared" ca="1" si="12"/>
        <v>0</v>
      </c>
      <c r="U13" s="62">
        <f t="shared" ca="1" si="12"/>
        <v>0</v>
      </c>
      <c r="V13" s="62">
        <f t="shared" ca="1" si="12"/>
        <v>0</v>
      </c>
      <c r="W13" s="62">
        <f t="shared" ca="1" si="12"/>
        <v>0</v>
      </c>
      <c r="X13" s="62">
        <f t="shared" ca="1" si="12"/>
        <v>0</v>
      </c>
      <c r="Y13" s="62">
        <f t="shared" ca="1" si="12"/>
        <v>0</v>
      </c>
      <c r="Z13" s="62">
        <f t="shared" ca="1" si="12"/>
        <v>0</v>
      </c>
      <c r="AA13" s="62">
        <f t="shared" ca="1" si="12"/>
        <v>0</v>
      </c>
      <c r="AB13" s="62">
        <f t="shared" ca="1" si="12"/>
        <v>0</v>
      </c>
      <c r="AC13" s="62">
        <f t="shared" ca="1" si="12"/>
        <v>0</v>
      </c>
      <c r="AD13" s="62">
        <f t="shared" ca="1" si="12"/>
        <v>0</v>
      </c>
      <c r="AE13" s="62">
        <f t="shared" ca="1" si="12"/>
        <v>0</v>
      </c>
      <c r="AF13" s="62">
        <f t="shared" ca="1" si="12"/>
        <v>0</v>
      </c>
      <c r="AG13" s="62">
        <f t="shared" ca="1" si="12"/>
        <v>0</v>
      </c>
      <c r="AH13" s="62">
        <f t="shared" ca="1" si="12"/>
        <v>0</v>
      </c>
      <c r="AI13" s="62">
        <f t="shared" ca="1" si="12"/>
        <v>0</v>
      </c>
      <c r="AJ13" s="62">
        <f t="shared" ca="1" si="12"/>
        <v>0</v>
      </c>
      <c r="AK13" s="62">
        <f t="shared" ca="1" si="12"/>
        <v>0</v>
      </c>
      <c r="AL13" s="62">
        <f t="shared" ca="1" si="12"/>
        <v>0</v>
      </c>
      <c r="AM13" s="62">
        <f t="shared" ca="1" si="12"/>
        <v>0</v>
      </c>
      <c r="AN13" s="62">
        <f t="shared" ca="1" si="12"/>
        <v>0</v>
      </c>
      <c r="AO13" s="62">
        <f t="shared" ca="1" si="12"/>
        <v>0</v>
      </c>
      <c r="AP13" s="62">
        <f t="shared" ca="1" si="12"/>
        <v>0</v>
      </c>
      <c r="AQ13" s="62">
        <f t="shared" ca="1" si="12"/>
        <v>0</v>
      </c>
      <c r="AR13" s="62">
        <f t="shared" ca="1" si="12"/>
        <v>0</v>
      </c>
      <c r="AS13" s="62">
        <f t="shared" ca="1" si="12"/>
        <v>0</v>
      </c>
      <c r="AT13" s="62">
        <f t="shared" ca="1" si="12"/>
        <v>0</v>
      </c>
      <c r="AU13" s="62">
        <f t="shared" ca="1" si="12"/>
        <v>0</v>
      </c>
      <c r="AV13" s="62">
        <f t="shared" ca="1" si="12"/>
        <v>0</v>
      </c>
      <c r="AW13" s="62">
        <f t="shared" ca="1" si="12"/>
        <v>0</v>
      </c>
      <c r="AX13" s="62">
        <f t="shared" ca="1" si="12"/>
        <v>0</v>
      </c>
      <c r="AY13" s="62">
        <f t="shared" ca="1" si="12"/>
        <v>0</v>
      </c>
      <c r="AZ13" s="62">
        <f t="shared" ca="1" si="12"/>
        <v>0</v>
      </c>
      <c r="BA13" s="62">
        <f t="shared" ca="1" si="12"/>
        <v>0</v>
      </c>
      <c r="BB13" s="62">
        <f t="shared" ca="1" si="12"/>
        <v>0</v>
      </c>
      <c r="BC13" s="62">
        <f t="shared" ca="1" si="12"/>
        <v>0</v>
      </c>
      <c r="BD13" s="62">
        <f t="shared" ca="1" si="12"/>
        <v>0</v>
      </c>
      <c r="BE13" s="62">
        <f t="shared" ca="1" si="12"/>
        <v>0</v>
      </c>
      <c r="BF13" s="62">
        <f t="shared" ca="1" si="12"/>
        <v>0</v>
      </c>
      <c r="BG13" s="62">
        <f t="shared" ca="1" si="12"/>
        <v>0</v>
      </c>
      <c r="BH13" s="62">
        <f t="shared" ca="1" si="12"/>
        <v>0</v>
      </c>
      <c r="BI13" s="62">
        <f t="shared" ca="1" si="12"/>
        <v>0</v>
      </c>
      <c r="BJ13" s="62">
        <f t="shared" ca="1" si="12"/>
        <v>0</v>
      </c>
      <c r="BK13" s="62">
        <f t="shared" ca="1" si="12"/>
        <v>0</v>
      </c>
      <c r="BL13" s="62">
        <f t="shared" ca="1" si="12"/>
        <v>0</v>
      </c>
      <c r="BM13" s="62">
        <f t="shared" ca="1" si="12"/>
        <v>0</v>
      </c>
      <c r="BN13" s="62">
        <f t="shared" ca="1" si="12"/>
        <v>0</v>
      </c>
      <c r="BO13" s="62">
        <f t="shared" ca="1" si="12"/>
        <v>0</v>
      </c>
      <c r="BP13" s="62">
        <f t="shared" ca="1" si="12"/>
        <v>0</v>
      </c>
      <c r="BQ13" s="62">
        <f t="shared" ca="1" si="12"/>
        <v>0</v>
      </c>
      <c r="BR13" s="62">
        <f t="shared" ca="1" si="12"/>
        <v>0</v>
      </c>
      <c r="BS13" s="62">
        <f t="shared" ca="1" si="12"/>
        <v>0</v>
      </c>
      <c r="BT13" s="62">
        <f t="shared" ref="BT13:DJ13" ca="1" si="13">IF(AND(BT$6&gt;=$E13,BT$6&lt;EOMONTH($E13,$D13)),-$C13,0)</f>
        <v>0</v>
      </c>
      <c r="BU13" s="62">
        <f t="shared" ca="1" si="13"/>
        <v>0</v>
      </c>
      <c r="BV13" s="62">
        <f t="shared" ca="1" si="13"/>
        <v>0</v>
      </c>
      <c r="BW13" s="62">
        <f t="shared" ca="1" si="13"/>
        <v>0</v>
      </c>
      <c r="BX13" s="62">
        <f t="shared" ca="1" si="13"/>
        <v>0</v>
      </c>
      <c r="BY13" s="62">
        <f t="shared" ca="1" si="13"/>
        <v>0</v>
      </c>
      <c r="BZ13" s="62">
        <f t="shared" ca="1" si="13"/>
        <v>0</v>
      </c>
      <c r="CA13" s="62">
        <f t="shared" ca="1" si="13"/>
        <v>0</v>
      </c>
      <c r="CB13" s="62">
        <f t="shared" ca="1" si="13"/>
        <v>0</v>
      </c>
      <c r="CC13" s="62">
        <f t="shared" ca="1" si="13"/>
        <v>0</v>
      </c>
      <c r="CD13" s="62">
        <f t="shared" ca="1" si="13"/>
        <v>0</v>
      </c>
      <c r="CE13" s="62">
        <f t="shared" ca="1" si="13"/>
        <v>0</v>
      </c>
      <c r="CF13" s="62">
        <f t="shared" ca="1" si="13"/>
        <v>0</v>
      </c>
      <c r="CG13" s="62">
        <f t="shared" ca="1" si="13"/>
        <v>0</v>
      </c>
      <c r="CH13" s="62">
        <f t="shared" ca="1" si="13"/>
        <v>0</v>
      </c>
      <c r="CI13" s="62">
        <f t="shared" ca="1" si="13"/>
        <v>0</v>
      </c>
      <c r="CJ13" s="62">
        <f t="shared" ca="1" si="13"/>
        <v>0</v>
      </c>
      <c r="CK13" s="62">
        <f t="shared" ca="1" si="13"/>
        <v>0</v>
      </c>
      <c r="CL13" s="62">
        <f t="shared" ca="1" si="13"/>
        <v>0</v>
      </c>
      <c r="CM13" s="62">
        <f t="shared" ca="1" si="13"/>
        <v>0</v>
      </c>
      <c r="CN13" s="62">
        <f t="shared" ca="1" si="13"/>
        <v>0</v>
      </c>
      <c r="CO13" s="62">
        <f t="shared" ca="1" si="13"/>
        <v>0</v>
      </c>
      <c r="CP13" s="62">
        <f t="shared" ca="1" si="13"/>
        <v>0</v>
      </c>
      <c r="CQ13" s="62">
        <f t="shared" ca="1" si="13"/>
        <v>0</v>
      </c>
      <c r="CR13" s="62">
        <f t="shared" ca="1" si="13"/>
        <v>0</v>
      </c>
      <c r="CS13" s="62">
        <f t="shared" ca="1" si="13"/>
        <v>0</v>
      </c>
      <c r="CT13" s="62">
        <f t="shared" ca="1" si="13"/>
        <v>0</v>
      </c>
      <c r="CU13" s="62">
        <f t="shared" ca="1" si="13"/>
        <v>0</v>
      </c>
      <c r="CV13" s="62">
        <f t="shared" ca="1" si="13"/>
        <v>0</v>
      </c>
      <c r="CW13" s="62">
        <f t="shared" ca="1" si="13"/>
        <v>0</v>
      </c>
      <c r="CX13" s="62">
        <f t="shared" ca="1" si="13"/>
        <v>0</v>
      </c>
      <c r="CY13" s="62">
        <f t="shared" ca="1" si="13"/>
        <v>0</v>
      </c>
      <c r="CZ13" s="62">
        <f t="shared" ca="1" si="13"/>
        <v>0</v>
      </c>
      <c r="DA13" s="62">
        <f t="shared" ca="1" si="13"/>
        <v>0</v>
      </c>
      <c r="DB13" s="62">
        <f t="shared" ca="1" si="13"/>
        <v>0</v>
      </c>
      <c r="DC13" s="62">
        <f t="shared" ca="1" si="13"/>
        <v>0</v>
      </c>
      <c r="DD13" s="62">
        <f t="shared" ca="1" si="13"/>
        <v>0</v>
      </c>
      <c r="DE13" s="62">
        <f t="shared" ca="1" si="13"/>
        <v>0</v>
      </c>
      <c r="DF13" s="62">
        <f t="shared" ca="1" si="13"/>
        <v>0</v>
      </c>
      <c r="DG13" s="62">
        <f t="shared" ca="1" si="13"/>
        <v>0</v>
      </c>
      <c r="DH13" s="62">
        <f t="shared" ca="1" si="13"/>
        <v>0</v>
      </c>
      <c r="DI13" s="62">
        <f t="shared" ca="1" si="13"/>
        <v>0</v>
      </c>
      <c r="DJ13" s="62">
        <f t="shared" ca="1" si="13"/>
        <v>0</v>
      </c>
    </row>
    <row r="14" spans="2:114">
      <c r="B14" s="95" t="s">
        <v>65</v>
      </c>
      <c r="C14" s="96">
        <f>'Painel de Controle para SCP-Inv'!F27</f>
        <v>291828.79377431906</v>
      </c>
      <c r="D14" s="92">
        <f>'Painel de Controle para SCP-Inv'!F26</f>
        <v>24</v>
      </c>
      <c r="E14" s="97">
        <f ca="1">'Painel de Controle para SCP-Inv'!G29</f>
        <v>45046</v>
      </c>
      <c r="F14" s="96">
        <f ca="1">SUM(G14:CX14)</f>
        <v>-7741260.700389117</v>
      </c>
      <c r="G14" s="62">
        <f ca="1">IF(AND(G$6&gt;=$E14,G$6&lt;EOMONTH($E14,$D14)),-$C14,0)*G$10</f>
        <v>0</v>
      </c>
      <c r="H14" s="62">
        <f t="shared" ref="H14:BS14" ca="1" si="14">IF(AND(H$6&gt;=$E14,H$6&lt;EOMONTH($E14,$D14)),-$C14,0)*H$10</f>
        <v>0</v>
      </c>
      <c r="I14" s="62">
        <f t="shared" ca="1" si="14"/>
        <v>0</v>
      </c>
      <c r="J14" s="62">
        <f t="shared" ca="1" si="14"/>
        <v>0</v>
      </c>
      <c r="K14" s="62">
        <f t="shared" ca="1" si="14"/>
        <v>0</v>
      </c>
      <c r="L14" s="62">
        <f t="shared" ca="1" si="14"/>
        <v>-291828.79377431906</v>
      </c>
      <c r="M14" s="62">
        <f t="shared" ca="1" si="14"/>
        <v>-291828.79377431906</v>
      </c>
      <c r="N14" s="62">
        <f t="shared" ca="1" si="14"/>
        <v>-291828.79377431906</v>
      </c>
      <c r="O14" s="62">
        <f t="shared" ca="1" si="14"/>
        <v>-291828.79377431906</v>
      </c>
      <c r="P14" s="62">
        <f ca="1">IF(AND(P$6&gt;=$E14,P$6&lt;EOMONTH($E14,$D14)),-$C14,0)*P$10</f>
        <v>-291828.79377431906</v>
      </c>
      <c r="Q14" s="62">
        <f t="shared" ca="1" si="14"/>
        <v>-291828.79377431906</v>
      </c>
      <c r="R14" s="62">
        <f t="shared" ca="1" si="14"/>
        <v>-291828.79377431906</v>
      </c>
      <c r="S14" s="62">
        <f t="shared" ca="1" si="14"/>
        <v>-324513.61867704318</v>
      </c>
      <c r="T14" s="62">
        <f t="shared" ca="1" si="14"/>
        <v>-324513.61867704318</v>
      </c>
      <c r="U14" s="62">
        <f t="shared" ca="1" si="14"/>
        <v>-324513.61867704318</v>
      </c>
      <c r="V14" s="62">
        <f t="shared" ca="1" si="14"/>
        <v>-324513.61867704318</v>
      </c>
      <c r="W14" s="62">
        <f t="shared" ca="1" si="14"/>
        <v>-324513.61867704318</v>
      </c>
      <c r="X14" s="62">
        <f t="shared" ca="1" si="14"/>
        <v>-324513.61867704318</v>
      </c>
      <c r="Y14" s="62">
        <f t="shared" ca="1" si="14"/>
        <v>-324513.61867704318</v>
      </c>
      <c r="Z14" s="62">
        <f t="shared" ca="1" si="14"/>
        <v>-324513.61867704318</v>
      </c>
      <c r="AA14" s="62">
        <f t="shared" ca="1" si="14"/>
        <v>-324513.61867704318</v>
      </c>
      <c r="AB14" s="62">
        <f t="shared" ca="1" si="14"/>
        <v>-324513.61867704318</v>
      </c>
      <c r="AC14" s="62">
        <f t="shared" ca="1" si="14"/>
        <v>-324513.61867704318</v>
      </c>
      <c r="AD14" s="62">
        <f t="shared" ca="1" si="14"/>
        <v>-324513.61867704318</v>
      </c>
      <c r="AE14" s="62">
        <f t="shared" ca="1" si="14"/>
        <v>-360859.14396887232</v>
      </c>
      <c r="AF14" s="62">
        <f t="shared" ca="1" si="14"/>
        <v>-360859.14396887232</v>
      </c>
      <c r="AG14" s="62">
        <f t="shared" ca="1" si="14"/>
        <v>-360859.14396887232</v>
      </c>
      <c r="AH14" s="62">
        <f t="shared" ca="1" si="14"/>
        <v>-360859.14396887232</v>
      </c>
      <c r="AI14" s="62">
        <f t="shared" ca="1" si="14"/>
        <v>-360859.14396887232</v>
      </c>
      <c r="AJ14" s="62">
        <f t="shared" ca="1" si="14"/>
        <v>0</v>
      </c>
      <c r="AK14" s="62">
        <f t="shared" ca="1" si="14"/>
        <v>0</v>
      </c>
      <c r="AL14" s="62">
        <f t="shared" ca="1" si="14"/>
        <v>0</v>
      </c>
      <c r="AM14" s="62">
        <f t="shared" ca="1" si="14"/>
        <v>0</v>
      </c>
      <c r="AN14" s="62">
        <f t="shared" ca="1" si="14"/>
        <v>0</v>
      </c>
      <c r="AO14" s="62">
        <f t="shared" ca="1" si="14"/>
        <v>0</v>
      </c>
      <c r="AP14" s="62">
        <f t="shared" ca="1" si="14"/>
        <v>0</v>
      </c>
      <c r="AQ14" s="62">
        <f t="shared" ca="1" si="14"/>
        <v>0</v>
      </c>
      <c r="AR14" s="62">
        <f t="shared" ca="1" si="14"/>
        <v>0</v>
      </c>
      <c r="AS14" s="62">
        <f t="shared" ca="1" si="14"/>
        <v>0</v>
      </c>
      <c r="AT14" s="62">
        <f ca="1">IF(AND(AT$6&gt;=$E14,AT$6&lt;EOMONTH($E14,$D14)),-$C14,0)*AT$10</f>
        <v>0</v>
      </c>
      <c r="AU14" s="62">
        <f t="shared" ca="1" si="14"/>
        <v>0</v>
      </c>
      <c r="AV14" s="62">
        <f t="shared" ca="1" si="14"/>
        <v>0</v>
      </c>
      <c r="AW14" s="62">
        <f t="shared" ca="1" si="14"/>
        <v>0</v>
      </c>
      <c r="AX14" s="62">
        <f t="shared" ca="1" si="14"/>
        <v>0</v>
      </c>
      <c r="AY14" s="62">
        <f t="shared" ca="1" si="14"/>
        <v>0</v>
      </c>
      <c r="AZ14" s="62">
        <f t="shared" ca="1" si="14"/>
        <v>0</v>
      </c>
      <c r="BA14" s="62">
        <f t="shared" ca="1" si="14"/>
        <v>0</v>
      </c>
      <c r="BB14" s="62">
        <f t="shared" ca="1" si="14"/>
        <v>0</v>
      </c>
      <c r="BC14" s="62">
        <f t="shared" ca="1" si="14"/>
        <v>0</v>
      </c>
      <c r="BD14" s="62">
        <f t="shared" ca="1" si="14"/>
        <v>0</v>
      </c>
      <c r="BE14" s="62">
        <f t="shared" ca="1" si="14"/>
        <v>0</v>
      </c>
      <c r="BF14" s="62">
        <f t="shared" ca="1" si="14"/>
        <v>0</v>
      </c>
      <c r="BG14" s="62">
        <f t="shared" ca="1" si="14"/>
        <v>0</v>
      </c>
      <c r="BH14" s="62">
        <f t="shared" ca="1" si="14"/>
        <v>0</v>
      </c>
      <c r="BI14" s="62">
        <f t="shared" ca="1" si="14"/>
        <v>0</v>
      </c>
      <c r="BJ14" s="62">
        <f t="shared" ca="1" si="14"/>
        <v>0</v>
      </c>
      <c r="BK14" s="62">
        <f t="shared" ca="1" si="14"/>
        <v>0</v>
      </c>
      <c r="BL14" s="62">
        <f t="shared" ca="1" si="14"/>
        <v>0</v>
      </c>
      <c r="BM14" s="62">
        <f t="shared" ca="1" si="14"/>
        <v>0</v>
      </c>
      <c r="BN14" s="62">
        <f t="shared" ca="1" si="14"/>
        <v>0</v>
      </c>
      <c r="BO14" s="62">
        <f t="shared" ca="1" si="14"/>
        <v>0</v>
      </c>
      <c r="BP14" s="62">
        <f t="shared" ca="1" si="14"/>
        <v>0</v>
      </c>
      <c r="BQ14" s="62">
        <f t="shared" ca="1" si="14"/>
        <v>0</v>
      </c>
      <c r="BR14" s="62">
        <f t="shared" ca="1" si="14"/>
        <v>0</v>
      </c>
      <c r="BS14" s="62">
        <f t="shared" ca="1" si="14"/>
        <v>0</v>
      </c>
      <c r="BT14" s="62">
        <f t="shared" ref="BT14:DJ14" ca="1" si="15">IF(AND(BT$6&gt;=$E14,BT$6&lt;EOMONTH($E14,$D14)),-$C14,0)*BT$10</f>
        <v>0</v>
      </c>
      <c r="BU14" s="62">
        <f t="shared" ca="1" si="15"/>
        <v>0</v>
      </c>
      <c r="BV14" s="62">
        <f t="shared" ca="1" si="15"/>
        <v>0</v>
      </c>
      <c r="BW14" s="62">
        <f t="shared" ca="1" si="15"/>
        <v>0</v>
      </c>
      <c r="BX14" s="62">
        <f t="shared" ca="1" si="15"/>
        <v>0</v>
      </c>
      <c r="BY14" s="62">
        <f t="shared" ca="1" si="15"/>
        <v>0</v>
      </c>
      <c r="BZ14" s="62">
        <f t="shared" ca="1" si="15"/>
        <v>0</v>
      </c>
      <c r="CA14" s="62">
        <f t="shared" ca="1" si="15"/>
        <v>0</v>
      </c>
      <c r="CB14" s="62">
        <f t="shared" ca="1" si="15"/>
        <v>0</v>
      </c>
      <c r="CC14" s="62">
        <f t="shared" ca="1" si="15"/>
        <v>0</v>
      </c>
      <c r="CD14" s="62">
        <f t="shared" ca="1" si="15"/>
        <v>0</v>
      </c>
      <c r="CE14" s="62">
        <f t="shared" ca="1" si="15"/>
        <v>0</v>
      </c>
      <c r="CF14" s="62">
        <f t="shared" ca="1" si="15"/>
        <v>0</v>
      </c>
      <c r="CG14" s="62">
        <f t="shared" ca="1" si="15"/>
        <v>0</v>
      </c>
      <c r="CH14" s="62">
        <f t="shared" ca="1" si="15"/>
        <v>0</v>
      </c>
      <c r="CI14" s="62">
        <f t="shared" ca="1" si="15"/>
        <v>0</v>
      </c>
      <c r="CJ14" s="62">
        <f t="shared" ca="1" si="15"/>
        <v>0</v>
      </c>
      <c r="CK14" s="62">
        <f t="shared" ca="1" si="15"/>
        <v>0</v>
      </c>
      <c r="CL14" s="62">
        <f t="shared" ca="1" si="15"/>
        <v>0</v>
      </c>
      <c r="CM14" s="62">
        <f t="shared" ca="1" si="15"/>
        <v>0</v>
      </c>
      <c r="CN14" s="62">
        <f t="shared" ca="1" si="15"/>
        <v>0</v>
      </c>
      <c r="CO14" s="62">
        <f t="shared" ca="1" si="15"/>
        <v>0</v>
      </c>
      <c r="CP14" s="62">
        <f t="shared" ca="1" si="15"/>
        <v>0</v>
      </c>
      <c r="CQ14" s="62">
        <f t="shared" ca="1" si="15"/>
        <v>0</v>
      </c>
      <c r="CR14" s="62">
        <f t="shared" ca="1" si="15"/>
        <v>0</v>
      </c>
      <c r="CS14" s="62">
        <f t="shared" ca="1" si="15"/>
        <v>0</v>
      </c>
      <c r="CT14" s="62">
        <f t="shared" ca="1" si="15"/>
        <v>0</v>
      </c>
      <c r="CU14" s="62">
        <f t="shared" ca="1" si="15"/>
        <v>0</v>
      </c>
      <c r="CV14" s="62">
        <f t="shared" ca="1" si="15"/>
        <v>0</v>
      </c>
      <c r="CW14" s="62">
        <f t="shared" ca="1" si="15"/>
        <v>0</v>
      </c>
      <c r="CX14" s="62">
        <f t="shared" ca="1" si="15"/>
        <v>0</v>
      </c>
      <c r="CY14" s="62">
        <f t="shared" ca="1" si="15"/>
        <v>0</v>
      </c>
      <c r="CZ14" s="62">
        <f t="shared" ca="1" si="15"/>
        <v>0</v>
      </c>
      <c r="DA14" s="62">
        <f t="shared" ca="1" si="15"/>
        <v>0</v>
      </c>
      <c r="DB14" s="62">
        <f t="shared" ca="1" si="15"/>
        <v>0</v>
      </c>
      <c r="DC14" s="62">
        <f t="shared" ca="1" si="15"/>
        <v>0</v>
      </c>
      <c r="DD14" s="62">
        <f t="shared" ca="1" si="15"/>
        <v>0</v>
      </c>
      <c r="DE14" s="62">
        <f t="shared" ca="1" si="15"/>
        <v>0</v>
      </c>
      <c r="DF14" s="62">
        <f t="shared" ca="1" si="15"/>
        <v>0</v>
      </c>
      <c r="DG14" s="62">
        <f t="shared" ca="1" si="15"/>
        <v>0</v>
      </c>
      <c r="DH14" s="62">
        <f t="shared" ca="1" si="15"/>
        <v>0</v>
      </c>
      <c r="DI14" s="62">
        <f t="shared" ca="1" si="15"/>
        <v>0</v>
      </c>
      <c r="DJ14" s="62">
        <f t="shared" ca="1" si="15"/>
        <v>0</v>
      </c>
    </row>
    <row r="15" spans="2:114">
      <c r="B15" s="95" t="s">
        <v>48</v>
      </c>
      <c r="C15" s="87">
        <f>'Painel de Controle para SCP-Inv'!F31</f>
        <v>0.1</v>
      </c>
      <c r="D15" s="92">
        <f>'Painel de Controle para SCP-Inv'!F32</f>
        <v>6</v>
      </c>
      <c r="E15" s="97">
        <f ca="1">EOMONTH(E14,D14)</f>
        <v>45777</v>
      </c>
      <c r="F15" s="96">
        <f ca="1">SUM(G15:CX15)</f>
        <v>-1474515.1750972774</v>
      </c>
      <c r="G15" s="62">
        <f ca="1">IF(AND(G$6&gt;=$E15,G$6&lt;EOMONTH($E15,$D15)),$C15*($F$13+$F$14)/$D15,0)</f>
        <v>0</v>
      </c>
      <c r="H15" s="62">
        <f t="shared" ref="H15:BS15" ca="1" si="16">IF(AND(H$6&gt;=$E15,H$6&lt;EOMONTH($E15,$D15)),$C15*($F$13+$F$14)/$D15,0)</f>
        <v>0</v>
      </c>
      <c r="I15" s="62">
        <f t="shared" ca="1" si="16"/>
        <v>0</v>
      </c>
      <c r="J15" s="62">
        <f t="shared" ca="1" si="16"/>
        <v>0</v>
      </c>
      <c r="K15" s="62">
        <f t="shared" ca="1" si="16"/>
        <v>0</v>
      </c>
      <c r="L15" s="62">
        <f t="shared" ca="1" si="16"/>
        <v>0</v>
      </c>
      <c r="M15" s="62">
        <f t="shared" ca="1" si="16"/>
        <v>0</v>
      </c>
      <c r="N15" s="62">
        <f t="shared" ca="1" si="16"/>
        <v>0</v>
      </c>
      <c r="O15" s="62">
        <f t="shared" ca="1" si="16"/>
        <v>0</v>
      </c>
      <c r="P15" s="62">
        <f t="shared" ca="1" si="16"/>
        <v>0</v>
      </c>
      <c r="Q15" s="62">
        <f t="shared" ca="1" si="16"/>
        <v>0</v>
      </c>
      <c r="R15" s="62">
        <f t="shared" ca="1" si="16"/>
        <v>0</v>
      </c>
      <c r="S15" s="62">
        <f t="shared" ca="1" si="16"/>
        <v>0</v>
      </c>
      <c r="T15" s="62">
        <f t="shared" ca="1" si="16"/>
        <v>0</v>
      </c>
      <c r="U15" s="62">
        <f t="shared" ca="1" si="16"/>
        <v>0</v>
      </c>
      <c r="V15" s="62">
        <f t="shared" ca="1" si="16"/>
        <v>0</v>
      </c>
      <c r="W15" s="62">
        <f t="shared" ca="1" si="16"/>
        <v>0</v>
      </c>
      <c r="X15" s="62">
        <f t="shared" ca="1" si="16"/>
        <v>0</v>
      </c>
      <c r="Y15" s="62">
        <f t="shared" ca="1" si="16"/>
        <v>0</v>
      </c>
      <c r="Z15" s="62">
        <f t="shared" ca="1" si="16"/>
        <v>0</v>
      </c>
      <c r="AA15" s="62">
        <f t="shared" ca="1" si="16"/>
        <v>0</v>
      </c>
      <c r="AB15" s="62">
        <f t="shared" ca="1" si="16"/>
        <v>0</v>
      </c>
      <c r="AC15" s="62">
        <f t="shared" ca="1" si="16"/>
        <v>0</v>
      </c>
      <c r="AD15" s="62">
        <f t="shared" ca="1" si="16"/>
        <v>0</v>
      </c>
      <c r="AE15" s="62">
        <f t="shared" ca="1" si="16"/>
        <v>0</v>
      </c>
      <c r="AF15" s="62">
        <f t="shared" ca="1" si="16"/>
        <v>0</v>
      </c>
      <c r="AG15" s="62">
        <f t="shared" ca="1" si="16"/>
        <v>0</v>
      </c>
      <c r="AH15" s="62">
        <f t="shared" ca="1" si="16"/>
        <v>0</v>
      </c>
      <c r="AI15" s="62">
        <f t="shared" ca="1" si="16"/>
        <v>0</v>
      </c>
      <c r="AJ15" s="62">
        <f t="shared" ca="1" si="16"/>
        <v>-245752.52918287957</v>
      </c>
      <c r="AK15" s="62">
        <f t="shared" ca="1" si="16"/>
        <v>-245752.52918287957</v>
      </c>
      <c r="AL15" s="62">
        <f t="shared" ca="1" si="16"/>
        <v>-245752.52918287957</v>
      </c>
      <c r="AM15" s="62">
        <f t="shared" ca="1" si="16"/>
        <v>-245752.52918287957</v>
      </c>
      <c r="AN15" s="62">
        <f t="shared" ca="1" si="16"/>
        <v>-245752.52918287957</v>
      </c>
      <c r="AO15" s="62">
        <f t="shared" ca="1" si="16"/>
        <v>-245752.52918287957</v>
      </c>
      <c r="AP15" s="62">
        <f t="shared" ca="1" si="16"/>
        <v>0</v>
      </c>
      <c r="AQ15" s="62">
        <f t="shared" ca="1" si="16"/>
        <v>0</v>
      </c>
      <c r="AR15" s="62">
        <f t="shared" ca="1" si="16"/>
        <v>0</v>
      </c>
      <c r="AS15" s="62">
        <f t="shared" ca="1" si="16"/>
        <v>0</v>
      </c>
      <c r="AT15" s="62">
        <f t="shared" ca="1" si="16"/>
        <v>0</v>
      </c>
      <c r="AU15" s="62">
        <f t="shared" ca="1" si="16"/>
        <v>0</v>
      </c>
      <c r="AV15" s="62">
        <f t="shared" ca="1" si="16"/>
        <v>0</v>
      </c>
      <c r="AW15" s="62">
        <f t="shared" ca="1" si="16"/>
        <v>0</v>
      </c>
      <c r="AX15" s="62">
        <f t="shared" ca="1" si="16"/>
        <v>0</v>
      </c>
      <c r="AY15" s="62">
        <f t="shared" ca="1" si="16"/>
        <v>0</v>
      </c>
      <c r="AZ15" s="62">
        <f ca="1">IF(AND(AZ$6&gt;=$E15,AZ$6&lt;EOMONTH($E15,$D15)),$C15*($F$13+$F$14)/$D15,0)</f>
        <v>0</v>
      </c>
      <c r="BA15" s="62">
        <f t="shared" ca="1" si="16"/>
        <v>0</v>
      </c>
      <c r="BB15" s="62">
        <f t="shared" ca="1" si="16"/>
        <v>0</v>
      </c>
      <c r="BC15" s="62">
        <f t="shared" ca="1" si="16"/>
        <v>0</v>
      </c>
      <c r="BD15" s="62">
        <f t="shared" ca="1" si="16"/>
        <v>0</v>
      </c>
      <c r="BE15" s="62">
        <f t="shared" ca="1" si="16"/>
        <v>0</v>
      </c>
      <c r="BF15" s="62">
        <f t="shared" ca="1" si="16"/>
        <v>0</v>
      </c>
      <c r="BG15" s="62">
        <f t="shared" ca="1" si="16"/>
        <v>0</v>
      </c>
      <c r="BH15" s="62">
        <f t="shared" ca="1" si="16"/>
        <v>0</v>
      </c>
      <c r="BI15" s="62">
        <f t="shared" ca="1" si="16"/>
        <v>0</v>
      </c>
      <c r="BJ15" s="62">
        <f t="shared" ca="1" si="16"/>
        <v>0</v>
      </c>
      <c r="BK15" s="62">
        <f t="shared" ca="1" si="16"/>
        <v>0</v>
      </c>
      <c r="BL15" s="62">
        <f t="shared" ca="1" si="16"/>
        <v>0</v>
      </c>
      <c r="BM15" s="62">
        <f t="shared" ca="1" si="16"/>
        <v>0</v>
      </c>
      <c r="BN15" s="62">
        <f t="shared" ca="1" si="16"/>
        <v>0</v>
      </c>
      <c r="BO15" s="62">
        <f t="shared" ca="1" si="16"/>
        <v>0</v>
      </c>
      <c r="BP15" s="62">
        <f t="shared" ca="1" si="16"/>
        <v>0</v>
      </c>
      <c r="BQ15" s="62">
        <f t="shared" ca="1" si="16"/>
        <v>0</v>
      </c>
      <c r="BR15" s="62">
        <f t="shared" ca="1" si="16"/>
        <v>0</v>
      </c>
      <c r="BS15" s="62">
        <f t="shared" ca="1" si="16"/>
        <v>0</v>
      </c>
      <c r="BT15" s="62">
        <f t="shared" ref="BT15:DJ15" ca="1" si="17">IF(AND(BT$6&gt;=$E15,BT$6&lt;EOMONTH($E15,$D15)),$C15*($F$13+$F$14)/$D15,0)</f>
        <v>0</v>
      </c>
      <c r="BU15" s="62">
        <f t="shared" ca="1" si="17"/>
        <v>0</v>
      </c>
      <c r="BV15" s="62">
        <f t="shared" ca="1" si="17"/>
        <v>0</v>
      </c>
      <c r="BW15" s="62">
        <f t="shared" ca="1" si="17"/>
        <v>0</v>
      </c>
      <c r="BX15" s="62">
        <f t="shared" ca="1" si="17"/>
        <v>0</v>
      </c>
      <c r="BY15" s="62">
        <f t="shared" ca="1" si="17"/>
        <v>0</v>
      </c>
      <c r="BZ15" s="62">
        <f t="shared" ca="1" si="17"/>
        <v>0</v>
      </c>
      <c r="CA15" s="62">
        <f t="shared" ca="1" si="17"/>
        <v>0</v>
      </c>
      <c r="CB15" s="62">
        <f t="shared" ca="1" si="17"/>
        <v>0</v>
      </c>
      <c r="CC15" s="62">
        <f t="shared" ca="1" si="17"/>
        <v>0</v>
      </c>
      <c r="CD15" s="62">
        <f t="shared" ca="1" si="17"/>
        <v>0</v>
      </c>
      <c r="CE15" s="62">
        <f t="shared" ca="1" si="17"/>
        <v>0</v>
      </c>
      <c r="CF15" s="62">
        <f t="shared" ca="1" si="17"/>
        <v>0</v>
      </c>
      <c r="CG15" s="62">
        <f t="shared" ca="1" si="17"/>
        <v>0</v>
      </c>
      <c r="CH15" s="62">
        <f t="shared" ca="1" si="17"/>
        <v>0</v>
      </c>
      <c r="CI15" s="62">
        <f t="shared" ca="1" si="17"/>
        <v>0</v>
      </c>
      <c r="CJ15" s="62">
        <f t="shared" ca="1" si="17"/>
        <v>0</v>
      </c>
      <c r="CK15" s="62">
        <f t="shared" ca="1" si="17"/>
        <v>0</v>
      </c>
      <c r="CL15" s="62">
        <f t="shared" ca="1" si="17"/>
        <v>0</v>
      </c>
      <c r="CM15" s="62">
        <f t="shared" ca="1" si="17"/>
        <v>0</v>
      </c>
      <c r="CN15" s="62">
        <f t="shared" ca="1" si="17"/>
        <v>0</v>
      </c>
      <c r="CO15" s="62">
        <f t="shared" ca="1" si="17"/>
        <v>0</v>
      </c>
      <c r="CP15" s="62">
        <f t="shared" ca="1" si="17"/>
        <v>0</v>
      </c>
      <c r="CQ15" s="62">
        <f t="shared" ca="1" si="17"/>
        <v>0</v>
      </c>
      <c r="CR15" s="62">
        <f t="shared" ca="1" si="17"/>
        <v>0</v>
      </c>
      <c r="CS15" s="62">
        <f t="shared" ca="1" si="17"/>
        <v>0</v>
      </c>
      <c r="CT15" s="62">
        <f t="shared" ca="1" si="17"/>
        <v>0</v>
      </c>
      <c r="CU15" s="62">
        <f t="shared" ca="1" si="17"/>
        <v>0</v>
      </c>
      <c r="CV15" s="62">
        <f t="shared" ca="1" si="17"/>
        <v>0</v>
      </c>
      <c r="CW15" s="62">
        <f t="shared" ca="1" si="17"/>
        <v>0</v>
      </c>
      <c r="CX15" s="62">
        <f t="shared" ca="1" si="17"/>
        <v>0</v>
      </c>
      <c r="CY15" s="62">
        <f t="shared" ca="1" si="17"/>
        <v>0</v>
      </c>
      <c r="CZ15" s="62">
        <f t="shared" ca="1" si="17"/>
        <v>0</v>
      </c>
      <c r="DA15" s="62">
        <f t="shared" ca="1" si="17"/>
        <v>0</v>
      </c>
      <c r="DB15" s="62">
        <f t="shared" ca="1" si="17"/>
        <v>0</v>
      </c>
      <c r="DC15" s="62">
        <f t="shared" ca="1" si="17"/>
        <v>0</v>
      </c>
      <c r="DD15" s="62">
        <f t="shared" ca="1" si="17"/>
        <v>0</v>
      </c>
      <c r="DE15" s="62">
        <f t="shared" ca="1" si="17"/>
        <v>0</v>
      </c>
      <c r="DF15" s="62">
        <f t="shared" ca="1" si="17"/>
        <v>0</v>
      </c>
      <c r="DG15" s="62">
        <f t="shared" ca="1" si="17"/>
        <v>0</v>
      </c>
      <c r="DH15" s="62">
        <f t="shared" ca="1" si="17"/>
        <v>0</v>
      </c>
      <c r="DI15" s="62">
        <f t="shared" ca="1" si="17"/>
        <v>0</v>
      </c>
      <c r="DJ15" s="62">
        <f t="shared" ca="1" si="17"/>
        <v>0</v>
      </c>
    </row>
    <row r="16" spans="2:114">
      <c r="B16" s="95" t="s">
        <v>70</v>
      </c>
      <c r="C16" s="87">
        <f>'Painel de Controle para SCP-Inv'!L14+'Painel de Controle para SCP-Inv'!L15</f>
        <v>0.04</v>
      </c>
      <c r="D16" s="98">
        <v>1</v>
      </c>
      <c r="E16" s="97">
        <f ca="1">'Painel de Controle para SCP-Inv'!L17</f>
        <v>44957</v>
      </c>
      <c r="F16" s="96">
        <f ca="1">SUM(G16:CX16)</f>
        <v>-648786.6770428021</v>
      </c>
      <c r="G16" s="62">
        <f t="shared" ref="G16:AL16" ca="1" si="18">IF(AND(G$6&gt;=$E16,G$6&lt;EOMONTH($E16,$D16)),$C16*SUM($F$13:$F$15),0)</f>
        <v>0</v>
      </c>
      <c r="H16" s="62">
        <f t="shared" ca="1" si="18"/>
        <v>0</v>
      </c>
      <c r="I16" s="62">
        <f t="shared" ca="1" si="18"/>
        <v>-648786.6770428021</v>
      </c>
      <c r="J16" s="62">
        <f t="shared" ca="1" si="18"/>
        <v>0</v>
      </c>
      <c r="K16" s="62">
        <f t="shared" ca="1" si="18"/>
        <v>0</v>
      </c>
      <c r="L16" s="62">
        <f t="shared" ca="1" si="18"/>
        <v>0</v>
      </c>
      <c r="M16" s="62">
        <f t="shared" ca="1" si="18"/>
        <v>0</v>
      </c>
      <c r="N16" s="62">
        <f t="shared" ca="1" si="18"/>
        <v>0</v>
      </c>
      <c r="O16" s="62">
        <f t="shared" ca="1" si="18"/>
        <v>0</v>
      </c>
      <c r="P16" s="62">
        <f t="shared" ca="1" si="18"/>
        <v>0</v>
      </c>
      <c r="Q16" s="62">
        <f t="shared" ca="1" si="18"/>
        <v>0</v>
      </c>
      <c r="R16" s="62">
        <f t="shared" ca="1" si="18"/>
        <v>0</v>
      </c>
      <c r="S16" s="62">
        <f t="shared" ca="1" si="18"/>
        <v>0</v>
      </c>
      <c r="T16" s="62">
        <f t="shared" ca="1" si="18"/>
        <v>0</v>
      </c>
      <c r="U16" s="62">
        <f t="shared" ca="1" si="18"/>
        <v>0</v>
      </c>
      <c r="V16" s="62">
        <f t="shared" ca="1" si="18"/>
        <v>0</v>
      </c>
      <c r="W16" s="62">
        <f t="shared" ca="1" si="18"/>
        <v>0</v>
      </c>
      <c r="X16" s="62">
        <f t="shared" ca="1" si="18"/>
        <v>0</v>
      </c>
      <c r="Y16" s="62">
        <f t="shared" ca="1" si="18"/>
        <v>0</v>
      </c>
      <c r="Z16" s="62">
        <f t="shared" ca="1" si="18"/>
        <v>0</v>
      </c>
      <c r="AA16" s="62">
        <f t="shared" ca="1" si="18"/>
        <v>0</v>
      </c>
      <c r="AB16" s="62">
        <f t="shared" ca="1" si="18"/>
        <v>0</v>
      </c>
      <c r="AC16" s="62">
        <f t="shared" ca="1" si="18"/>
        <v>0</v>
      </c>
      <c r="AD16" s="62">
        <f t="shared" ca="1" si="18"/>
        <v>0</v>
      </c>
      <c r="AE16" s="62">
        <f t="shared" ca="1" si="18"/>
        <v>0</v>
      </c>
      <c r="AF16" s="62">
        <f t="shared" ca="1" si="18"/>
        <v>0</v>
      </c>
      <c r="AG16" s="62">
        <f t="shared" ca="1" si="18"/>
        <v>0</v>
      </c>
      <c r="AH16" s="62">
        <f t="shared" ca="1" si="18"/>
        <v>0</v>
      </c>
      <c r="AI16" s="62">
        <f t="shared" ca="1" si="18"/>
        <v>0</v>
      </c>
      <c r="AJ16" s="62">
        <f t="shared" ca="1" si="18"/>
        <v>0</v>
      </c>
      <c r="AK16" s="62">
        <f t="shared" ca="1" si="18"/>
        <v>0</v>
      </c>
      <c r="AL16" s="62">
        <f t="shared" ca="1" si="18"/>
        <v>0</v>
      </c>
      <c r="AM16" s="62">
        <f t="shared" ref="AM16:CX16" ca="1" si="19">IF(AND(AM$6&gt;=$E16,AM$6&lt;EOMONTH($E16,$D16)),$C16*SUM($F$13:$F$15),0)</f>
        <v>0</v>
      </c>
      <c r="AN16" s="62">
        <f t="shared" ca="1" si="19"/>
        <v>0</v>
      </c>
      <c r="AO16" s="62">
        <f t="shared" ca="1" si="19"/>
        <v>0</v>
      </c>
      <c r="AP16" s="62">
        <f t="shared" ca="1" si="19"/>
        <v>0</v>
      </c>
      <c r="AQ16" s="62">
        <f t="shared" ca="1" si="19"/>
        <v>0</v>
      </c>
      <c r="AR16" s="62">
        <f t="shared" ca="1" si="19"/>
        <v>0</v>
      </c>
      <c r="AS16" s="62">
        <f t="shared" ca="1" si="19"/>
        <v>0</v>
      </c>
      <c r="AT16" s="62">
        <f t="shared" ca="1" si="19"/>
        <v>0</v>
      </c>
      <c r="AU16" s="62">
        <f t="shared" ca="1" si="19"/>
        <v>0</v>
      </c>
      <c r="AV16" s="62">
        <f t="shared" ca="1" si="19"/>
        <v>0</v>
      </c>
      <c r="AW16" s="62">
        <f t="shared" ca="1" si="19"/>
        <v>0</v>
      </c>
      <c r="AX16" s="62">
        <f t="shared" ca="1" si="19"/>
        <v>0</v>
      </c>
      <c r="AY16" s="62">
        <f t="shared" ca="1" si="19"/>
        <v>0</v>
      </c>
      <c r="AZ16" s="62">
        <f t="shared" ca="1" si="19"/>
        <v>0</v>
      </c>
      <c r="BA16" s="62">
        <f t="shared" ca="1" si="19"/>
        <v>0</v>
      </c>
      <c r="BB16" s="62">
        <f t="shared" ca="1" si="19"/>
        <v>0</v>
      </c>
      <c r="BC16" s="62">
        <f t="shared" ca="1" si="19"/>
        <v>0</v>
      </c>
      <c r="BD16" s="62">
        <f t="shared" ca="1" si="19"/>
        <v>0</v>
      </c>
      <c r="BE16" s="62">
        <f t="shared" ca="1" si="19"/>
        <v>0</v>
      </c>
      <c r="BF16" s="62">
        <f t="shared" ca="1" si="19"/>
        <v>0</v>
      </c>
      <c r="BG16" s="62">
        <f t="shared" ca="1" si="19"/>
        <v>0</v>
      </c>
      <c r="BH16" s="62">
        <f t="shared" ca="1" si="19"/>
        <v>0</v>
      </c>
      <c r="BI16" s="62">
        <f t="shared" ca="1" si="19"/>
        <v>0</v>
      </c>
      <c r="BJ16" s="62">
        <f t="shared" ca="1" si="19"/>
        <v>0</v>
      </c>
      <c r="BK16" s="62">
        <f t="shared" ca="1" si="19"/>
        <v>0</v>
      </c>
      <c r="BL16" s="62">
        <f t="shared" ca="1" si="19"/>
        <v>0</v>
      </c>
      <c r="BM16" s="62">
        <f t="shared" ca="1" si="19"/>
        <v>0</v>
      </c>
      <c r="BN16" s="62">
        <f t="shared" ca="1" si="19"/>
        <v>0</v>
      </c>
      <c r="BO16" s="62">
        <f t="shared" ca="1" si="19"/>
        <v>0</v>
      </c>
      <c r="BP16" s="62">
        <f t="shared" ca="1" si="19"/>
        <v>0</v>
      </c>
      <c r="BQ16" s="62">
        <f t="shared" ca="1" si="19"/>
        <v>0</v>
      </c>
      <c r="BR16" s="62">
        <f t="shared" ca="1" si="19"/>
        <v>0</v>
      </c>
      <c r="BS16" s="62">
        <f t="shared" ca="1" si="19"/>
        <v>0</v>
      </c>
      <c r="BT16" s="62">
        <f t="shared" ca="1" si="19"/>
        <v>0</v>
      </c>
      <c r="BU16" s="62">
        <f t="shared" ca="1" si="19"/>
        <v>0</v>
      </c>
      <c r="BV16" s="62">
        <f t="shared" ca="1" si="19"/>
        <v>0</v>
      </c>
      <c r="BW16" s="62">
        <f t="shared" ca="1" si="19"/>
        <v>0</v>
      </c>
      <c r="BX16" s="62">
        <f t="shared" ca="1" si="19"/>
        <v>0</v>
      </c>
      <c r="BY16" s="62">
        <f t="shared" ca="1" si="19"/>
        <v>0</v>
      </c>
      <c r="BZ16" s="62">
        <f t="shared" ca="1" si="19"/>
        <v>0</v>
      </c>
      <c r="CA16" s="62">
        <f t="shared" ca="1" si="19"/>
        <v>0</v>
      </c>
      <c r="CB16" s="62">
        <f t="shared" ca="1" si="19"/>
        <v>0</v>
      </c>
      <c r="CC16" s="62">
        <f t="shared" ca="1" si="19"/>
        <v>0</v>
      </c>
      <c r="CD16" s="62">
        <f t="shared" ca="1" si="19"/>
        <v>0</v>
      </c>
      <c r="CE16" s="62">
        <f t="shared" ca="1" si="19"/>
        <v>0</v>
      </c>
      <c r="CF16" s="62">
        <f t="shared" ca="1" si="19"/>
        <v>0</v>
      </c>
      <c r="CG16" s="62">
        <f t="shared" ca="1" si="19"/>
        <v>0</v>
      </c>
      <c r="CH16" s="62">
        <f t="shared" ca="1" si="19"/>
        <v>0</v>
      </c>
      <c r="CI16" s="62">
        <f t="shared" ca="1" si="19"/>
        <v>0</v>
      </c>
      <c r="CJ16" s="62">
        <f t="shared" ca="1" si="19"/>
        <v>0</v>
      </c>
      <c r="CK16" s="62">
        <f t="shared" ca="1" si="19"/>
        <v>0</v>
      </c>
      <c r="CL16" s="62">
        <f t="shared" ca="1" si="19"/>
        <v>0</v>
      </c>
      <c r="CM16" s="62">
        <f t="shared" ca="1" si="19"/>
        <v>0</v>
      </c>
      <c r="CN16" s="62">
        <f t="shared" ca="1" si="19"/>
        <v>0</v>
      </c>
      <c r="CO16" s="62">
        <f t="shared" ca="1" si="19"/>
        <v>0</v>
      </c>
      <c r="CP16" s="62">
        <f t="shared" ca="1" si="19"/>
        <v>0</v>
      </c>
      <c r="CQ16" s="62">
        <f t="shared" ca="1" si="19"/>
        <v>0</v>
      </c>
      <c r="CR16" s="62">
        <f t="shared" ca="1" si="19"/>
        <v>0</v>
      </c>
      <c r="CS16" s="62">
        <f t="shared" ca="1" si="19"/>
        <v>0</v>
      </c>
      <c r="CT16" s="62">
        <f t="shared" ca="1" si="19"/>
        <v>0</v>
      </c>
      <c r="CU16" s="62">
        <f t="shared" ca="1" si="19"/>
        <v>0</v>
      </c>
      <c r="CV16" s="62">
        <f t="shared" ca="1" si="19"/>
        <v>0</v>
      </c>
      <c r="CW16" s="62">
        <f t="shared" ca="1" si="19"/>
        <v>0</v>
      </c>
      <c r="CX16" s="62">
        <f t="shared" ca="1" si="19"/>
        <v>0</v>
      </c>
      <c r="CY16" s="62">
        <f t="shared" ref="CY16:DJ16" ca="1" si="20">IF(AND(CY$6&gt;=$E16,CY$6&lt;EOMONTH($E16,$D16)),$C16*SUM($F$13:$F$15),0)</f>
        <v>0</v>
      </c>
      <c r="CZ16" s="62">
        <f t="shared" ca="1" si="20"/>
        <v>0</v>
      </c>
      <c r="DA16" s="62">
        <f t="shared" ca="1" si="20"/>
        <v>0</v>
      </c>
      <c r="DB16" s="62">
        <f t="shared" ca="1" si="20"/>
        <v>0</v>
      </c>
      <c r="DC16" s="62">
        <f t="shared" ca="1" si="20"/>
        <v>0</v>
      </c>
      <c r="DD16" s="62">
        <f t="shared" ca="1" si="20"/>
        <v>0</v>
      </c>
      <c r="DE16" s="62">
        <f t="shared" ca="1" si="20"/>
        <v>0</v>
      </c>
      <c r="DF16" s="62">
        <f t="shared" ca="1" si="20"/>
        <v>0</v>
      </c>
      <c r="DG16" s="62">
        <f t="shared" ca="1" si="20"/>
        <v>0</v>
      </c>
      <c r="DH16" s="62">
        <f t="shared" ca="1" si="20"/>
        <v>0</v>
      </c>
      <c r="DI16" s="62">
        <f t="shared" ca="1" si="20"/>
        <v>0</v>
      </c>
      <c r="DJ16" s="62">
        <f t="shared" ca="1" si="20"/>
        <v>0</v>
      </c>
    </row>
    <row r="17" spans="2:114">
      <c r="B17" s="95" t="s">
        <v>73</v>
      </c>
      <c r="C17" s="96">
        <f>'Painel de Controle para SCP-Inv'!L26</f>
        <v>7000</v>
      </c>
      <c r="D17" s="92">
        <f>'Painel de Controle para SCP-Inv'!L27</f>
        <v>12</v>
      </c>
      <c r="E17" s="97">
        <f ca="1">'Painel de Controle para SCP-Inv'!L28</f>
        <v>45032.623496527776</v>
      </c>
      <c r="F17" s="96">
        <f ca="1">SUM(G17:CX17)</f>
        <v>-89169.499999999971</v>
      </c>
      <c r="G17" s="62">
        <f ca="1">IF(AND(G$6&gt;=$E17,G$6&lt;EOMONTH($E17,$D17)),-$C17,0)*G8</f>
        <v>0</v>
      </c>
      <c r="H17" s="62">
        <f t="shared" ref="H17:BS17" ca="1" si="21">IF(AND(H$6&gt;=$E17,H$6&lt;EOMONTH($E17,$D17)),-$C17,0)*H8</f>
        <v>0</v>
      </c>
      <c r="I17" s="62">
        <f t="shared" ca="1" si="21"/>
        <v>0</v>
      </c>
      <c r="J17" s="62">
        <f t="shared" ca="1" si="21"/>
        <v>0</v>
      </c>
      <c r="K17" s="62">
        <f t="shared" ca="1" si="21"/>
        <v>0</v>
      </c>
      <c r="L17" s="62">
        <f t="shared" ca="1" si="21"/>
        <v>-7000</v>
      </c>
      <c r="M17" s="62">
        <f t="shared" ca="1" si="21"/>
        <v>-7000</v>
      </c>
      <c r="N17" s="62">
        <f t="shared" ca="1" si="21"/>
        <v>-7000</v>
      </c>
      <c r="O17" s="62">
        <f t="shared" ca="1" si="21"/>
        <v>-7000</v>
      </c>
      <c r="P17" s="62">
        <f t="shared" ca="1" si="21"/>
        <v>-7000</v>
      </c>
      <c r="Q17" s="62">
        <f t="shared" ca="1" si="21"/>
        <v>-7000</v>
      </c>
      <c r="R17" s="62">
        <f t="shared" ca="1" si="21"/>
        <v>-7000</v>
      </c>
      <c r="S17" s="62">
        <f t="shared" ca="1" si="21"/>
        <v>-8033.8999999999905</v>
      </c>
      <c r="T17" s="62">
        <f t="shared" ca="1" si="21"/>
        <v>-8033.8999999999905</v>
      </c>
      <c r="U17" s="62">
        <f t="shared" ca="1" si="21"/>
        <v>-8033.8999999999905</v>
      </c>
      <c r="V17" s="62">
        <f t="shared" ca="1" si="21"/>
        <v>-8033.8999999999905</v>
      </c>
      <c r="W17" s="62">
        <f t="shared" ca="1" si="21"/>
        <v>-8033.8999999999905</v>
      </c>
      <c r="X17" s="62">
        <f t="shared" ca="1" si="21"/>
        <v>0</v>
      </c>
      <c r="Y17" s="62">
        <f t="shared" ca="1" si="21"/>
        <v>0</v>
      </c>
      <c r="Z17" s="62">
        <f t="shared" ca="1" si="21"/>
        <v>0</v>
      </c>
      <c r="AA17" s="62">
        <f t="shared" ca="1" si="21"/>
        <v>0</v>
      </c>
      <c r="AB17" s="62">
        <f t="shared" ca="1" si="21"/>
        <v>0</v>
      </c>
      <c r="AC17" s="62">
        <f t="shared" ca="1" si="21"/>
        <v>0</v>
      </c>
      <c r="AD17" s="62">
        <f t="shared" ca="1" si="21"/>
        <v>0</v>
      </c>
      <c r="AE17" s="62">
        <f t="shared" ca="1" si="21"/>
        <v>0</v>
      </c>
      <c r="AF17" s="62">
        <f t="shared" ca="1" si="21"/>
        <v>0</v>
      </c>
      <c r="AG17" s="62">
        <f t="shared" ca="1" si="21"/>
        <v>0</v>
      </c>
      <c r="AH17" s="62">
        <f t="shared" ca="1" si="21"/>
        <v>0</v>
      </c>
      <c r="AI17" s="62">
        <f t="shared" ca="1" si="21"/>
        <v>0</v>
      </c>
      <c r="AJ17" s="62">
        <f t="shared" ca="1" si="21"/>
        <v>0</v>
      </c>
      <c r="AK17" s="62">
        <f t="shared" ca="1" si="21"/>
        <v>0</v>
      </c>
      <c r="AL17" s="62">
        <f t="shared" ca="1" si="21"/>
        <v>0</v>
      </c>
      <c r="AM17" s="62">
        <f t="shared" ca="1" si="21"/>
        <v>0</v>
      </c>
      <c r="AN17" s="62">
        <f t="shared" ca="1" si="21"/>
        <v>0</v>
      </c>
      <c r="AO17" s="62">
        <f t="shared" ca="1" si="21"/>
        <v>0</v>
      </c>
      <c r="AP17" s="62">
        <f t="shared" ca="1" si="21"/>
        <v>0</v>
      </c>
      <c r="AQ17" s="62">
        <f t="shared" ca="1" si="21"/>
        <v>0</v>
      </c>
      <c r="AR17" s="62">
        <f t="shared" ca="1" si="21"/>
        <v>0</v>
      </c>
      <c r="AS17" s="62">
        <f t="shared" ca="1" si="21"/>
        <v>0</v>
      </c>
      <c r="AT17" s="62">
        <f t="shared" ca="1" si="21"/>
        <v>0</v>
      </c>
      <c r="AU17" s="62">
        <f t="shared" ca="1" si="21"/>
        <v>0</v>
      </c>
      <c r="AV17" s="62">
        <f t="shared" ca="1" si="21"/>
        <v>0</v>
      </c>
      <c r="AW17" s="62">
        <f t="shared" ca="1" si="21"/>
        <v>0</v>
      </c>
      <c r="AX17" s="62">
        <f t="shared" ca="1" si="21"/>
        <v>0</v>
      </c>
      <c r="AY17" s="62">
        <f t="shared" ca="1" si="21"/>
        <v>0</v>
      </c>
      <c r="AZ17" s="62">
        <f t="shared" ca="1" si="21"/>
        <v>0</v>
      </c>
      <c r="BA17" s="62">
        <f t="shared" ca="1" si="21"/>
        <v>0</v>
      </c>
      <c r="BB17" s="62">
        <f t="shared" ca="1" si="21"/>
        <v>0</v>
      </c>
      <c r="BC17" s="62">
        <f t="shared" ca="1" si="21"/>
        <v>0</v>
      </c>
      <c r="BD17" s="62">
        <f t="shared" ca="1" si="21"/>
        <v>0</v>
      </c>
      <c r="BE17" s="62">
        <f t="shared" ca="1" si="21"/>
        <v>0</v>
      </c>
      <c r="BF17" s="62">
        <f t="shared" ca="1" si="21"/>
        <v>0</v>
      </c>
      <c r="BG17" s="62">
        <f t="shared" ca="1" si="21"/>
        <v>0</v>
      </c>
      <c r="BH17" s="62">
        <f t="shared" ca="1" si="21"/>
        <v>0</v>
      </c>
      <c r="BI17" s="62">
        <f t="shared" ca="1" si="21"/>
        <v>0</v>
      </c>
      <c r="BJ17" s="62">
        <f t="shared" ca="1" si="21"/>
        <v>0</v>
      </c>
      <c r="BK17" s="62">
        <f t="shared" ca="1" si="21"/>
        <v>0</v>
      </c>
      <c r="BL17" s="62">
        <f t="shared" ca="1" si="21"/>
        <v>0</v>
      </c>
      <c r="BM17" s="62">
        <f t="shared" ca="1" si="21"/>
        <v>0</v>
      </c>
      <c r="BN17" s="62">
        <f t="shared" ca="1" si="21"/>
        <v>0</v>
      </c>
      <c r="BO17" s="62">
        <f t="shared" ca="1" si="21"/>
        <v>0</v>
      </c>
      <c r="BP17" s="62">
        <f t="shared" ca="1" si="21"/>
        <v>0</v>
      </c>
      <c r="BQ17" s="62">
        <f t="shared" ca="1" si="21"/>
        <v>0</v>
      </c>
      <c r="BR17" s="62">
        <f t="shared" ca="1" si="21"/>
        <v>0</v>
      </c>
      <c r="BS17" s="62">
        <f t="shared" ca="1" si="21"/>
        <v>0</v>
      </c>
      <c r="BT17" s="62">
        <f t="shared" ref="BT17:DJ17" ca="1" si="22">IF(AND(BT$6&gt;=$E17,BT$6&lt;EOMONTH($E17,$D17)),-$C17,0)*BT8</f>
        <v>0</v>
      </c>
      <c r="BU17" s="62">
        <f t="shared" ca="1" si="22"/>
        <v>0</v>
      </c>
      <c r="BV17" s="62">
        <f t="shared" ca="1" si="22"/>
        <v>0</v>
      </c>
      <c r="BW17" s="62">
        <f t="shared" ca="1" si="22"/>
        <v>0</v>
      </c>
      <c r="BX17" s="62">
        <f t="shared" ca="1" si="22"/>
        <v>0</v>
      </c>
      <c r="BY17" s="62">
        <f t="shared" ca="1" si="22"/>
        <v>0</v>
      </c>
      <c r="BZ17" s="62">
        <f t="shared" ca="1" si="22"/>
        <v>0</v>
      </c>
      <c r="CA17" s="62">
        <f t="shared" ca="1" si="22"/>
        <v>0</v>
      </c>
      <c r="CB17" s="62">
        <f t="shared" ca="1" si="22"/>
        <v>0</v>
      </c>
      <c r="CC17" s="62">
        <f t="shared" ca="1" si="22"/>
        <v>0</v>
      </c>
      <c r="CD17" s="62">
        <f t="shared" ca="1" si="22"/>
        <v>0</v>
      </c>
      <c r="CE17" s="62">
        <f t="shared" ca="1" si="22"/>
        <v>0</v>
      </c>
      <c r="CF17" s="62">
        <f t="shared" ca="1" si="22"/>
        <v>0</v>
      </c>
      <c r="CG17" s="62">
        <f t="shared" ca="1" si="22"/>
        <v>0</v>
      </c>
      <c r="CH17" s="62">
        <f t="shared" ca="1" si="22"/>
        <v>0</v>
      </c>
      <c r="CI17" s="62">
        <f t="shared" ca="1" si="22"/>
        <v>0</v>
      </c>
      <c r="CJ17" s="62">
        <f t="shared" ca="1" si="22"/>
        <v>0</v>
      </c>
      <c r="CK17" s="62">
        <f t="shared" ca="1" si="22"/>
        <v>0</v>
      </c>
      <c r="CL17" s="62">
        <f t="shared" ca="1" si="22"/>
        <v>0</v>
      </c>
      <c r="CM17" s="62">
        <f t="shared" ca="1" si="22"/>
        <v>0</v>
      </c>
      <c r="CN17" s="62">
        <f t="shared" ca="1" si="22"/>
        <v>0</v>
      </c>
      <c r="CO17" s="62">
        <f t="shared" ca="1" si="22"/>
        <v>0</v>
      </c>
      <c r="CP17" s="62">
        <f t="shared" ca="1" si="22"/>
        <v>0</v>
      </c>
      <c r="CQ17" s="62">
        <f t="shared" ca="1" si="22"/>
        <v>0</v>
      </c>
      <c r="CR17" s="62">
        <f t="shared" ca="1" si="22"/>
        <v>0</v>
      </c>
      <c r="CS17" s="62">
        <f t="shared" ca="1" si="22"/>
        <v>0</v>
      </c>
      <c r="CT17" s="62">
        <f t="shared" ca="1" si="22"/>
        <v>0</v>
      </c>
      <c r="CU17" s="62">
        <f t="shared" ca="1" si="22"/>
        <v>0</v>
      </c>
      <c r="CV17" s="62">
        <f t="shared" ca="1" si="22"/>
        <v>0</v>
      </c>
      <c r="CW17" s="62">
        <f t="shared" ca="1" si="22"/>
        <v>0</v>
      </c>
      <c r="CX17" s="62">
        <f t="shared" ca="1" si="22"/>
        <v>0</v>
      </c>
      <c r="CY17" s="62">
        <f t="shared" ca="1" si="22"/>
        <v>0</v>
      </c>
      <c r="CZ17" s="62">
        <f t="shared" ca="1" si="22"/>
        <v>0</v>
      </c>
      <c r="DA17" s="62">
        <f t="shared" ca="1" si="22"/>
        <v>0</v>
      </c>
      <c r="DB17" s="62">
        <f t="shared" ca="1" si="22"/>
        <v>0</v>
      </c>
      <c r="DC17" s="62">
        <f t="shared" ca="1" si="22"/>
        <v>0</v>
      </c>
      <c r="DD17" s="62">
        <f t="shared" ca="1" si="22"/>
        <v>0</v>
      </c>
      <c r="DE17" s="62">
        <f t="shared" ca="1" si="22"/>
        <v>0</v>
      </c>
      <c r="DF17" s="62">
        <f t="shared" ca="1" si="22"/>
        <v>0</v>
      </c>
      <c r="DG17" s="62">
        <f t="shared" ca="1" si="22"/>
        <v>0</v>
      </c>
      <c r="DH17" s="62">
        <f t="shared" ca="1" si="22"/>
        <v>0</v>
      </c>
      <c r="DI17" s="62">
        <f t="shared" ca="1" si="22"/>
        <v>0</v>
      </c>
      <c r="DJ17" s="62">
        <f t="shared" ca="1" si="22"/>
        <v>0</v>
      </c>
    </row>
    <row r="18" spans="2:114">
      <c r="F18" s="96"/>
    </row>
    <row r="19" spans="2:114">
      <c r="B19" s="93" t="s">
        <v>26</v>
      </c>
      <c r="F19" s="96"/>
    </row>
    <row r="20" spans="2:114">
      <c r="B20" s="95" t="s">
        <v>33</v>
      </c>
      <c r="C20" s="96">
        <f ca="1">'Painel de Controle para SCP-Inv'!L23</f>
        <v>8758612.2625001036</v>
      </c>
      <c r="D20" s="92">
        <f>'Painel de Controle para SCP-Inv'!K23</f>
        <v>1</v>
      </c>
      <c r="E20" s="97">
        <f ca="1">'Painel de Controle para SCP-Inv'!L29</f>
        <v>46142</v>
      </c>
      <c r="F20" s="96">
        <f ca="1">SUM(G20:CX20)</f>
        <v>8758612.2625001036</v>
      </c>
      <c r="G20" s="62">
        <f t="shared" ref="G20:BO20" ca="1" si="23">IF(AND(G$6&gt;=$E20,G$6&lt;EOMONTH($E20,$D20)),$C20,0)</f>
        <v>0</v>
      </c>
      <c r="H20" s="62">
        <f t="shared" ca="1" si="23"/>
        <v>0</v>
      </c>
      <c r="I20" s="62">
        <f t="shared" ca="1" si="23"/>
        <v>0</v>
      </c>
      <c r="J20" s="62">
        <f t="shared" ca="1" si="23"/>
        <v>0</v>
      </c>
      <c r="K20" s="62">
        <f t="shared" ca="1" si="23"/>
        <v>0</v>
      </c>
      <c r="L20" s="62">
        <f t="shared" ca="1" si="23"/>
        <v>0</v>
      </c>
      <c r="M20" s="62">
        <f t="shared" ca="1" si="23"/>
        <v>0</v>
      </c>
      <c r="N20" s="62">
        <f t="shared" ca="1" si="23"/>
        <v>0</v>
      </c>
      <c r="O20" s="62">
        <f t="shared" ca="1" si="23"/>
        <v>0</v>
      </c>
      <c r="P20" s="62">
        <f t="shared" ca="1" si="23"/>
        <v>0</v>
      </c>
      <c r="Q20" s="62">
        <f t="shared" ca="1" si="23"/>
        <v>0</v>
      </c>
      <c r="R20" s="62">
        <f t="shared" ca="1" si="23"/>
        <v>0</v>
      </c>
      <c r="S20" s="62">
        <f t="shared" ca="1" si="23"/>
        <v>0</v>
      </c>
      <c r="T20" s="62">
        <f t="shared" ca="1" si="23"/>
        <v>0</v>
      </c>
      <c r="U20" s="62">
        <f t="shared" ca="1" si="23"/>
        <v>0</v>
      </c>
      <c r="V20" s="62">
        <f t="shared" ca="1" si="23"/>
        <v>0</v>
      </c>
      <c r="W20" s="62">
        <f t="shared" ca="1" si="23"/>
        <v>0</v>
      </c>
      <c r="X20" s="62">
        <f t="shared" ca="1" si="23"/>
        <v>0</v>
      </c>
      <c r="Y20" s="62">
        <f t="shared" ca="1" si="23"/>
        <v>0</v>
      </c>
      <c r="Z20" s="62">
        <f t="shared" ca="1" si="23"/>
        <v>0</v>
      </c>
      <c r="AA20" s="62">
        <f t="shared" ca="1" si="23"/>
        <v>0</v>
      </c>
      <c r="AB20" s="62">
        <f t="shared" ca="1" si="23"/>
        <v>0</v>
      </c>
      <c r="AC20" s="62">
        <f t="shared" ca="1" si="23"/>
        <v>0</v>
      </c>
      <c r="AD20" s="62">
        <f t="shared" ca="1" si="23"/>
        <v>0</v>
      </c>
      <c r="AE20" s="62">
        <f t="shared" ca="1" si="23"/>
        <v>0</v>
      </c>
      <c r="AF20" s="62">
        <f t="shared" ca="1" si="23"/>
        <v>0</v>
      </c>
      <c r="AG20" s="62">
        <f t="shared" ca="1" si="23"/>
        <v>0</v>
      </c>
      <c r="AH20" s="62">
        <f t="shared" ca="1" si="23"/>
        <v>0</v>
      </c>
      <c r="AI20" s="62">
        <f t="shared" ca="1" si="23"/>
        <v>0</v>
      </c>
      <c r="AJ20" s="62">
        <f t="shared" ca="1" si="23"/>
        <v>0</v>
      </c>
      <c r="AK20" s="62">
        <f t="shared" ca="1" si="23"/>
        <v>0</v>
      </c>
      <c r="AL20" s="62">
        <f t="shared" ca="1" si="23"/>
        <v>0</v>
      </c>
      <c r="AM20" s="62">
        <f t="shared" ca="1" si="23"/>
        <v>0</v>
      </c>
      <c r="AN20" s="62">
        <f t="shared" ca="1" si="23"/>
        <v>0</v>
      </c>
      <c r="AO20" s="62">
        <f t="shared" ca="1" si="23"/>
        <v>0</v>
      </c>
      <c r="AP20" s="62">
        <f t="shared" ca="1" si="23"/>
        <v>0</v>
      </c>
      <c r="AQ20" s="62">
        <f t="shared" ca="1" si="23"/>
        <v>0</v>
      </c>
      <c r="AR20" s="62">
        <f t="shared" ca="1" si="23"/>
        <v>0</v>
      </c>
      <c r="AS20" s="62">
        <f t="shared" ca="1" si="23"/>
        <v>0</v>
      </c>
      <c r="AT20" s="62">
        <f t="shared" ca="1" si="23"/>
        <v>0</v>
      </c>
      <c r="AU20" s="62">
        <f t="shared" ca="1" si="23"/>
        <v>0</v>
      </c>
      <c r="AV20" s="62">
        <f t="shared" ca="1" si="23"/>
        <v>8758612.2625001036</v>
      </c>
      <c r="AW20" s="62">
        <f t="shared" ca="1" si="23"/>
        <v>0</v>
      </c>
      <c r="AX20" s="62">
        <f t="shared" ca="1" si="23"/>
        <v>0</v>
      </c>
      <c r="AY20" s="62">
        <f t="shared" ca="1" si="23"/>
        <v>0</v>
      </c>
      <c r="AZ20" s="62">
        <f t="shared" ca="1" si="23"/>
        <v>0</v>
      </c>
      <c r="BA20" s="62">
        <f t="shared" ca="1" si="23"/>
        <v>0</v>
      </c>
      <c r="BB20" s="62">
        <f t="shared" ca="1" si="23"/>
        <v>0</v>
      </c>
      <c r="BC20" s="62">
        <f t="shared" ca="1" si="23"/>
        <v>0</v>
      </c>
      <c r="BD20" s="62">
        <f t="shared" ca="1" si="23"/>
        <v>0</v>
      </c>
      <c r="BE20" s="62">
        <f t="shared" ca="1" si="23"/>
        <v>0</v>
      </c>
      <c r="BF20" s="62">
        <f t="shared" ca="1" si="23"/>
        <v>0</v>
      </c>
      <c r="BG20" s="62">
        <f t="shared" ca="1" si="23"/>
        <v>0</v>
      </c>
      <c r="BH20" s="62">
        <f t="shared" ca="1" si="23"/>
        <v>0</v>
      </c>
      <c r="BI20" s="62">
        <f t="shared" ca="1" si="23"/>
        <v>0</v>
      </c>
      <c r="BJ20" s="62">
        <f t="shared" ca="1" si="23"/>
        <v>0</v>
      </c>
      <c r="BK20" s="62">
        <f t="shared" ca="1" si="23"/>
        <v>0</v>
      </c>
      <c r="BL20" s="62">
        <f t="shared" ca="1" si="23"/>
        <v>0</v>
      </c>
      <c r="BM20" s="62">
        <f t="shared" ca="1" si="23"/>
        <v>0</v>
      </c>
      <c r="BN20" s="62">
        <f t="shared" ca="1" si="23"/>
        <v>0</v>
      </c>
      <c r="BO20" s="62">
        <f t="shared" ca="1" si="23"/>
        <v>0</v>
      </c>
      <c r="BP20" s="62">
        <f ca="1">IF(AND(BP$6&gt;=$E20,BP$6&lt;EOMONTH($E20,$D20)),$C20,0)</f>
        <v>0</v>
      </c>
      <c r="BQ20" s="62">
        <f t="shared" ref="BQ20:DJ20" ca="1" si="24">IF(AND(BQ$6&gt;=$E20,BQ$6&lt;EOMONTH($E20,$D20)),$C20,0)</f>
        <v>0</v>
      </c>
      <c r="BR20" s="62">
        <f t="shared" ca="1" si="24"/>
        <v>0</v>
      </c>
      <c r="BS20" s="62">
        <f t="shared" ca="1" si="24"/>
        <v>0</v>
      </c>
      <c r="BT20" s="62">
        <f t="shared" ca="1" si="24"/>
        <v>0</v>
      </c>
      <c r="BU20" s="62">
        <f t="shared" ca="1" si="24"/>
        <v>0</v>
      </c>
      <c r="BV20" s="62">
        <f t="shared" ca="1" si="24"/>
        <v>0</v>
      </c>
      <c r="BW20" s="62">
        <f t="shared" ca="1" si="24"/>
        <v>0</v>
      </c>
      <c r="BX20" s="62">
        <f t="shared" ca="1" si="24"/>
        <v>0</v>
      </c>
      <c r="BY20" s="62">
        <f t="shared" ca="1" si="24"/>
        <v>0</v>
      </c>
      <c r="BZ20" s="62">
        <f t="shared" ca="1" si="24"/>
        <v>0</v>
      </c>
      <c r="CA20" s="62">
        <f t="shared" ca="1" si="24"/>
        <v>0</v>
      </c>
      <c r="CB20" s="62">
        <f t="shared" ca="1" si="24"/>
        <v>0</v>
      </c>
      <c r="CC20" s="62">
        <f t="shared" ca="1" si="24"/>
        <v>0</v>
      </c>
      <c r="CD20" s="62">
        <f t="shared" ca="1" si="24"/>
        <v>0</v>
      </c>
      <c r="CE20" s="62">
        <f t="shared" ca="1" si="24"/>
        <v>0</v>
      </c>
      <c r="CF20" s="62">
        <f t="shared" ca="1" si="24"/>
        <v>0</v>
      </c>
      <c r="CG20" s="62">
        <f t="shared" ca="1" si="24"/>
        <v>0</v>
      </c>
      <c r="CH20" s="62">
        <f t="shared" ca="1" si="24"/>
        <v>0</v>
      </c>
      <c r="CI20" s="62">
        <f t="shared" ca="1" si="24"/>
        <v>0</v>
      </c>
      <c r="CJ20" s="62">
        <f t="shared" ca="1" si="24"/>
        <v>0</v>
      </c>
      <c r="CK20" s="62">
        <f t="shared" ca="1" si="24"/>
        <v>0</v>
      </c>
      <c r="CL20" s="62">
        <f t="shared" ca="1" si="24"/>
        <v>0</v>
      </c>
      <c r="CM20" s="62">
        <f t="shared" ca="1" si="24"/>
        <v>0</v>
      </c>
      <c r="CN20" s="62">
        <f t="shared" ca="1" si="24"/>
        <v>0</v>
      </c>
      <c r="CO20" s="62">
        <f t="shared" ca="1" si="24"/>
        <v>0</v>
      </c>
      <c r="CP20" s="62">
        <f t="shared" ca="1" si="24"/>
        <v>0</v>
      </c>
      <c r="CQ20" s="62">
        <f t="shared" ca="1" si="24"/>
        <v>0</v>
      </c>
      <c r="CR20" s="62">
        <f t="shared" ca="1" si="24"/>
        <v>0</v>
      </c>
      <c r="CS20" s="62">
        <f t="shared" ca="1" si="24"/>
        <v>0</v>
      </c>
      <c r="CT20" s="62">
        <f t="shared" ca="1" si="24"/>
        <v>0</v>
      </c>
      <c r="CU20" s="62">
        <f t="shared" ca="1" si="24"/>
        <v>0</v>
      </c>
      <c r="CV20" s="62">
        <f t="shared" ca="1" si="24"/>
        <v>0</v>
      </c>
      <c r="CW20" s="62">
        <f t="shared" ca="1" si="24"/>
        <v>0</v>
      </c>
      <c r="CX20" s="62">
        <f t="shared" ca="1" si="24"/>
        <v>0</v>
      </c>
      <c r="CY20" s="62">
        <f t="shared" ca="1" si="24"/>
        <v>0</v>
      </c>
      <c r="CZ20" s="62">
        <f t="shared" ca="1" si="24"/>
        <v>0</v>
      </c>
      <c r="DA20" s="62">
        <f t="shared" ca="1" si="24"/>
        <v>0</v>
      </c>
      <c r="DB20" s="62">
        <f t="shared" ca="1" si="24"/>
        <v>0</v>
      </c>
      <c r="DC20" s="62">
        <f t="shared" ca="1" si="24"/>
        <v>0</v>
      </c>
      <c r="DD20" s="62">
        <f t="shared" ca="1" si="24"/>
        <v>0</v>
      </c>
      <c r="DE20" s="62">
        <f t="shared" ca="1" si="24"/>
        <v>0</v>
      </c>
      <c r="DF20" s="62">
        <f t="shared" ca="1" si="24"/>
        <v>0</v>
      </c>
      <c r="DG20" s="62">
        <f t="shared" ca="1" si="24"/>
        <v>0</v>
      </c>
      <c r="DH20" s="62">
        <f t="shared" ca="1" si="24"/>
        <v>0</v>
      </c>
      <c r="DI20" s="62">
        <f t="shared" ca="1" si="24"/>
        <v>0</v>
      </c>
      <c r="DJ20" s="62">
        <f t="shared" ca="1" si="24"/>
        <v>0</v>
      </c>
    </row>
    <row r="21" spans="2:114">
      <c r="B21" s="95" t="s">
        <v>35</v>
      </c>
      <c r="C21" s="96">
        <f ca="1">'Painel de Controle para SCP-Inv'!L24</f>
        <v>20436761.945833579</v>
      </c>
      <c r="D21" s="98">
        <v>1</v>
      </c>
      <c r="E21" s="97">
        <f ca="1">EOMONTH(E20,'Painel de Controle para SCP-Inv'!L25)</f>
        <v>46203</v>
      </c>
      <c r="F21" s="96">
        <f ca="1">SUM(G21:CX21)</f>
        <v>20436761.945833579</v>
      </c>
      <c r="G21" s="62">
        <f t="shared" ref="G21:BR21" ca="1" si="25">IF(AND(G$6&gt;=$E21,G$6&lt;EOMONTH($E21,$D21)),$C21/$D21,0)</f>
        <v>0</v>
      </c>
      <c r="H21" s="62">
        <f t="shared" ca="1" si="25"/>
        <v>0</v>
      </c>
      <c r="I21" s="62">
        <f t="shared" ca="1" si="25"/>
        <v>0</v>
      </c>
      <c r="J21" s="62">
        <f t="shared" ca="1" si="25"/>
        <v>0</v>
      </c>
      <c r="K21" s="62">
        <f t="shared" ca="1" si="25"/>
        <v>0</v>
      </c>
      <c r="L21" s="62">
        <f t="shared" ca="1" si="25"/>
        <v>0</v>
      </c>
      <c r="M21" s="62">
        <f t="shared" ca="1" si="25"/>
        <v>0</v>
      </c>
      <c r="N21" s="62">
        <f t="shared" ca="1" si="25"/>
        <v>0</v>
      </c>
      <c r="O21" s="62">
        <f t="shared" ca="1" si="25"/>
        <v>0</v>
      </c>
      <c r="P21" s="62">
        <f t="shared" ca="1" si="25"/>
        <v>0</v>
      </c>
      <c r="Q21" s="62">
        <f t="shared" ca="1" si="25"/>
        <v>0</v>
      </c>
      <c r="R21" s="62">
        <f t="shared" ca="1" si="25"/>
        <v>0</v>
      </c>
      <c r="S21" s="62">
        <f t="shared" ca="1" si="25"/>
        <v>0</v>
      </c>
      <c r="T21" s="62">
        <f t="shared" ca="1" si="25"/>
        <v>0</v>
      </c>
      <c r="U21" s="62">
        <f t="shared" ca="1" si="25"/>
        <v>0</v>
      </c>
      <c r="V21" s="62">
        <f t="shared" ca="1" si="25"/>
        <v>0</v>
      </c>
      <c r="W21" s="62">
        <f t="shared" ca="1" si="25"/>
        <v>0</v>
      </c>
      <c r="X21" s="62">
        <f t="shared" ca="1" si="25"/>
        <v>0</v>
      </c>
      <c r="Y21" s="62">
        <f t="shared" ca="1" si="25"/>
        <v>0</v>
      </c>
      <c r="Z21" s="62">
        <f t="shared" ca="1" si="25"/>
        <v>0</v>
      </c>
      <c r="AA21" s="62">
        <f t="shared" ca="1" si="25"/>
        <v>0</v>
      </c>
      <c r="AB21" s="62">
        <f t="shared" ca="1" si="25"/>
        <v>0</v>
      </c>
      <c r="AC21" s="62">
        <f t="shared" ca="1" si="25"/>
        <v>0</v>
      </c>
      <c r="AD21" s="62">
        <f t="shared" ca="1" si="25"/>
        <v>0</v>
      </c>
      <c r="AE21" s="62">
        <f t="shared" ca="1" si="25"/>
        <v>0</v>
      </c>
      <c r="AF21" s="62">
        <f t="shared" ca="1" si="25"/>
        <v>0</v>
      </c>
      <c r="AG21" s="62">
        <f t="shared" ca="1" si="25"/>
        <v>0</v>
      </c>
      <c r="AH21" s="62">
        <f t="shared" ca="1" si="25"/>
        <v>0</v>
      </c>
      <c r="AI21" s="62">
        <f t="shared" ca="1" si="25"/>
        <v>0</v>
      </c>
      <c r="AJ21" s="62">
        <f t="shared" ca="1" si="25"/>
        <v>0</v>
      </c>
      <c r="AK21" s="62">
        <f t="shared" ca="1" si="25"/>
        <v>0</v>
      </c>
      <c r="AL21" s="62">
        <f t="shared" ca="1" si="25"/>
        <v>0</v>
      </c>
      <c r="AM21" s="62">
        <f t="shared" ca="1" si="25"/>
        <v>0</v>
      </c>
      <c r="AN21" s="62">
        <f t="shared" ca="1" si="25"/>
        <v>0</v>
      </c>
      <c r="AO21" s="62">
        <f t="shared" ca="1" si="25"/>
        <v>0</v>
      </c>
      <c r="AP21" s="62">
        <f t="shared" ca="1" si="25"/>
        <v>0</v>
      </c>
      <c r="AQ21" s="62">
        <f t="shared" ca="1" si="25"/>
        <v>0</v>
      </c>
      <c r="AR21" s="62">
        <f t="shared" ca="1" si="25"/>
        <v>0</v>
      </c>
      <c r="AS21" s="62">
        <f t="shared" ca="1" si="25"/>
        <v>0</v>
      </c>
      <c r="AT21" s="62">
        <f t="shared" ca="1" si="25"/>
        <v>0</v>
      </c>
      <c r="AU21" s="62">
        <f t="shared" ca="1" si="25"/>
        <v>0</v>
      </c>
      <c r="AV21" s="62">
        <f t="shared" ca="1" si="25"/>
        <v>0</v>
      </c>
      <c r="AW21" s="62">
        <f t="shared" ca="1" si="25"/>
        <v>0</v>
      </c>
      <c r="AX21" s="62">
        <f t="shared" ca="1" si="25"/>
        <v>20436761.945833579</v>
      </c>
      <c r="AY21" s="62">
        <f t="shared" ca="1" si="25"/>
        <v>0</v>
      </c>
      <c r="AZ21" s="62">
        <f t="shared" ca="1" si="25"/>
        <v>0</v>
      </c>
      <c r="BA21" s="62">
        <f t="shared" ca="1" si="25"/>
        <v>0</v>
      </c>
      <c r="BB21" s="62">
        <f t="shared" ca="1" si="25"/>
        <v>0</v>
      </c>
      <c r="BC21" s="62">
        <f t="shared" ca="1" si="25"/>
        <v>0</v>
      </c>
      <c r="BD21" s="62">
        <f t="shared" ca="1" si="25"/>
        <v>0</v>
      </c>
      <c r="BE21" s="62">
        <f t="shared" ca="1" si="25"/>
        <v>0</v>
      </c>
      <c r="BF21" s="62">
        <f t="shared" ca="1" si="25"/>
        <v>0</v>
      </c>
      <c r="BG21" s="62">
        <f t="shared" ca="1" si="25"/>
        <v>0</v>
      </c>
      <c r="BH21" s="62">
        <f t="shared" ca="1" si="25"/>
        <v>0</v>
      </c>
      <c r="BI21" s="62">
        <f t="shared" ca="1" si="25"/>
        <v>0</v>
      </c>
      <c r="BJ21" s="62">
        <f t="shared" ca="1" si="25"/>
        <v>0</v>
      </c>
      <c r="BK21" s="62">
        <f t="shared" ca="1" si="25"/>
        <v>0</v>
      </c>
      <c r="BL21" s="62">
        <f t="shared" ca="1" si="25"/>
        <v>0</v>
      </c>
      <c r="BM21" s="62">
        <f t="shared" ca="1" si="25"/>
        <v>0</v>
      </c>
      <c r="BN21" s="62">
        <f t="shared" ca="1" si="25"/>
        <v>0</v>
      </c>
      <c r="BO21" s="62">
        <f t="shared" ca="1" si="25"/>
        <v>0</v>
      </c>
      <c r="BP21" s="62">
        <f t="shared" ca="1" si="25"/>
        <v>0</v>
      </c>
      <c r="BQ21" s="62">
        <f t="shared" ca="1" si="25"/>
        <v>0</v>
      </c>
      <c r="BR21" s="62">
        <f t="shared" ca="1" si="25"/>
        <v>0</v>
      </c>
      <c r="BS21" s="62">
        <f t="shared" ref="BS21:DJ21" ca="1" si="26">IF(AND(BS$6&gt;=$E21,BS$6&lt;EOMONTH($E21,$D21)),$C21/$D21,0)</f>
        <v>0</v>
      </c>
      <c r="BT21" s="62">
        <f ca="1">IF(AND(BT$6&gt;=$E21,BT$6&lt;EOMONTH($E21,$D21)),$C21/$D21,0)</f>
        <v>0</v>
      </c>
      <c r="BU21" s="62">
        <f t="shared" ca="1" si="26"/>
        <v>0</v>
      </c>
      <c r="BV21" s="62">
        <f t="shared" ca="1" si="26"/>
        <v>0</v>
      </c>
      <c r="BW21" s="62">
        <f t="shared" ca="1" si="26"/>
        <v>0</v>
      </c>
      <c r="BX21" s="62">
        <f t="shared" ca="1" si="26"/>
        <v>0</v>
      </c>
      <c r="BY21" s="62">
        <f t="shared" ca="1" si="26"/>
        <v>0</v>
      </c>
      <c r="BZ21" s="62">
        <f t="shared" ca="1" si="26"/>
        <v>0</v>
      </c>
      <c r="CA21" s="62">
        <f t="shared" ca="1" si="26"/>
        <v>0</v>
      </c>
      <c r="CB21" s="62">
        <f t="shared" ca="1" si="26"/>
        <v>0</v>
      </c>
      <c r="CC21" s="62">
        <f t="shared" ca="1" si="26"/>
        <v>0</v>
      </c>
      <c r="CD21" s="62">
        <f t="shared" ca="1" si="26"/>
        <v>0</v>
      </c>
      <c r="CE21" s="62">
        <f t="shared" ca="1" si="26"/>
        <v>0</v>
      </c>
      <c r="CF21" s="62">
        <f t="shared" ca="1" si="26"/>
        <v>0</v>
      </c>
      <c r="CG21" s="62">
        <f t="shared" ca="1" si="26"/>
        <v>0</v>
      </c>
      <c r="CH21" s="62">
        <f t="shared" ca="1" si="26"/>
        <v>0</v>
      </c>
      <c r="CI21" s="62">
        <f t="shared" ca="1" si="26"/>
        <v>0</v>
      </c>
      <c r="CJ21" s="62">
        <f t="shared" ca="1" si="26"/>
        <v>0</v>
      </c>
      <c r="CK21" s="62">
        <f t="shared" ca="1" si="26"/>
        <v>0</v>
      </c>
      <c r="CL21" s="62">
        <f t="shared" ca="1" si="26"/>
        <v>0</v>
      </c>
      <c r="CM21" s="62">
        <f t="shared" ca="1" si="26"/>
        <v>0</v>
      </c>
      <c r="CN21" s="62">
        <f t="shared" ca="1" si="26"/>
        <v>0</v>
      </c>
      <c r="CO21" s="62">
        <f t="shared" ca="1" si="26"/>
        <v>0</v>
      </c>
      <c r="CP21" s="62">
        <f t="shared" ca="1" si="26"/>
        <v>0</v>
      </c>
      <c r="CQ21" s="62">
        <f t="shared" ca="1" si="26"/>
        <v>0</v>
      </c>
      <c r="CR21" s="62">
        <f t="shared" ca="1" si="26"/>
        <v>0</v>
      </c>
      <c r="CS21" s="62">
        <f t="shared" ca="1" si="26"/>
        <v>0</v>
      </c>
      <c r="CT21" s="62">
        <f t="shared" ca="1" si="26"/>
        <v>0</v>
      </c>
      <c r="CU21" s="62">
        <f t="shared" ca="1" si="26"/>
        <v>0</v>
      </c>
      <c r="CV21" s="62">
        <f t="shared" ca="1" si="26"/>
        <v>0</v>
      </c>
      <c r="CW21" s="62">
        <f t="shared" ca="1" si="26"/>
        <v>0</v>
      </c>
      <c r="CX21" s="62">
        <f t="shared" ca="1" si="26"/>
        <v>0</v>
      </c>
      <c r="CY21" s="62">
        <f t="shared" ca="1" si="26"/>
        <v>0</v>
      </c>
      <c r="CZ21" s="62">
        <f t="shared" ca="1" si="26"/>
        <v>0</v>
      </c>
      <c r="DA21" s="62">
        <f t="shared" ca="1" si="26"/>
        <v>0</v>
      </c>
      <c r="DB21" s="62">
        <f t="shared" ca="1" si="26"/>
        <v>0</v>
      </c>
      <c r="DC21" s="62">
        <f t="shared" ca="1" si="26"/>
        <v>0</v>
      </c>
      <c r="DD21" s="62">
        <f t="shared" ca="1" si="26"/>
        <v>0</v>
      </c>
      <c r="DE21" s="62">
        <f t="shared" ca="1" si="26"/>
        <v>0</v>
      </c>
      <c r="DF21" s="62">
        <f t="shared" ca="1" si="26"/>
        <v>0</v>
      </c>
      <c r="DG21" s="62">
        <f t="shared" ca="1" si="26"/>
        <v>0</v>
      </c>
      <c r="DH21" s="62">
        <f t="shared" ca="1" si="26"/>
        <v>0</v>
      </c>
      <c r="DI21" s="62">
        <f t="shared" ca="1" si="26"/>
        <v>0</v>
      </c>
      <c r="DJ21" s="62">
        <f t="shared" ca="1" si="26"/>
        <v>0</v>
      </c>
    </row>
    <row r="22" spans="2:114">
      <c r="B22" s="95" t="s">
        <v>49</v>
      </c>
      <c r="C22" s="87">
        <f>'Painel de Controle para SCP-Inv'!L31</f>
        <v>0.05</v>
      </c>
      <c r="D22" s="92">
        <f>'Painel de Controle para SCP-Inv'!K31</f>
        <v>1</v>
      </c>
      <c r="E22" s="97">
        <f ca="1">E20</f>
        <v>46142</v>
      </c>
      <c r="F22" s="96">
        <f ca="1">SUM(G22:CX22)</f>
        <v>-1459768.7104166842</v>
      </c>
      <c r="G22" s="62">
        <f t="shared" ref="G22:AL22" ca="1" si="27">IF(AND(G$6&gt;=$E22,G$6&lt;EOMONTH($E22,$D22)),-$C22*SUM($F$20:$F$21)/$D22,0)</f>
        <v>0</v>
      </c>
      <c r="H22" s="62">
        <f t="shared" ca="1" si="27"/>
        <v>0</v>
      </c>
      <c r="I22" s="62">
        <f t="shared" ca="1" si="27"/>
        <v>0</v>
      </c>
      <c r="J22" s="62">
        <f t="shared" ca="1" si="27"/>
        <v>0</v>
      </c>
      <c r="K22" s="62">
        <f t="shared" ca="1" si="27"/>
        <v>0</v>
      </c>
      <c r="L22" s="62">
        <f t="shared" ca="1" si="27"/>
        <v>0</v>
      </c>
      <c r="M22" s="62">
        <f t="shared" ca="1" si="27"/>
        <v>0</v>
      </c>
      <c r="N22" s="62">
        <f t="shared" ca="1" si="27"/>
        <v>0</v>
      </c>
      <c r="O22" s="62">
        <f t="shared" ca="1" si="27"/>
        <v>0</v>
      </c>
      <c r="P22" s="62">
        <f t="shared" ca="1" si="27"/>
        <v>0</v>
      </c>
      <c r="Q22" s="62">
        <f t="shared" ca="1" si="27"/>
        <v>0</v>
      </c>
      <c r="R22" s="62">
        <f t="shared" ca="1" si="27"/>
        <v>0</v>
      </c>
      <c r="S22" s="62">
        <f t="shared" ca="1" si="27"/>
        <v>0</v>
      </c>
      <c r="T22" s="62">
        <f t="shared" ca="1" si="27"/>
        <v>0</v>
      </c>
      <c r="U22" s="62">
        <f t="shared" ca="1" si="27"/>
        <v>0</v>
      </c>
      <c r="V22" s="62">
        <f t="shared" ca="1" si="27"/>
        <v>0</v>
      </c>
      <c r="W22" s="62">
        <f t="shared" ca="1" si="27"/>
        <v>0</v>
      </c>
      <c r="X22" s="62">
        <f t="shared" ca="1" si="27"/>
        <v>0</v>
      </c>
      <c r="Y22" s="62">
        <f t="shared" ca="1" si="27"/>
        <v>0</v>
      </c>
      <c r="Z22" s="62">
        <f t="shared" ca="1" si="27"/>
        <v>0</v>
      </c>
      <c r="AA22" s="62">
        <f t="shared" ca="1" si="27"/>
        <v>0</v>
      </c>
      <c r="AB22" s="62">
        <f t="shared" ca="1" si="27"/>
        <v>0</v>
      </c>
      <c r="AC22" s="62">
        <f t="shared" ca="1" si="27"/>
        <v>0</v>
      </c>
      <c r="AD22" s="62">
        <f t="shared" ca="1" si="27"/>
        <v>0</v>
      </c>
      <c r="AE22" s="62">
        <f t="shared" ca="1" si="27"/>
        <v>0</v>
      </c>
      <c r="AF22" s="62">
        <f t="shared" ca="1" si="27"/>
        <v>0</v>
      </c>
      <c r="AG22" s="62">
        <f t="shared" ca="1" si="27"/>
        <v>0</v>
      </c>
      <c r="AH22" s="62">
        <f t="shared" ca="1" si="27"/>
        <v>0</v>
      </c>
      <c r="AI22" s="62">
        <f t="shared" ca="1" si="27"/>
        <v>0</v>
      </c>
      <c r="AJ22" s="62">
        <f t="shared" ca="1" si="27"/>
        <v>0</v>
      </c>
      <c r="AK22" s="62">
        <f t="shared" ca="1" si="27"/>
        <v>0</v>
      </c>
      <c r="AL22" s="62">
        <f t="shared" ca="1" si="27"/>
        <v>0</v>
      </c>
      <c r="AM22" s="62">
        <f t="shared" ref="AM22:CX22" ca="1" si="28">IF(AND(AM$6&gt;=$E22,AM$6&lt;EOMONTH($E22,$D22)),-$C22*SUM($F$20:$F$21)/$D22,0)</f>
        <v>0</v>
      </c>
      <c r="AN22" s="62">
        <f t="shared" ca="1" si="28"/>
        <v>0</v>
      </c>
      <c r="AO22" s="62">
        <f t="shared" ca="1" si="28"/>
        <v>0</v>
      </c>
      <c r="AP22" s="62">
        <f t="shared" ca="1" si="28"/>
        <v>0</v>
      </c>
      <c r="AQ22" s="62">
        <f t="shared" ca="1" si="28"/>
        <v>0</v>
      </c>
      <c r="AR22" s="62">
        <f t="shared" ca="1" si="28"/>
        <v>0</v>
      </c>
      <c r="AS22" s="62">
        <f t="shared" ca="1" si="28"/>
        <v>0</v>
      </c>
      <c r="AT22" s="62">
        <f t="shared" ca="1" si="28"/>
        <v>0</v>
      </c>
      <c r="AU22" s="62">
        <f t="shared" ca="1" si="28"/>
        <v>0</v>
      </c>
      <c r="AV22" s="62">
        <f t="shared" ca="1" si="28"/>
        <v>-1459768.7104166842</v>
      </c>
      <c r="AW22" s="62">
        <f t="shared" ca="1" si="28"/>
        <v>0</v>
      </c>
      <c r="AX22" s="62">
        <f t="shared" ca="1" si="28"/>
        <v>0</v>
      </c>
      <c r="AY22" s="62">
        <f t="shared" ca="1" si="28"/>
        <v>0</v>
      </c>
      <c r="AZ22" s="62">
        <f t="shared" ca="1" si="28"/>
        <v>0</v>
      </c>
      <c r="BA22" s="62">
        <f t="shared" ca="1" si="28"/>
        <v>0</v>
      </c>
      <c r="BB22" s="62">
        <f t="shared" ca="1" si="28"/>
        <v>0</v>
      </c>
      <c r="BC22" s="62">
        <f t="shared" ca="1" si="28"/>
        <v>0</v>
      </c>
      <c r="BD22" s="62">
        <f t="shared" ca="1" si="28"/>
        <v>0</v>
      </c>
      <c r="BE22" s="62">
        <f t="shared" ca="1" si="28"/>
        <v>0</v>
      </c>
      <c r="BF22" s="62">
        <f t="shared" ca="1" si="28"/>
        <v>0</v>
      </c>
      <c r="BG22" s="62">
        <f t="shared" ca="1" si="28"/>
        <v>0</v>
      </c>
      <c r="BH22" s="62">
        <f t="shared" ca="1" si="28"/>
        <v>0</v>
      </c>
      <c r="BI22" s="62">
        <f t="shared" ca="1" si="28"/>
        <v>0</v>
      </c>
      <c r="BJ22" s="62">
        <f t="shared" ca="1" si="28"/>
        <v>0</v>
      </c>
      <c r="BK22" s="62">
        <f t="shared" ca="1" si="28"/>
        <v>0</v>
      </c>
      <c r="BL22" s="62">
        <f t="shared" ca="1" si="28"/>
        <v>0</v>
      </c>
      <c r="BM22" s="62">
        <f t="shared" ca="1" si="28"/>
        <v>0</v>
      </c>
      <c r="BN22" s="62">
        <f t="shared" ca="1" si="28"/>
        <v>0</v>
      </c>
      <c r="BO22" s="62">
        <f t="shared" ca="1" si="28"/>
        <v>0</v>
      </c>
      <c r="BP22" s="62">
        <f t="shared" ca="1" si="28"/>
        <v>0</v>
      </c>
      <c r="BQ22" s="62">
        <f t="shared" ca="1" si="28"/>
        <v>0</v>
      </c>
      <c r="BR22" s="62">
        <f t="shared" ca="1" si="28"/>
        <v>0</v>
      </c>
      <c r="BS22" s="62">
        <f t="shared" ca="1" si="28"/>
        <v>0</v>
      </c>
      <c r="BT22" s="62">
        <f t="shared" ca="1" si="28"/>
        <v>0</v>
      </c>
      <c r="BU22" s="62">
        <f t="shared" ca="1" si="28"/>
        <v>0</v>
      </c>
      <c r="BV22" s="62">
        <f t="shared" ca="1" si="28"/>
        <v>0</v>
      </c>
      <c r="BW22" s="62">
        <f t="shared" ca="1" si="28"/>
        <v>0</v>
      </c>
      <c r="BX22" s="62">
        <f t="shared" ca="1" si="28"/>
        <v>0</v>
      </c>
      <c r="BY22" s="62">
        <f t="shared" ca="1" si="28"/>
        <v>0</v>
      </c>
      <c r="BZ22" s="62">
        <f t="shared" ca="1" si="28"/>
        <v>0</v>
      </c>
      <c r="CA22" s="62">
        <f t="shared" ca="1" si="28"/>
        <v>0</v>
      </c>
      <c r="CB22" s="62">
        <f t="shared" ca="1" si="28"/>
        <v>0</v>
      </c>
      <c r="CC22" s="62">
        <f t="shared" ca="1" si="28"/>
        <v>0</v>
      </c>
      <c r="CD22" s="62">
        <f t="shared" ca="1" si="28"/>
        <v>0</v>
      </c>
      <c r="CE22" s="62">
        <f t="shared" ca="1" si="28"/>
        <v>0</v>
      </c>
      <c r="CF22" s="62">
        <f t="shared" ca="1" si="28"/>
        <v>0</v>
      </c>
      <c r="CG22" s="62">
        <f t="shared" ca="1" si="28"/>
        <v>0</v>
      </c>
      <c r="CH22" s="62">
        <f t="shared" ca="1" si="28"/>
        <v>0</v>
      </c>
      <c r="CI22" s="62">
        <f t="shared" ca="1" si="28"/>
        <v>0</v>
      </c>
      <c r="CJ22" s="62">
        <f t="shared" ca="1" si="28"/>
        <v>0</v>
      </c>
      <c r="CK22" s="62">
        <f t="shared" ca="1" si="28"/>
        <v>0</v>
      </c>
      <c r="CL22" s="62">
        <f t="shared" ca="1" si="28"/>
        <v>0</v>
      </c>
      <c r="CM22" s="62">
        <f t="shared" ca="1" si="28"/>
        <v>0</v>
      </c>
      <c r="CN22" s="62">
        <f t="shared" ca="1" si="28"/>
        <v>0</v>
      </c>
      <c r="CO22" s="62">
        <f t="shared" ca="1" si="28"/>
        <v>0</v>
      </c>
      <c r="CP22" s="62">
        <f t="shared" ca="1" si="28"/>
        <v>0</v>
      </c>
      <c r="CQ22" s="62">
        <f t="shared" ca="1" si="28"/>
        <v>0</v>
      </c>
      <c r="CR22" s="62">
        <f t="shared" ca="1" si="28"/>
        <v>0</v>
      </c>
      <c r="CS22" s="62">
        <f t="shared" ca="1" si="28"/>
        <v>0</v>
      </c>
      <c r="CT22" s="62">
        <f t="shared" ca="1" si="28"/>
        <v>0</v>
      </c>
      <c r="CU22" s="62">
        <f t="shared" ca="1" si="28"/>
        <v>0</v>
      </c>
      <c r="CV22" s="62">
        <f t="shared" ca="1" si="28"/>
        <v>0</v>
      </c>
      <c r="CW22" s="62">
        <f t="shared" ca="1" si="28"/>
        <v>0</v>
      </c>
      <c r="CX22" s="62">
        <f t="shared" ca="1" si="28"/>
        <v>0</v>
      </c>
      <c r="CY22" s="62">
        <f t="shared" ref="CY22:DJ22" ca="1" si="29">IF(AND(CY$6&gt;=$E22,CY$6&lt;EOMONTH($E22,$D22)),-$C22*SUM($F$20:$F$21)/$D22,0)</f>
        <v>0</v>
      </c>
      <c r="CZ22" s="62">
        <f t="shared" ca="1" si="29"/>
        <v>0</v>
      </c>
      <c r="DA22" s="62">
        <f t="shared" ca="1" si="29"/>
        <v>0</v>
      </c>
      <c r="DB22" s="62">
        <f t="shared" ca="1" si="29"/>
        <v>0</v>
      </c>
      <c r="DC22" s="62">
        <f t="shared" ca="1" si="29"/>
        <v>0</v>
      </c>
      <c r="DD22" s="62">
        <f t="shared" ca="1" si="29"/>
        <v>0</v>
      </c>
      <c r="DE22" s="62">
        <f t="shared" ca="1" si="29"/>
        <v>0</v>
      </c>
      <c r="DF22" s="62">
        <f t="shared" ca="1" si="29"/>
        <v>0</v>
      </c>
      <c r="DG22" s="62">
        <f t="shared" ca="1" si="29"/>
        <v>0</v>
      </c>
      <c r="DH22" s="62">
        <f t="shared" ca="1" si="29"/>
        <v>0</v>
      </c>
      <c r="DI22" s="62">
        <f t="shared" ca="1" si="29"/>
        <v>0</v>
      </c>
      <c r="DJ22" s="62">
        <f t="shared" ca="1" si="29"/>
        <v>0</v>
      </c>
    </row>
    <row r="23" spans="2:114">
      <c r="B23" s="95" t="s">
        <v>47</v>
      </c>
      <c r="C23" s="87">
        <f>'Painel de Controle para SCP-Inv'!L30</f>
        <v>8.8999999999999996E-2</v>
      </c>
      <c r="D23" s="98">
        <v>1</v>
      </c>
      <c r="E23" s="97">
        <f ca="1">E20</f>
        <v>46142</v>
      </c>
      <c r="F23" s="96">
        <f ca="1">SUM(G23:CX23)</f>
        <v>-967176.51863756881</v>
      </c>
      <c r="G23" s="62">
        <f t="shared" ref="G23:BL23" ca="1" si="30">IF(AND(G$6&gt;=$E23,G$6&lt;EOMONTH($E23,$D23)),MIN(-$C23*SUM($F$13:$F$16,$F$20:$F$22),0),0)</f>
        <v>0</v>
      </c>
      <c r="H23" s="62">
        <f t="shared" ca="1" si="30"/>
        <v>0</v>
      </c>
      <c r="I23" s="62">
        <f t="shared" ca="1" si="30"/>
        <v>0</v>
      </c>
      <c r="J23" s="62">
        <f t="shared" ca="1" si="30"/>
        <v>0</v>
      </c>
      <c r="K23" s="62">
        <f t="shared" ca="1" si="30"/>
        <v>0</v>
      </c>
      <c r="L23" s="62">
        <f t="shared" ca="1" si="30"/>
        <v>0</v>
      </c>
      <c r="M23" s="62">
        <f t="shared" ca="1" si="30"/>
        <v>0</v>
      </c>
      <c r="N23" s="62">
        <f t="shared" ca="1" si="30"/>
        <v>0</v>
      </c>
      <c r="O23" s="62">
        <f t="shared" ca="1" si="30"/>
        <v>0</v>
      </c>
      <c r="P23" s="62">
        <f t="shared" ca="1" si="30"/>
        <v>0</v>
      </c>
      <c r="Q23" s="62">
        <f t="shared" ca="1" si="30"/>
        <v>0</v>
      </c>
      <c r="R23" s="62">
        <f t="shared" ca="1" si="30"/>
        <v>0</v>
      </c>
      <c r="S23" s="62">
        <f t="shared" ca="1" si="30"/>
        <v>0</v>
      </c>
      <c r="T23" s="62">
        <f t="shared" ca="1" si="30"/>
        <v>0</v>
      </c>
      <c r="U23" s="62">
        <f t="shared" ca="1" si="30"/>
        <v>0</v>
      </c>
      <c r="V23" s="62">
        <f t="shared" ca="1" si="30"/>
        <v>0</v>
      </c>
      <c r="W23" s="62">
        <f t="shared" ca="1" si="30"/>
        <v>0</v>
      </c>
      <c r="X23" s="62">
        <f t="shared" ca="1" si="30"/>
        <v>0</v>
      </c>
      <c r="Y23" s="62">
        <f t="shared" ca="1" si="30"/>
        <v>0</v>
      </c>
      <c r="Z23" s="62">
        <f t="shared" ca="1" si="30"/>
        <v>0</v>
      </c>
      <c r="AA23" s="62">
        <f t="shared" ca="1" si="30"/>
        <v>0</v>
      </c>
      <c r="AB23" s="62">
        <f t="shared" ca="1" si="30"/>
        <v>0</v>
      </c>
      <c r="AC23" s="62">
        <f t="shared" ca="1" si="30"/>
        <v>0</v>
      </c>
      <c r="AD23" s="62">
        <f t="shared" ca="1" si="30"/>
        <v>0</v>
      </c>
      <c r="AE23" s="62">
        <f t="shared" ca="1" si="30"/>
        <v>0</v>
      </c>
      <c r="AF23" s="62">
        <f t="shared" ca="1" si="30"/>
        <v>0</v>
      </c>
      <c r="AG23" s="62">
        <f t="shared" ca="1" si="30"/>
        <v>0</v>
      </c>
      <c r="AH23" s="62">
        <f t="shared" ca="1" si="30"/>
        <v>0</v>
      </c>
      <c r="AI23" s="62">
        <f t="shared" ca="1" si="30"/>
        <v>0</v>
      </c>
      <c r="AJ23" s="62">
        <f t="shared" ca="1" si="30"/>
        <v>0</v>
      </c>
      <c r="AK23" s="62">
        <f t="shared" ca="1" si="30"/>
        <v>0</v>
      </c>
      <c r="AL23" s="62">
        <f t="shared" ca="1" si="30"/>
        <v>0</v>
      </c>
      <c r="AM23" s="62">
        <f t="shared" ca="1" si="30"/>
        <v>0</v>
      </c>
      <c r="AN23" s="62">
        <f t="shared" ca="1" si="30"/>
        <v>0</v>
      </c>
      <c r="AO23" s="62">
        <f t="shared" ca="1" si="30"/>
        <v>0</v>
      </c>
      <c r="AP23" s="62">
        <f t="shared" ca="1" si="30"/>
        <v>0</v>
      </c>
      <c r="AQ23" s="62">
        <f t="shared" ca="1" si="30"/>
        <v>0</v>
      </c>
      <c r="AR23" s="62">
        <f t="shared" ca="1" si="30"/>
        <v>0</v>
      </c>
      <c r="AS23" s="62">
        <f t="shared" ca="1" si="30"/>
        <v>0</v>
      </c>
      <c r="AT23" s="62">
        <f t="shared" ca="1" si="30"/>
        <v>0</v>
      </c>
      <c r="AU23" s="62">
        <f t="shared" ca="1" si="30"/>
        <v>0</v>
      </c>
      <c r="AV23" s="62">
        <f t="shared" ca="1" si="30"/>
        <v>-967176.51863756881</v>
      </c>
      <c r="AW23" s="62">
        <f t="shared" ca="1" si="30"/>
        <v>0</v>
      </c>
      <c r="AX23" s="62">
        <f t="shared" ca="1" si="30"/>
        <v>0</v>
      </c>
      <c r="AY23" s="62">
        <f t="shared" ca="1" si="30"/>
        <v>0</v>
      </c>
      <c r="AZ23" s="62">
        <f t="shared" ca="1" si="30"/>
        <v>0</v>
      </c>
      <c r="BA23" s="62">
        <f t="shared" ca="1" si="30"/>
        <v>0</v>
      </c>
      <c r="BB23" s="62">
        <f t="shared" ca="1" si="30"/>
        <v>0</v>
      </c>
      <c r="BC23" s="62">
        <f t="shared" ca="1" si="30"/>
        <v>0</v>
      </c>
      <c r="BD23" s="62">
        <f t="shared" ca="1" si="30"/>
        <v>0</v>
      </c>
      <c r="BE23" s="62">
        <f t="shared" ca="1" si="30"/>
        <v>0</v>
      </c>
      <c r="BF23" s="62">
        <f t="shared" ca="1" si="30"/>
        <v>0</v>
      </c>
      <c r="BG23" s="62">
        <f t="shared" ca="1" si="30"/>
        <v>0</v>
      </c>
      <c r="BH23" s="62">
        <f t="shared" ca="1" si="30"/>
        <v>0</v>
      </c>
      <c r="BI23" s="62">
        <f t="shared" ca="1" si="30"/>
        <v>0</v>
      </c>
      <c r="BJ23" s="62">
        <f t="shared" ca="1" si="30"/>
        <v>0</v>
      </c>
      <c r="BK23" s="62">
        <f t="shared" ca="1" si="30"/>
        <v>0</v>
      </c>
      <c r="BL23" s="62">
        <f t="shared" ca="1" si="30"/>
        <v>0</v>
      </c>
      <c r="BM23" s="62">
        <f ca="1">IF(AND(BM$6&gt;=$E23,BM$6&lt;EOMONTH($E23,$D23)),MIN(-$C23*SUM($F$13:$F$16,$F$20:$F$22),0),0)</f>
        <v>0</v>
      </c>
      <c r="BN23" s="62">
        <f t="shared" ref="BN23:DJ23" ca="1" si="31">IF(AND(BN$6&gt;=$E23,BN$6&lt;EOMONTH($E23,$D23)),MIN(-$C23*SUM($F$13:$F$16,$F$20:$F$22),0),0)</f>
        <v>0</v>
      </c>
      <c r="BO23" s="62">
        <f t="shared" ca="1" si="31"/>
        <v>0</v>
      </c>
      <c r="BP23" s="62">
        <f t="shared" ca="1" si="31"/>
        <v>0</v>
      </c>
      <c r="BQ23" s="62">
        <f t="shared" ca="1" si="31"/>
        <v>0</v>
      </c>
      <c r="BR23" s="62">
        <f t="shared" ca="1" si="31"/>
        <v>0</v>
      </c>
      <c r="BS23" s="62">
        <f t="shared" ca="1" si="31"/>
        <v>0</v>
      </c>
      <c r="BT23" s="62">
        <f t="shared" ca="1" si="31"/>
        <v>0</v>
      </c>
      <c r="BU23" s="62">
        <f t="shared" ca="1" si="31"/>
        <v>0</v>
      </c>
      <c r="BV23" s="62">
        <f t="shared" ca="1" si="31"/>
        <v>0</v>
      </c>
      <c r="BW23" s="62">
        <f t="shared" ca="1" si="31"/>
        <v>0</v>
      </c>
      <c r="BX23" s="62">
        <f t="shared" ca="1" si="31"/>
        <v>0</v>
      </c>
      <c r="BY23" s="62">
        <f t="shared" ca="1" si="31"/>
        <v>0</v>
      </c>
      <c r="BZ23" s="62">
        <f t="shared" ca="1" si="31"/>
        <v>0</v>
      </c>
      <c r="CA23" s="62">
        <f t="shared" ca="1" si="31"/>
        <v>0</v>
      </c>
      <c r="CB23" s="62">
        <f t="shared" ca="1" si="31"/>
        <v>0</v>
      </c>
      <c r="CC23" s="62">
        <f t="shared" ca="1" si="31"/>
        <v>0</v>
      </c>
      <c r="CD23" s="62">
        <f t="shared" ca="1" si="31"/>
        <v>0</v>
      </c>
      <c r="CE23" s="62">
        <f t="shared" ca="1" si="31"/>
        <v>0</v>
      </c>
      <c r="CF23" s="62">
        <f t="shared" ca="1" si="31"/>
        <v>0</v>
      </c>
      <c r="CG23" s="62">
        <f t="shared" ca="1" si="31"/>
        <v>0</v>
      </c>
      <c r="CH23" s="62">
        <f t="shared" ca="1" si="31"/>
        <v>0</v>
      </c>
      <c r="CI23" s="62">
        <f t="shared" ca="1" si="31"/>
        <v>0</v>
      </c>
      <c r="CJ23" s="62">
        <f t="shared" ca="1" si="31"/>
        <v>0</v>
      </c>
      <c r="CK23" s="62">
        <f t="shared" ca="1" si="31"/>
        <v>0</v>
      </c>
      <c r="CL23" s="62">
        <f t="shared" ca="1" si="31"/>
        <v>0</v>
      </c>
      <c r="CM23" s="62">
        <f t="shared" ca="1" si="31"/>
        <v>0</v>
      </c>
      <c r="CN23" s="62">
        <f t="shared" ca="1" si="31"/>
        <v>0</v>
      </c>
      <c r="CO23" s="62">
        <f t="shared" ca="1" si="31"/>
        <v>0</v>
      </c>
      <c r="CP23" s="62">
        <f t="shared" ca="1" si="31"/>
        <v>0</v>
      </c>
      <c r="CQ23" s="62">
        <f t="shared" ca="1" si="31"/>
        <v>0</v>
      </c>
      <c r="CR23" s="62">
        <f t="shared" ca="1" si="31"/>
        <v>0</v>
      </c>
      <c r="CS23" s="62">
        <f t="shared" ca="1" si="31"/>
        <v>0</v>
      </c>
      <c r="CT23" s="62">
        <f t="shared" ca="1" si="31"/>
        <v>0</v>
      </c>
      <c r="CU23" s="62">
        <f t="shared" ca="1" si="31"/>
        <v>0</v>
      </c>
      <c r="CV23" s="62">
        <f t="shared" ca="1" si="31"/>
        <v>0</v>
      </c>
      <c r="CW23" s="62">
        <f t="shared" ca="1" si="31"/>
        <v>0</v>
      </c>
      <c r="CX23" s="62">
        <f t="shared" ca="1" si="31"/>
        <v>0</v>
      </c>
      <c r="CY23" s="62">
        <f t="shared" ca="1" si="31"/>
        <v>0</v>
      </c>
      <c r="CZ23" s="62">
        <f t="shared" ca="1" si="31"/>
        <v>0</v>
      </c>
      <c r="DA23" s="62">
        <f t="shared" ca="1" si="31"/>
        <v>0</v>
      </c>
      <c r="DB23" s="62">
        <f t="shared" ca="1" si="31"/>
        <v>0</v>
      </c>
      <c r="DC23" s="62">
        <f t="shared" ca="1" si="31"/>
        <v>0</v>
      </c>
      <c r="DD23" s="62">
        <f t="shared" ca="1" si="31"/>
        <v>0</v>
      </c>
      <c r="DE23" s="62">
        <f t="shared" ca="1" si="31"/>
        <v>0</v>
      </c>
      <c r="DF23" s="62">
        <f t="shared" ca="1" si="31"/>
        <v>0</v>
      </c>
      <c r="DG23" s="62">
        <f t="shared" ca="1" si="31"/>
        <v>0</v>
      </c>
      <c r="DH23" s="62">
        <f t="shared" ca="1" si="31"/>
        <v>0</v>
      </c>
      <c r="DI23" s="62">
        <f t="shared" ca="1" si="31"/>
        <v>0</v>
      </c>
      <c r="DJ23" s="62">
        <f t="shared" ca="1" si="31"/>
        <v>0</v>
      </c>
    </row>
    <row r="25" spans="2:114">
      <c r="C25" s="99" t="s">
        <v>94</v>
      </c>
      <c r="D25" s="99" t="s">
        <v>95</v>
      </c>
      <c r="E25" s="99" t="s">
        <v>96</v>
      </c>
      <c r="F25" s="99" t="s">
        <v>97</v>
      </c>
    </row>
    <row r="26" spans="2:114">
      <c r="B26" s="100" t="s">
        <v>80</v>
      </c>
      <c r="C26" s="100"/>
      <c r="D26" s="74">
        <f ca="1">NPV((1+'Painel de Controle para SCP-Inv'!F18)^(1/12)-1,'Fluxo de caixa'!G26:CX26)</f>
        <v>2808130.6014468027</v>
      </c>
      <c r="E26" s="101">
        <f ca="1">XIRR(G26:CX26,$G$6:$CX$6)</f>
        <v>0.18202218413352972</v>
      </c>
      <c r="F26" s="74">
        <f ca="1">SUM(G26:CX26)</f>
        <v>9810805.8761665821</v>
      </c>
      <c r="G26" s="74">
        <f t="shared" ref="G26:BR26" ca="1" si="32">SUM(G13:G23)</f>
        <v>-7003891.0505836578</v>
      </c>
      <c r="H26" s="74">
        <f t="shared" ca="1" si="32"/>
        <v>0</v>
      </c>
      <c r="I26" s="74">
        <f t="shared" ca="1" si="32"/>
        <v>-648786.6770428021</v>
      </c>
      <c r="J26" s="74">
        <f t="shared" ca="1" si="32"/>
        <v>0</v>
      </c>
      <c r="K26" s="74">
        <f t="shared" ca="1" si="32"/>
        <v>0</v>
      </c>
      <c r="L26" s="74">
        <f t="shared" ca="1" si="32"/>
        <v>-298828.79377431906</v>
      </c>
      <c r="M26" s="74">
        <f t="shared" ca="1" si="32"/>
        <v>-298828.79377431906</v>
      </c>
      <c r="N26" s="74">
        <f t="shared" ca="1" si="32"/>
        <v>-298828.79377431906</v>
      </c>
      <c r="O26" s="74">
        <f t="shared" ca="1" si="32"/>
        <v>-298828.79377431906</v>
      </c>
      <c r="P26" s="74">
        <f t="shared" ca="1" si="32"/>
        <v>-298828.79377431906</v>
      </c>
      <c r="Q26" s="74">
        <f t="shared" ca="1" si="32"/>
        <v>-298828.79377431906</v>
      </c>
      <c r="R26" s="74">
        <f t="shared" ca="1" si="32"/>
        <v>-298828.79377431906</v>
      </c>
      <c r="S26" s="74">
        <f t="shared" ca="1" si="32"/>
        <v>-332547.51867704315</v>
      </c>
      <c r="T26" s="74">
        <f t="shared" ca="1" si="32"/>
        <v>-332547.51867704315</v>
      </c>
      <c r="U26" s="74">
        <f t="shared" ca="1" si="32"/>
        <v>-332547.51867704315</v>
      </c>
      <c r="V26" s="74">
        <f t="shared" ca="1" si="32"/>
        <v>-332547.51867704315</v>
      </c>
      <c r="W26" s="74">
        <f t="shared" ca="1" si="32"/>
        <v>-332547.51867704315</v>
      </c>
      <c r="X26" s="74">
        <f t="shared" ca="1" si="32"/>
        <v>-324513.61867704318</v>
      </c>
      <c r="Y26" s="74">
        <f t="shared" ca="1" si="32"/>
        <v>-324513.61867704318</v>
      </c>
      <c r="Z26" s="74">
        <f t="shared" ca="1" si="32"/>
        <v>-324513.61867704318</v>
      </c>
      <c r="AA26" s="74">
        <f t="shared" ca="1" si="32"/>
        <v>-324513.61867704318</v>
      </c>
      <c r="AB26" s="74">
        <f t="shared" ca="1" si="32"/>
        <v>-324513.61867704318</v>
      </c>
      <c r="AC26" s="74">
        <f t="shared" ca="1" si="32"/>
        <v>-324513.61867704318</v>
      </c>
      <c r="AD26" s="74">
        <f t="shared" ca="1" si="32"/>
        <v>-324513.61867704318</v>
      </c>
      <c r="AE26" s="74">
        <f t="shared" ca="1" si="32"/>
        <v>-360859.14396887232</v>
      </c>
      <c r="AF26" s="74">
        <f t="shared" ca="1" si="32"/>
        <v>-360859.14396887232</v>
      </c>
      <c r="AG26" s="74">
        <f t="shared" ca="1" si="32"/>
        <v>-360859.14396887232</v>
      </c>
      <c r="AH26" s="74">
        <f t="shared" ca="1" si="32"/>
        <v>-360859.14396887232</v>
      </c>
      <c r="AI26" s="74">
        <f t="shared" ca="1" si="32"/>
        <v>-360859.14396887232</v>
      </c>
      <c r="AJ26" s="74">
        <f t="shared" ca="1" si="32"/>
        <v>-245752.52918287957</v>
      </c>
      <c r="AK26" s="74">
        <f t="shared" ca="1" si="32"/>
        <v>-245752.52918287957</v>
      </c>
      <c r="AL26" s="74">
        <f t="shared" ca="1" si="32"/>
        <v>-245752.52918287957</v>
      </c>
      <c r="AM26" s="74">
        <f t="shared" ca="1" si="32"/>
        <v>-245752.52918287957</v>
      </c>
      <c r="AN26" s="74">
        <f t="shared" ca="1" si="32"/>
        <v>-245752.52918287957</v>
      </c>
      <c r="AO26" s="74">
        <f t="shared" ca="1" si="32"/>
        <v>-245752.52918287957</v>
      </c>
      <c r="AP26" s="74">
        <f t="shared" ca="1" si="32"/>
        <v>0</v>
      </c>
      <c r="AQ26" s="74">
        <f t="shared" ca="1" si="32"/>
        <v>0</v>
      </c>
      <c r="AR26" s="74">
        <f t="shared" ca="1" si="32"/>
        <v>0</v>
      </c>
      <c r="AS26" s="74">
        <f t="shared" ca="1" si="32"/>
        <v>0</v>
      </c>
      <c r="AT26" s="74">
        <f t="shared" ca="1" si="32"/>
        <v>0</v>
      </c>
      <c r="AU26" s="74">
        <f t="shared" ca="1" si="32"/>
        <v>0</v>
      </c>
      <c r="AV26" s="74">
        <f t="shared" ca="1" si="32"/>
        <v>6331667.0334458509</v>
      </c>
      <c r="AW26" s="74">
        <f t="shared" ca="1" si="32"/>
        <v>0</v>
      </c>
      <c r="AX26" s="74">
        <f t="shared" ca="1" si="32"/>
        <v>20436761.945833579</v>
      </c>
      <c r="AY26" s="74">
        <f t="shared" ca="1" si="32"/>
        <v>0</v>
      </c>
      <c r="AZ26" s="74">
        <f t="shared" ca="1" si="32"/>
        <v>0</v>
      </c>
      <c r="BA26" s="74">
        <f t="shared" ca="1" si="32"/>
        <v>0</v>
      </c>
      <c r="BB26" s="74">
        <f t="shared" ca="1" si="32"/>
        <v>0</v>
      </c>
      <c r="BC26" s="74">
        <f t="shared" ca="1" si="32"/>
        <v>0</v>
      </c>
      <c r="BD26" s="74">
        <f t="shared" ca="1" si="32"/>
        <v>0</v>
      </c>
      <c r="BE26" s="74">
        <f t="shared" ca="1" si="32"/>
        <v>0</v>
      </c>
      <c r="BF26" s="74">
        <f t="shared" ca="1" si="32"/>
        <v>0</v>
      </c>
      <c r="BG26" s="74">
        <f t="shared" ca="1" si="32"/>
        <v>0</v>
      </c>
      <c r="BH26" s="74">
        <f t="shared" ca="1" si="32"/>
        <v>0</v>
      </c>
      <c r="BI26" s="74">
        <f t="shared" ca="1" si="32"/>
        <v>0</v>
      </c>
      <c r="BJ26" s="74">
        <f t="shared" ca="1" si="32"/>
        <v>0</v>
      </c>
      <c r="BK26" s="74">
        <f t="shared" ca="1" si="32"/>
        <v>0</v>
      </c>
      <c r="BL26" s="74">
        <f t="shared" ca="1" si="32"/>
        <v>0</v>
      </c>
      <c r="BM26" s="74">
        <f t="shared" ca="1" si="32"/>
        <v>0</v>
      </c>
      <c r="BN26" s="74">
        <f t="shared" ca="1" si="32"/>
        <v>0</v>
      </c>
      <c r="BO26" s="74">
        <f t="shared" ca="1" si="32"/>
        <v>0</v>
      </c>
      <c r="BP26" s="74">
        <f t="shared" ca="1" si="32"/>
        <v>0</v>
      </c>
      <c r="BQ26" s="74">
        <f t="shared" ca="1" si="32"/>
        <v>0</v>
      </c>
      <c r="BR26" s="74">
        <f t="shared" ca="1" si="32"/>
        <v>0</v>
      </c>
      <c r="BS26" s="74">
        <f t="shared" ref="BS26:DJ26" ca="1" si="33">SUM(BS13:BS23)</f>
        <v>0</v>
      </c>
      <c r="BT26" s="74">
        <f t="shared" ca="1" si="33"/>
        <v>0</v>
      </c>
      <c r="BU26" s="74">
        <f t="shared" ca="1" si="33"/>
        <v>0</v>
      </c>
      <c r="BV26" s="74">
        <f t="shared" ca="1" si="33"/>
        <v>0</v>
      </c>
      <c r="BW26" s="74">
        <f t="shared" ca="1" si="33"/>
        <v>0</v>
      </c>
      <c r="BX26" s="74">
        <f t="shared" ca="1" si="33"/>
        <v>0</v>
      </c>
      <c r="BY26" s="74">
        <f t="shared" ca="1" si="33"/>
        <v>0</v>
      </c>
      <c r="BZ26" s="74">
        <f t="shared" ca="1" si="33"/>
        <v>0</v>
      </c>
      <c r="CA26" s="74">
        <f t="shared" ca="1" si="33"/>
        <v>0</v>
      </c>
      <c r="CB26" s="74">
        <f t="shared" ca="1" si="33"/>
        <v>0</v>
      </c>
      <c r="CC26" s="74">
        <f t="shared" ca="1" si="33"/>
        <v>0</v>
      </c>
      <c r="CD26" s="74">
        <f t="shared" ca="1" si="33"/>
        <v>0</v>
      </c>
      <c r="CE26" s="74">
        <f t="shared" ca="1" si="33"/>
        <v>0</v>
      </c>
      <c r="CF26" s="74">
        <f t="shared" ca="1" si="33"/>
        <v>0</v>
      </c>
      <c r="CG26" s="74">
        <f t="shared" ca="1" si="33"/>
        <v>0</v>
      </c>
      <c r="CH26" s="74">
        <f t="shared" ca="1" si="33"/>
        <v>0</v>
      </c>
      <c r="CI26" s="74">
        <f t="shared" ca="1" si="33"/>
        <v>0</v>
      </c>
      <c r="CJ26" s="74">
        <f t="shared" ca="1" si="33"/>
        <v>0</v>
      </c>
      <c r="CK26" s="74">
        <f t="shared" ca="1" si="33"/>
        <v>0</v>
      </c>
      <c r="CL26" s="74">
        <f t="shared" ca="1" si="33"/>
        <v>0</v>
      </c>
      <c r="CM26" s="74">
        <f t="shared" ca="1" si="33"/>
        <v>0</v>
      </c>
      <c r="CN26" s="74">
        <f t="shared" ca="1" si="33"/>
        <v>0</v>
      </c>
      <c r="CO26" s="74">
        <f t="shared" ca="1" si="33"/>
        <v>0</v>
      </c>
      <c r="CP26" s="74">
        <f t="shared" ca="1" si="33"/>
        <v>0</v>
      </c>
      <c r="CQ26" s="74">
        <f t="shared" ca="1" si="33"/>
        <v>0</v>
      </c>
      <c r="CR26" s="74">
        <f t="shared" ca="1" si="33"/>
        <v>0</v>
      </c>
      <c r="CS26" s="74">
        <f t="shared" ca="1" si="33"/>
        <v>0</v>
      </c>
      <c r="CT26" s="74">
        <f t="shared" ca="1" si="33"/>
        <v>0</v>
      </c>
      <c r="CU26" s="74">
        <f t="shared" ca="1" si="33"/>
        <v>0</v>
      </c>
      <c r="CV26" s="74">
        <f t="shared" ca="1" si="33"/>
        <v>0</v>
      </c>
      <c r="CW26" s="74">
        <f t="shared" ca="1" si="33"/>
        <v>0</v>
      </c>
      <c r="CX26" s="74">
        <f t="shared" ca="1" si="33"/>
        <v>0</v>
      </c>
      <c r="CY26" s="74">
        <f t="shared" ca="1" si="33"/>
        <v>0</v>
      </c>
      <c r="CZ26" s="74">
        <f t="shared" ca="1" si="33"/>
        <v>0</v>
      </c>
      <c r="DA26" s="74">
        <f t="shared" ca="1" si="33"/>
        <v>0</v>
      </c>
      <c r="DB26" s="74">
        <f t="shared" ca="1" si="33"/>
        <v>0</v>
      </c>
      <c r="DC26" s="74">
        <f t="shared" ca="1" si="33"/>
        <v>0</v>
      </c>
      <c r="DD26" s="74">
        <f t="shared" ca="1" si="33"/>
        <v>0</v>
      </c>
      <c r="DE26" s="74">
        <f t="shared" ca="1" si="33"/>
        <v>0</v>
      </c>
      <c r="DF26" s="74">
        <f t="shared" ca="1" si="33"/>
        <v>0</v>
      </c>
      <c r="DG26" s="74">
        <f t="shared" ca="1" si="33"/>
        <v>0</v>
      </c>
      <c r="DH26" s="74">
        <f t="shared" ca="1" si="33"/>
        <v>0</v>
      </c>
      <c r="DI26" s="74">
        <f t="shared" ca="1" si="33"/>
        <v>0</v>
      </c>
      <c r="DJ26" s="74">
        <f t="shared" ca="1" si="33"/>
        <v>0</v>
      </c>
    </row>
    <row r="27" spans="2:114">
      <c r="B27" s="102" t="s">
        <v>82</v>
      </c>
      <c r="C27" s="102"/>
      <c r="D27" s="77">
        <f ca="1">NPV(((1+'Painel de Controle para SCP-Inv'!F18))^(1/12)-1,'Fluxo de caixa'!G27:CX27)</f>
        <v>-2727135.899864974</v>
      </c>
      <c r="E27" s="103">
        <f ca="1">XIRR(G27:CX27,$G$6:$CX$6)</f>
        <v>2.9878833889961241E-2</v>
      </c>
      <c r="F27" s="77">
        <f ca="1">SUM(G27:CX27)</f>
        <v>1294279.3363260664</v>
      </c>
      <c r="G27" s="77">
        <f t="shared" ref="G27:BR27" ca="1" si="34">G26/G7</f>
        <v>-7003891.0505836578</v>
      </c>
      <c r="H27" s="77">
        <f t="shared" ca="1" si="34"/>
        <v>0</v>
      </c>
      <c r="I27" s="77">
        <f t="shared" ca="1" si="34"/>
        <v>-634060.24772010383</v>
      </c>
      <c r="J27" s="77">
        <f t="shared" ca="1" si="34"/>
        <v>0</v>
      </c>
      <c r="K27" s="77">
        <f t="shared" ca="1" si="34"/>
        <v>0</v>
      </c>
      <c r="L27" s="77">
        <f t="shared" ca="1" si="34"/>
        <v>-282159.02726009174</v>
      </c>
      <c r="M27" s="77">
        <f t="shared" ca="1" si="34"/>
        <v>-278938.36500904115</v>
      </c>
      <c r="N27" s="77">
        <f t="shared" ca="1" si="34"/>
        <v>-275754.46452824498</v>
      </c>
      <c r="O27" s="77">
        <f t="shared" ca="1" si="34"/>
        <v>-272606.90620594419</v>
      </c>
      <c r="P27" s="77">
        <f t="shared" ca="1" si="34"/>
        <v>-269495.27521997591</v>
      </c>
      <c r="Q27" s="77">
        <f t="shared" ca="1" si="34"/>
        <v>-266419.161483103</v>
      </c>
      <c r="R27" s="77">
        <f t="shared" ca="1" si="34"/>
        <v>-263378.15958896815</v>
      </c>
      <c r="S27" s="77">
        <f t="shared" ca="1" si="34"/>
        <v>-289751.25788711646</v>
      </c>
      <c r="T27" s="77">
        <f t="shared" ca="1" si="34"/>
        <v>-286443.93524876877</v>
      </c>
      <c r="U27" s="77">
        <f t="shared" ca="1" si="34"/>
        <v>-283174.36355277727</v>
      </c>
      <c r="V27" s="77">
        <f t="shared" ca="1" si="34"/>
        <v>-279942.11189662514</v>
      </c>
      <c r="W27" s="77">
        <f t="shared" ca="1" si="34"/>
        <v>-276746.75429626828</v>
      </c>
      <c r="X27" s="77">
        <f t="shared" ca="1" si="34"/>
        <v>-266978.35531286872</v>
      </c>
      <c r="Y27" s="77">
        <f t="shared" ca="1" si="34"/>
        <v>-263930.97058393311</v>
      </c>
      <c r="Z27" s="77">
        <f t="shared" ca="1" si="34"/>
        <v>-260918.36977474735</v>
      </c>
      <c r="AA27" s="77">
        <f t="shared" ca="1" si="34"/>
        <v>-257940.15584943286</v>
      </c>
      <c r="AB27" s="77">
        <f t="shared" ca="1" si="34"/>
        <v>-254995.93630401813</v>
      </c>
      <c r="AC27" s="77">
        <f t="shared" ca="1" si="34"/>
        <v>-252085.32311470972</v>
      </c>
      <c r="AD27" s="77">
        <f t="shared" ca="1" si="34"/>
        <v>-249207.93268675418</v>
      </c>
      <c r="AE27" s="77">
        <f t="shared" ca="1" si="34"/>
        <v>-273956.0850139184</v>
      </c>
      <c r="AF27" s="77">
        <f t="shared" ca="1" si="34"/>
        <v>-270829.05402711034</v>
      </c>
      <c r="AG27" s="77">
        <f t="shared" ca="1" si="34"/>
        <v>-267737.71607041679</v>
      </c>
      <c r="AH27" s="77">
        <f t="shared" ca="1" si="34"/>
        <v>-264681.66373105411</v>
      </c>
      <c r="AI27" s="77">
        <f t="shared" ca="1" si="34"/>
        <v>-261660.49424659141</v>
      </c>
      <c r="AJ27" s="77">
        <f t="shared" ca="1" si="34"/>
        <v>-176162.2061367266</v>
      </c>
      <c r="AK27" s="77">
        <f t="shared" ca="1" si="34"/>
        <v>-174151.42883544479</v>
      </c>
      <c r="AL27" s="77">
        <f t="shared" ca="1" si="34"/>
        <v>-172163.60325260487</v>
      </c>
      <c r="AM27" s="77">
        <f t="shared" ca="1" si="34"/>
        <v>-170198.46740923027</v>
      </c>
      <c r="AN27" s="77">
        <f t="shared" ca="1" si="34"/>
        <v>-168255.76231666456</v>
      </c>
      <c r="AO27" s="77">
        <f t="shared" ca="1" si="34"/>
        <v>-166335.2319424387</v>
      </c>
      <c r="AP27" s="77">
        <f t="shared" ca="1" si="34"/>
        <v>0</v>
      </c>
      <c r="AQ27" s="77">
        <f t="shared" ca="1" si="34"/>
        <v>0</v>
      </c>
      <c r="AR27" s="77">
        <f t="shared" ca="1" si="34"/>
        <v>0</v>
      </c>
      <c r="AS27" s="77">
        <f t="shared" ca="1" si="34"/>
        <v>0</v>
      </c>
      <c r="AT27" s="77">
        <f t="shared" ca="1" si="34"/>
        <v>0</v>
      </c>
      <c r="AU27" s="77">
        <f t="shared" ca="1" si="34"/>
        <v>0</v>
      </c>
      <c r="AV27" s="77">
        <f t="shared" ca="1" si="34"/>
        <v>3954617.0190702281</v>
      </c>
      <c r="AW27" s="77">
        <f t="shared" ca="1" si="34"/>
        <v>0</v>
      </c>
      <c r="AX27" s="77">
        <f t="shared" ca="1" si="34"/>
        <v>12474612.154345186</v>
      </c>
      <c r="AY27" s="77">
        <f t="shared" ca="1" si="34"/>
        <v>0</v>
      </c>
      <c r="AZ27" s="77">
        <f t="shared" ca="1" si="34"/>
        <v>0</v>
      </c>
      <c r="BA27" s="77">
        <f t="shared" ca="1" si="34"/>
        <v>0</v>
      </c>
      <c r="BB27" s="77">
        <f t="shared" ca="1" si="34"/>
        <v>0</v>
      </c>
      <c r="BC27" s="77">
        <f t="shared" ca="1" si="34"/>
        <v>0</v>
      </c>
      <c r="BD27" s="77">
        <f t="shared" ca="1" si="34"/>
        <v>0</v>
      </c>
      <c r="BE27" s="77">
        <f t="shared" ca="1" si="34"/>
        <v>0</v>
      </c>
      <c r="BF27" s="77">
        <f t="shared" ca="1" si="34"/>
        <v>0</v>
      </c>
      <c r="BG27" s="77">
        <f t="shared" ca="1" si="34"/>
        <v>0</v>
      </c>
      <c r="BH27" s="77">
        <f t="shared" ca="1" si="34"/>
        <v>0</v>
      </c>
      <c r="BI27" s="77">
        <f t="shared" ca="1" si="34"/>
        <v>0</v>
      </c>
      <c r="BJ27" s="77">
        <f t="shared" ca="1" si="34"/>
        <v>0</v>
      </c>
      <c r="BK27" s="77">
        <f t="shared" ca="1" si="34"/>
        <v>0</v>
      </c>
      <c r="BL27" s="77">
        <f t="shared" ca="1" si="34"/>
        <v>0</v>
      </c>
      <c r="BM27" s="77">
        <f t="shared" ca="1" si="34"/>
        <v>0</v>
      </c>
      <c r="BN27" s="77">
        <f t="shared" ca="1" si="34"/>
        <v>0</v>
      </c>
      <c r="BO27" s="77">
        <f t="shared" ca="1" si="34"/>
        <v>0</v>
      </c>
      <c r="BP27" s="77">
        <f t="shared" ca="1" si="34"/>
        <v>0</v>
      </c>
      <c r="BQ27" s="77">
        <f t="shared" ca="1" si="34"/>
        <v>0</v>
      </c>
      <c r="BR27" s="77">
        <f t="shared" ca="1" si="34"/>
        <v>0</v>
      </c>
      <c r="BS27" s="77">
        <f t="shared" ref="BS27:DJ27" ca="1" si="35">BS26/BS7</f>
        <v>0</v>
      </c>
      <c r="BT27" s="77">
        <f t="shared" ca="1" si="35"/>
        <v>0</v>
      </c>
      <c r="BU27" s="77">
        <f t="shared" ca="1" si="35"/>
        <v>0</v>
      </c>
      <c r="BV27" s="77">
        <f t="shared" ca="1" si="35"/>
        <v>0</v>
      </c>
      <c r="BW27" s="77">
        <f t="shared" ca="1" si="35"/>
        <v>0</v>
      </c>
      <c r="BX27" s="77">
        <f t="shared" ca="1" si="35"/>
        <v>0</v>
      </c>
      <c r="BY27" s="77">
        <f t="shared" ca="1" si="35"/>
        <v>0</v>
      </c>
      <c r="BZ27" s="77">
        <f t="shared" ca="1" si="35"/>
        <v>0</v>
      </c>
      <c r="CA27" s="77">
        <f t="shared" ca="1" si="35"/>
        <v>0</v>
      </c>
      <c r="CB27" s="77">
        <f t="shared" ca="1" si="35"/>
        <v>0</v>
      </c>
      <c r="CC27" s="77">
        <f t="shared" ca="1" si="35"/>
        <v>0</v>
      </c>
      <c r="CD27" s="77">
        <f t="shared" ca="1" si="35"/>
        <v>0</v>
      </c>
      <c r="CE27" s="77">
        <f t="shared" ca="1" si="35"/>
        <v>0</v>
      </c>
      <c r="CF27" s="77">
        <f t="shared" ca="1" si="35"/>
        <v>0</v>
      </c>
      <c r="CG27" s="77">
        <f t="shared" ca="1" si="35"/>
        <v>0</v>
      </c>
      <c r="CH27" s="77">
        <f t="shared" ca="1" si="35"/>
        <v>0</v>
      </c>
      <c r="CI27" s="77">
        <f t="shared" ca="1" si="35"/>
        <v>0</v>
      </c>
      <c r="CJ27" s="77">
        <f t="shared" ca="1" si="35"/>
        <v>0</v>
      </c>
      <c r="CK27" s="77">
        <f t="shared" ca="1" si="35"/>
        <v>0</v>
      </c>
      <c r="CL27" s="77">
        <f t="shared" ca="1" si="35"/>
        <v>0</v>
      </c>
      <c r="CM27" s="77">
        <f t="shared" ca="1" si="35"/>
        <v>0</v>
      </c>
      <c r="CN27" s="77">
        <f t="shared" ca="1" si="35"/>
        <v>0</v>
      </c>
      <c r="CO27" s="77">
        <f t="shared" ca="1" si="35"/>
        <v>0</v>
      </c>
      <c r="CP27" s="77">
        <f t="shared" ca="1" si="35"/>
        <v>0</v>
      </c>
      <c r="CQ27" s="77">
        <f t="shared" ca="1" si="35"/>
        <v>0</v>
      </c>
      <c r="CR27" s="77">
        <f t="shared" ca="1" si="35"/>
        <v>0</v>
      </c>
      <c r="CS27" s="77">
        <f t="shared" ca="1" si="35"/>
        <v>0</v>
      </c>
      <c r="CT27" s="77">
        <f t="shared" ca="1" si="35"/>
        <v>0</v>
      </c>
      <c r="CU27" s="77">
        <f t="shared" ca="1" si="35"/>
        <v>0</v>
      </c>
      <c r="CV27" s="77">
        <f t="shared" ca="1" si="35"/>
        <v>0</v>
      </c>
      <c r="CW27" s="77">
        <f t="shared" ca="1" si="35"/>
        <v>0</v>
      </c>
      <c r="CX27" s="77">
        <f t="shared" ca="1" si="35"/>
        <v>0</v>
      </c>
      <c r="CY27" s="77">
        <f t="shared" ca="1" si="35"/>
        <v>0</v>
      </c>
      <c r="CZ27" s="77">
        <f t="shared" ca="1" si="35"/>
        <v>0</v>
      </c>
      <c r="DA27" s="77">
        <f t="shared" ca="1" si="35"/>
        <v>0</v>
      </c>
      <c r="DB27" s="77">
        <f t="shared" ca="1" si="35"/>
        <v>0</v>
      </c>
      <c r="DC27" s="77">
        <f t="shared" ca="1" si="35"/>
        <v>0</v>
      </c>
      <c r="DD27" s="77">
        <f t="shared" ca="1" si="35"/>
        <v>0</v>
      </c>
      <c r="DE27" s="77">
        <f t="shared" ca="1" si="35"/>
        <v>0</v>
      </c>
      <c r="DF27" s="77">
        <f t="shared" ca="1" si="35"/>
        <v>0</v>
      </c>
      <c r="DG27" s="77">
        <f t="shared" ca="1" si="35"/>
        <v>0</v>
      </c>
      <c r="DH27" s="77">
        <f t="shared" ca="1" si="35"/>
        <v>0</v>
      </c>
      <c r="DI27" s="77">
        <f t="shared" ca="1" si="35"/>
        <v>0</v>
      </c>
      <c r="DJ27" s="77">
        <f t="shared" ca="1" si="35"/>
        <v>0</v>
      </c>
    </row>
    <row r="28" spans="2:114">
      <c r="B28" s="100" t="s">
        <v>83</v>
      </c>
      <c r="C28" s="74">
        <f ca="1">MIN(G28:CX28)</f>
        <v>-16957623.103112847</v>
      </c>
      <c r="D28" s="100"/>
      <c r="E28" s="100"/>
      <c r="F28" s="100"/>
      <c r="G28" s="74">
        <f ca="1">G26</f>
        <v>-7003891.0505836578</v>
      </c>
      <c r="H28" s="74">
        <f ca="1">G28+H26</f>
        <v>-7003891.0505836578</v>
      </c>
      <c r="I28" s="74">
        <f t="shared" ref="I28:BT29" ca="1" si="36">H28+I26</f>
        <v>-7652677.7276264597</v>
      </c>
      <c r="J28" s="74">
        <f t="shared" ca="1" si="36"/>
        <v>-7652677.7276264597</v>
      </c>
      <c r="K28" s="74">
        <f t="shared" ca="1" si="36"/>
        <v>-7652677.7276264597</v>
      </c>
      <c r="L28" s="74">
        <f t="shared" ca="1" si="36"/>
        <v>-7951506.5214007786</v>
      </c>
      <c r="M28" s="74">
        <f t="shared" ca="1" si="36"/>
        <v>-8250335.3151750974</v>
      </c>
      <c r="N28" s="74">
        <f t="shared" ca="1" si="36"/>
        <v>-8549164.1089494172</v>
      </c>
      <c r="O28" s="74">
        <f t="shared" ca="1" si="36"/>
        <v>-8847992.9027237371</v>
      </c>
      <c r="P28" s="74">
        <f t="shared" ca="1" si="36"/>
        <v>-9146821.6964980569</v>
      </c>
      <c r="Q28" s="74">
        <f t="shared" ca="1" si="36"/>
        <v>-9445650.4902723767</v>
      </c>
      <c r="R28" s="74">
        <f t="shared" ca="1" si="36"/>
        <v>-9744479.2840466965</v>
      </c>
      <c r="S28" s="74">
        <f t="shared" ca="1" si="36"/>
        <v>-10077026.802723739</v>
      </c>
      <c r="T28" s="74">
        <f t="shared" ca="1" si="36"/>
        <v>-10409574.321400782</v>
      </c>
      <c r="U28" s="74">
        <f t="shared" ca="1" si="36"/>
        <v>-10742121.840077825</v>
      </c>
      <c r="V28" s="74">
        <f t="shared" ca="1" si="36"/>
        <v>-11074669.358754868</v>
      </c>
      <c r="W28" s="74">
        <f t="shared" ca="1" si="36"/>
        <v>-11407216.87743191</v>
      </c>
      <c r="X28" s="74">
        <f t="shared" ca="1" si="36"/>
        <v>-11731730.496108953</v>
      </c>
      <c r="Y28" s="74">
        <f t="shared" ca="1" si="36"/>
        <v>-12056244.114785995</v>
      </c>
      <c r="Z28" s="74">
        <f t="shared" ca="1" si="36"/>
        <v>-12380757.733463038</v>
      </c>
      <c r="AA28" s="74">
        <f t="shared" ca="1" si="36"/>
        <v>-12705271.35214008</v>
      </c>
      <c r="AB28" s="74">
        <f t="shared" ca="1" si="36"/>
        <v>-13029784.970817123</v>
      </c>
      <c r="AC28" s="74">
        <f t="shared" ca="1" si="36"/>
        <v>-13354298.589494165</v>
      </c>
      <c r="AD28" s="74">
        <f t="shared" ca="1" si="36"/>
        <v>-13678812.208171207</v>
      </c>
      <c r="AE28" s="74">
        <f t="shared" ca="1" si="36"/>
        <v>-14039671.35214008</v>
      </c>
      <c r="AF28" s="74">
        <f t="shared" ca="1" si="36"/>
        <v>-14400530.496108953</v>
      </c>
      <c r="AG28" s="74">
        <f t="shared" ca="1" si="36"/>
        <v>-14761389.640077826</v>
      </c>
      <c r="AH28" s="74">
        <f t="shared" ca="1" si="36"/>
        <v>-15122248.784046698</v>
      </c>
      <c r="AI28" s="74">
        <f t="shared" ca="1" si="36"/>
        <v>-15483107.928015571</v>
      </c>
      <c r="AJ28" s="74">
        <f t="shared" ca="1" si="36"/>
        <v>-15728860.45719845</v>
      </c>
      <c r="AK28" s="74">
        <f t="shared" ca="1" si="36"/>
        <v>-15974612.98638133</v>
      </c>
      <c r="AL28" s="74">
        <f t="shared" ca="1" si="36"/>
        <v>-16220365.515564209</v>
      </c>
      <c r="AM28" s="74">
        <f t="shared" ca="1" si="36"/>
        <v>-16466118.044747088</v>
      </c>
      <c r="AN28" s="74">
        <f t="shared" ca="1" si="36"/>
        <v>-16711870.573929967</v>
      </c>
      <c r="AO28" s="74">
        <f t="shared" ca="1" si="36"/>
        <v>-16957623.103112847</v>
      </c>
      <c r="AP28" s="74">
        <f t="shared" ca="1" si="36"/>
        <v>-16957623.103112847</v>
      </c>
      <c r="AQ28" s="74">
        <f t="shared" ca="1" si="36"/>
        <v>-16957623.103112847</v>
      </c>
      <c r="AR28" s="74">
        <f t="shared" ca="1" si="36"/>
        <v>-16957623.103112847</v>
      </c>
      <c r="AS28" s="74">
        <f t="shared" ca="1" si="36"/>
        <v>-16957623.103112847</v>
      </c>
      <c r="AT28" s="74">
        <f t="shared" ca="1" si="36"/>
        <v>-16957623.103112847</v>
      </c>
      <c r="AU28" s="74">
        <f t="shared" ca="1" si="36"/>
        <v>-16957623.103112847</v>
      </c>
      <c r="AV28" s="74">
        <f t="shared" ca="1" si="36"/>
        <v>-10625956.069666997</v>
      </c>
      <c r="AW28" s="74">
        <f t="shared" ca="1" si="36"/>
        <v>-10625956.069666997</v>
      </c>
      <c r="AX28" s="74">
        <f t="shared" ca="1" si="36"/>
        <v>9810805.8761665821</v>
      </c>
      <c r="AY28" s="74">
        <f t="shared" ca="1" si="36"/>
        <v>9810805.8761665821</v>
      </c>
      <c r="AZ28" s="74">
        <f t="shared" ca="1" si="36"/>
        <v>9810805.8761665821</v>
      </c>
      <c r="BA28" s="74">
        <f t="shared" ca="1" si="36"/>
        <v>9810805.8761665821</v>
      </c>
      <c r="BB28" s="74">
        <f t="shared" ca="1" si="36"/>
        <v>9810805.8761665821</v>
      </c>
      <c r="BC28" s="74">
        <f t="shared" ca="1" si="36"/>
        <v>9810805.8761665821</v>
      </c>
      <c r="BD28" s="74">
        <f t="shared" ca="1" si="36"/>
        <v>9810805.8761665821</v>
      </c>
      <c r="BE28" s="74">
        <f t="shared" ca="1" si="36"/>
        <v>9810805.8761665821</v>
      </c>
      <c r="BF28" s="74">
        <f t="shared" ca="1" si="36"/>
        <v>9810805.8761665821</v>
      </c>
      <c r="BG28" s="74">
        <f t="shared" ca="1" si="36"/>
        <v>9810805.8761665821</v>
      </c>
      <c r="BH28" s="74">
        <f t="shared" ca="1" si="36"/>
        <v>9810805.8761665821</v>
      </c>
      <c r="BI28" s="74">
        <f t="shared" ca="1" si="36"/>
        <v>9810805.8761665821</v>
      </c>
      <c r="BJ28" s="74">
        <f t="shared" ca="1" si="36"/>
        <v>9810805.8761665821</v>
      </c>
      <c r="BK28" s="74">
        <f t="shared" ca="1" si="36"/>
        <v>9810805.8761665821</v>
      </c>
      <c r="BL28" s="74">
        <f t="shared" ca="1" si="36"/>
        <v>9810805.8761665821</v>
      </c>
      <c r="BM28" s="74">
        <f t="shared" ca="1" si="36"/>
        <v>9810805.8761665821</v>
      </c>
      <c r="BN28" s="74">
        <f t="shared" ca="1" si="36"/>
        <v>9810805.8761665821</v>
      </c>
      <c r="BO28" s="74">
        <f t="shared" ca="1" si="36"/>
        <v>9810805.8761665821</v>
      </c>
      <c r="BP28" s="74">
        <f t="shared" ca="1" si="36"/>
        <v>9810805.8761665821</v>
      </c>
      <c r="BQ28" s="74">
        <f t="shared" ca="1" si="36"/>
        <v>9810805.8761665821</v>
      </c>
      <c r="BR28" s="74">
        <f t="shared" ca="1" si="36"/>
        <v>9810805.8761665821</v>
      </c>
      <c r="BS28" s="74">
        <f t="shared" ca="1" si="36"/>
        <v>9810805.8761665821</v>
      </c>
      <c r="BT28" s="74">
        <f t="shared" ca="1" si="36"/>
        <v>9810805.8761665821</v>
      </c>
      <c r="BU28" s="74">
        <f t="shared" ref="BU28:DJ29" ca="1" si="37">BT28+BU26</f>
        <v>9810805.8761665821</v>
      </c>
      <c r="BV28" s="74">
        <f t="shared" ca="1" si="37"/>
        <v>9810805.8761665821</v>
      </c>
      <c r="BW28" s="74">
        <f t="shared" ca="1" si="37"/>
        <v>9810805.8761665821</v>
      </c>
      <c r="BX28" s="74">
        <f t="shared" ca="1" si="37"/>
        <v>9810805.8761665821</v>
      </c>
      <c r="BY28" s="74">
        <f t="shared" ca="1" si="37"/>
        <v>9810805.8761665821</v>
      </c>
      <c r="BZ28" s="74">
        <f t="shared" ca="1" si="37"/>
        <v>9810805.8761665821</v>
      </c>
      <c r="CA28" s="74">
        <f t="shared" ca="1" si="37"/>
        <v>9810805.8761665821</v>
      </c>
      <c r="CB28" s="74">
        <f t="shared" ca="1" si="37"/>
        <v>9810805.8761665821</v>
      </c>
      <c r="CC28" s="74">
        <f t="shared" ca="1" si="37"/>
        <v>9810805.8761665821</v>
      </c>
      <c r="CD28" s="74">
        <f t="shared" ca="1" si="37"/>
        <v>9810805.8761665821</v>
      </c>
      <c r="CE28" s="74">
        <f t="shared" ca="1" si="37"/>
        <v>9810805.8761665821</v>
      </c>
      <c r="CF28" s="74">
        <f t="shared" ca="1" si="37"/>
        <v>9810805.8761665821</v>
      </c>
      <c r="CG28" s="74">
        <f t="shared" ca="1" si="37"/>
        <v>9810805.8761665821</v>
      </c>
      <c r="CH28" s="74">
        <f t="shared" ca="1" si="37"/>
        <v>9810805.8761665821</v>
      </c>
      <c r="CI28" s="74">
        <f t="shared" ca="1" si="37"/>
        <v>9810805.8761665821</v>
      </c>
      <c r="CJ28" s="74">
        <f t="shared" ca="1" si="37"/>
        <v>9810805.8761665821</v>
      </c>
      <c r="CK28" s="74">
        <f t="shared" ca="1" si="37"/>
        <v>9810805.8761665821</v>
      </c>
      <c r="CL28" s="74">
        <f t="shared" ca="1" si="37"/>
        <v>9810805.8761665821</v>
      </c>
      <c r="CM28" s="74">
        <f t="shared" ca="1" si="37"/>
        <v>9810805.8761665821</v>
      </c>
      <c r="CN28" s="74">
        <f t="shared" ca="1" si="37"/>
        <v>9810805.8761665821</v>
      </c>
      <c r="CO28" s="74">
        <f t="shared" ca="1" si="37"/>
        <v>9810805.8761665821</v>
      </c>
      <c r="CP28" s="74">
        <f t="shared" ca="1" si="37"/>
        <v>9810805.8761665821</v>
      </c>
      <c r="CQ28" s="74">
        <f t="shared" ca="1" si="37"/>
        <v>9810805.8761665821</v>
      </c>
      <c r="CR28" s="74">
        <f t="shared" ca="1" si="37"/>
        <v>9810805.8761665821</v>
      </c>
      <c r="CS28" s="74">
        <f t="shared" ca="1" si="37"/>
        <v>9810805.8761665821</v>
      </c>
      <c r="CT28" s="74">
        <f t="shared" ca="1" si="37"/>
        <v>9810805.8761665821</v>
      </c>
      <c r="CU28" s="74">
        <f t="shared" ca="1" si="37"/>
        <v>9810805.8761665821</v>
      </c>
      <c r="CV28" s="74">
        <f t="shared" ca="1" si="37"/>
        <v>9810805.8761665821</v>
      </c>
      <c r="CW28" s="74">
        <f t="shared" ca="1" si="37"/>
        <v>9810805.8761665821</v>
      </c>
      <c r="CX28" s="74">
        <f t="shared" ca="1" si="37"/>
        <v>9810805.8761665821</v>
      </c>
      <c r="CY28" s="74">
        <f t="shared" ca="1" si="37"/>
        <v>9810805.8761665821</v>
      </c>
      <c r="CZ28" s="74">
        <f t="shared" ca="1" si="37"/>
        <v>9810805.8761665821</v>
      </c>
      <c r="DA28" s="74">
        <f t="shared" ca="1" si="37"/>
        <v>9810805.8761665821</v>
      </c>
      <c r="DB28" s="74">
        <f t="shared" ca="1" si="37"/>
        <v>9810805.8761665821</v>
      </c>
      <c r="DC28" s="74">
        <f t="shared" ca="1" si="37"/>
        <v>9810805.8761665821</v>
      </c>
      <c r="DD28" s="74">
        <f t="shared" ca="1" si="37"/>
        <v>9810805.8761665821</v>
      </c>
      <c r="DE28" s="74">
        <f t="shared" ca="1" si="37"/>
        <v>9810805.8761665821</v>
      </c>
      <c r="DF28" s="74">
        <f t="shared" ca="1" si="37"/>
        <v>9810805.8761665821</v>
      </c>
      <c r="DG28" s="74">
        <f t="shared" ca="1" si="37"/>
        <v>9810805.8761665821</v>
      </c>
      <c r="DH28" s="74">
        <f t="shared" ca="1" si="37"/>
        <v>9810805.8761665821</v>
      </c>
      <c r="DI28" s="74">
        <f t="shared" ca="1" si="37"/>
        <v>9810805.8761665821</v>
      </c>
      <c r="DJ28" s="74">
        <f t="shared" ca="1" si="37"/>
        <v>9810805.8761665821</v>
      </c>
    </row>
    <row r="29" spans="2:114" ht="16" thickBot="1">
      <c r="B29" s="104" t="s">
        <v>84</v>
      </c>
      <c r="C29" s="82">
        <f ca="1">MIN(G29:CX29)</f>
        <v>-15134949.837089349</v>
      </c>
      <c r="D29" s="104"/>
      <c r="E29" s="104"/>
      <c r="F29" s="104"/>
      <c r="G29" s="82">
        <f ca="1">G27</f>
        <v>-7003891.0505836578</v>
      </c>
      <c r="H29" s="82">
        <f ca="1">G29+H27</f>
        <v>-7003891.0505836578</v>
      </c>
      <c r="I29" s="82">
        <f t="shared" ca="1" si="36"/>
        <v>-7637951.2983037615</v>
      </c>
      <c r="J29" s="82">
        <f t="shared" ca="1" si="36"/>
        <v>-7637951.2983037615</v>
      </c>
      <c r="K29" s="82">
        <f t="shared" ca="1" si="36"/>
        <v>-7637951.2983037615</v>
      </c>
      <c r="L29" s="82">
        <f t="shared" ca="1" si="36"/>
        <v>-7920110.3255638536</v>
      </c>
      <c r="M29" s="82">
        <f t="shared" ca="1" si="36"/>
        <v>-8199048.6905728951</v>
      </c>
      <c r="N29" s="82">
        <f t="shared" ca="1" si="36"/>
        <v>-8474803.155101141</v>
      </c>
      <c r="O29" s="82">
        <f t="shared" ca="1" si="36"/>
        <v>-8747410.0613070857</v>
      </c>
      <c r="P29" s="82">
        <f t="shared" ca="1" si="36"/>
        <v>-9016905.3365270607</v>
      </c>
      <c r="Q29" s="82">
        <f t="shared" ca="1" si="36"/>
        <v>-9283324.4980101641</v>
      </c>
      <c r="R29" s="82">
        <f t="shared" ca="1" si="36"/>
        <v>-9546702.6575991325</v>
      </c>
      <c r="S29" s="82">
        <f t="shared" ca="1" si="36"/>
        <v>-9836453.9154862482</v>
      </c>
      <c r="T29" s="82">
        <f t="shared" ca="1" si="36"/>
        <v>-10122897.850735016</v>
      </c>
      <c r="U29" s="82">
        <f t="shared" ca="1" si="36"/>
        <v>-10406072.214287793</v>
      </c>
      <c r="V29" s="82">
        <f t="shared" ca="1" si="36"/>
        <v>-10686014.326184418</v>
      </c>
      <c r="W29" s="82">
        <f t="shared" ca="1" si="36"/>
        <v>-10962761.080480685</v>
      </c>
      <c r="X29" s="82">
        <f t="shared" ca="1" si="36"/>
        <v>-11229739.435793554</v>
      </c>
      <c r="Y29" s="82">
        <f t="shared" ca="1" si="36"/>
        <v>-11493670.406377487</v>
      </c>
      <c r="Z29" s="82">
        <f t="shared" ca="1" si="36"/>
        <v>-11754588.776152235</v>
      </c>
      <c r="AA29" s="82">
        <f t="shared" ca="1" si="36"/>
        <v>-12012528.932001667</v>
      </c>
      <c r="AB29" s="82">
        <f t="shared" ca="1" si="36"/>
        <v>-12267524.868305685</v>
      </c>
      <c r="AC29" s="82">
        <f t="shared" ca="1" si="36"/>
        <v>-12519610.191420395</v>
      </c>
      <c r="AD29" s="82">
        <f t="shared" ca="1" si="36"/>
        <v>-12768818.124107148</v>
      </c>
      <c r="AE29" s="82">
        <f t="shared" ca="1" si="36"/>
        <v>-13042774.209121067</v>
      </c>
      <c r="AF29" s="82">
        <f t="shared" ca="1" si="36"/>
        <v>-13313603.263148177</v>
      </c>
      <c r="AG29" s="82">
        <f t="shared" ca="1" si="36"/>
        <v>-13581340.979218595</v>
      </c>
      <c r="AH29" s="82">
        <f t="shared" ca="1" si="36"/>
        <v>-13846022.642949648</v>
      </c>
      <c r="AI29" s="82">
        <f t="shared" ca="1" si="36"/>
        <v>-14107683.137196239</v>
      </c>
      <c r="AJ29" s="82">
        <f t="shared" ca="1" si="36"/>
        <v>-14283845.343332965</v>
      </c>
      <c r="AK29" s="82">
        <f t="shared" ca="1" si="36"/>
        <v>-14457996.772168409</v>
      </c>
      <c r="AL29" s="82">
        <f t="shared" ca="1" si="36"/>
        <v>-14630160.375421014</v>
      </c>
      <c r="AM29" s="82">
        <f t="shared" ca="1" si="36"/>
        <v>-14800358.842830244</v>
      </c>
      <c r="AN29" s="82">
        <f t="shared" ca="1" si="36"/>
        <v>-14968614.605146909</v>
      </c>
      <c r="AO29" s="82">
        <f t="shared" ca="1" si="36"/>
        <v>-15134949.837089349</v>
      </c>
      <c r="AP29" s="82">
        <f t="shared" ca="1" si="36"/>
        <v>-15134949.837089349</v>
      </c>
      <c r="AQ29" s="82">
        <f t="shared" ca="1" si="36"/>
        <v>-15134949.837089349</v>
      </c>
      <c r="AR29" s="82">
        <f t="shared" ca="1" si="36"/>
        <v>-15134949.837089349</v>
      </c>
      <c r="AS29" s="82">
        <f t="shared" ca="1" si="36"/>
        <v>-15134949.837089349</v>
      </c>
      <c r="AT29" s="82">
        <f t="shared" ca="1" si="36"/>
        <v>-15134949.837089349</v>
      </c>
      <c r="AU29" s="82">
        <f t="shared" ca="1" si="36"/>
        <v>-15134949.837089349</v>
      </c>
      <c r="AV29" s="82">
        <f t="shared" ca="1" si="36"/>
        <v>-11180332.81801912</v>
      </c>
      <c r="AW29" s="82">
        <f t="shared" ca="1" si="36"/>
        <v>-11180332.81801912</v>
      </c>
      <c r="AX29" s="82">
        <f t="shared" ca="1" si="36"/>
        <v>1294279.3363260664</v>
      </c>
      <c r="AY29" s="82">
        <f t="shared" ca="1" si="36"/>
        <v>1294279.3363260664</v>
      </c>
      <c r="AZ29" s="82">
        <f t="shared" ca="1" si="36"/>
        <v>1294279.3363260664</v>
      </c>
      <c r="BA29" s="82">
        <f t="shared" ca="1" si="36"/>
        <v>1294279.3363260664</v>
      </c>
      <c r="BB29" s="82">
        <f t="shared" ca="1" si="36"/>
        <v>1294279.3363260664</v>
      </c>
      <c r="BC29" s="82">
        <f t="shared" ca="1" si="36"/>
        <v>1294279.3363260664</v>
      </c>
      <c r="BD29" s="82">
        <f t="shared" ca="1" si="36"/>
        <v>1294279.3363260664</v>
      </c>
      <c r="BE29" s="82">
        <f t="shared" ca="1" si="36"/>
        <v>1294279.3363260664</v>
      </c>
      <c r="BF29" s="82">
        <f t="shared" ca="1" si="36"/>
        <v>1294279.3363260664</v>
      </c>
      <c r="BG29" s="82">
        <f t="shared" ca="1" si="36"/>
        <v>1294279.3363260664</v>
      </c>
      <c r="BH29" s="82">
        <f t="shared" ca="1" si="36"/>
        <v>1294279.3363260664</v>
      </c>
      <c r="BI29" s="82">
        <f t="shared" ca="1" si="36"/>
        <v>1294279.3363260664</v>
      </c>
      <c r="BJ29" s="82">
        <f t="shared" ca="1" si="36"/>
        <v>1294279.3363260664</v>
      </c>
      <c r="BK29" s="82">
        <f t="shared" ca="1" si="36"/>
        <v>1294279.3363260664</v>
      </c>
      <c r="BL29" s="82">
        <f t="shared" ca="1" si="36"/>
        <v>1294279.3363260664</v>
      </c>
      <c r="BM29" s="82">
        <f t="shared" ca="1" si="36"/>
        <v>1294279.3363260664</v>
      </c>
      <c r="BN29" s="82">
        <f t="shared" ca="1" si="36"/>
        <v>1294279.3363260664</v>
      </c>
      <c r="BO29" s="82">
        <f t="shared" ca="1" si="36"/>
        <v>1294279.3363260664</v>
      </c>
      <c r="BP29" s="82">
        <f t="shared" ca="1" si="36"/>
        <v>1294279.3363260664</v>
      </c>
      <c r="BQ29" s="82">
        <f t="shared" ca="1" si="36"/>
        <v>1294279.3363260664</v>
      </c>
      <c r="BR29" s="82">
        <f t="shared" ca="1" si="36"/>
        <v>1294279.3363260664</v>
      </c>
      <c r="BS29" s="82">
        <f t="shared" ca="1" si="36"/>
        <v>1294279.3363260664</v>
      </c>
      <c r="BT29" s="82">
        <f t="shared" ca="1" si="36"/>
        <v>1294279.3363260664</v>
      </c>
      <c r="BU29" s="82">
        <f t="shared" ca="1" si="37"/>
        <v>1294279.3363260664</v>
      </c>
      <c r="BV29" s="82">
        <f t="shared" ca="1" si="37"/>
        <v>1294279.3363260664</v>
      </c>
      <c r="BW29" s="82">
        <f t="shared" ca="1" si="37"/>
        <v>1294279.3363260664</v>
      </c>
      <c r="BX29" s="82">
        <f t="shared" ca="1" si="37"/>
        <v>1294279.3363260664</v>
      </c>
      <c r="BY29" s="82">
        <f t="shared" ca="1" si="37"/>
        <v>1294279.3363260664</v>
      </c>
      <c r="BZ29" s="82">
        <f t="shared" ca="1" si="37"/>
        <v>1294279.3363260664</v>
      </c>
      <c r="CA29" s="82">
        <f t="shared" ca="1" si="37"/>
        <v>1294279.3363260664</v>
      </c>
      <c r="CB29" s="82">
        <f t="shared" ca="1" si="37"/>
        <v>1294279.3363260664</v>
      </c>
      <c r="CC29" s="82">
        <f t="shared" ca="1" si="37"/>
        <v>1294279.3363260664</v>
      </c>
      <c r="CD29" s="82">
        <f t="shared" ca="1" si="37"/>
        <v>1294279.3363260664</v>
      </c>
      <c r="CE29" s="82">
        <f t="shared" ca="1" si="37"/>
        <v>1294279.3363260664</v>
      </c>
      <c r="CF29" s="82">
        <f t="shared" ca="1" si="37"/>
        <v>1294279.3363260664</v>
      </c>
      <c r="CG29" s="82">
        <f t="shared" ca="1" si="37"/>
        <v>1294279.3363260664</v>
      </c>
      <c r="CH29" s="82">
        <f t="shared" ca="1" si="37"/>
        <v>1294279.3363260664</v>
      </c>
      <c r="CI29" s="82">
        <f t="shared" ca="1" si="37"/>
        <v>1294279.3363260664</v>
      </c>
      <c r="CJ29" s="82">
        <f t="shared" ca="1" si="37"/>
        <v>1294279.3363260664</v>
      </c>
      <c r="CK29" s="82">
        <f t="shared" ca="1" si="37"/>
        <v>1294279.3363260664</v>
      </c>
      <c r="CL29" s="82">
        <f t="shared" ca="1" si="37"/>
        <v>1294279.3363260664</v>
      </c>
      <c r="CM29" s="82">
        <f t="shared" ca="1" si="37"/>
        <v>1294279.3363260664</v>
      </c>
      <c r="CN29" s="82">
        <f t="shared" ca="1" si="37"/>
        <v>1294279.3363260664</v>
      </c>
      <c r="CO29" s="82">
        <f t="shared" ca="1" si="37"/>
        <v>1294279.3363260664</v>
      </c>
      <c r="CP29" s="82">
        <f t="shared" ca="1" si="37"/>
        <v>1294279.3363260664</v>
      </c>
      <c r="CQ29" s="82">
        <f t="shared" ca="1" si="37"/>
        <v>1294279.3363260664</v>
      </c>
      <c r="CR29" s="82">
        <f t="shared" ca="1" si="37"/>
        <v>1294279.3363260664</v>
      </c>
      <c r="CS29" s="82">
        <f t="shared" ca="1" si="37"/>
        <v>1294279.3363260664</v>
      </c>
      <c r="CT29" s="82">
        <f t="shared" ca="1" si="37"/>
        <v>1294279.3363260664</v>
      </c>
      <c r="CU29" s="82">
        <f t="shared" ca="1" si="37"/>
        <v>1294279.3363260664</v>
      </c>
      <c r="CV29" s="82">
        <f t="shared" ca="1" si="37"/>
        <v>1294279.3363260664</v>
      </c>
      <c r="CW29" s="82">
        <f t="shared" ca="1" si="37"/>
        <v>1294279.3363260664</v>
      </c>
      <c r="CX29" s="82">
        <f t="shared" ca="1" si="37"/>
        <v>1294279.3363260664</v>
      </c>
      <c r="CY29" s="82">
        <f t="shared" ca="1" si="37"/>
        <v>1294279.3363260664</v>
      </c>
      <c r="CZ29" s="82">
        <f t="shared" ca="1" si="37"/>
        <v>1294279.3363260664</v>
      </c>
      <c r="DA29" s="82">
        <f t="shared" ca="1" si="37"/>
        <v>1294279.3363260664</v>
      </c>
      <c r="DB29" s="82">
        <f t="shared" ca="1" si="37"/>
        <v>1294279.3363260664</v>
      </c>
      <c r="DC29" s="82">
        <f t="shared" ca="1" si="37"/>
        <v>1294279.3363260664</v>
      </c>
      <c r="DD29" s="82">
        <f t="shared" ca="1" si="37"/>
        <v>1294279.3363260664</v>
      </c>
      <c r="DE29" s="82">
        <f t="shared" ca="1" si="37"/>
        <v>1294279.3363260664</v>
      </c>
      <c r="DF29" s="82">
        <f t="shared" ca="1" si="37"/>
        <v>1294279.3363260664</v>
      </c>
      <c r="DG29" s="82">
        <f t="shared" ca="1" si="37"/>
        <v>1294279.3363260664</v>
      </c>
      <c r="DH29" s="82">
        <f t="shared" ca="1" si="37"/>
        <v>1294279.3363260664</v>
      </c>
      <c r="DI29" s="82">
        <f t="shared" ca="1" si="37"/>
        <v>1294279.3363260664</v>
      </c>
      <c r="DJ29" s="82">
        <f t="shared" ca="1" si="37"/>
        <v>1294279.3363260664</v>
      </c>
    </row>
  </sheetData>
  <pageMargins left="0.7" right="0.7" top="0.75" bottom="0.75" header="0.3" footer="0.3"/>
  <pageSetup orientation="portrait" horizontalDpi="90" verticalDpi="90" r:id="rId1"/>
  <headerFooter>
    <oddFooter>&amp;L&amp;1#&amp;"Calibri"&amp;10&amp;K000000Internal Use Only</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A616F-3374-4655-AABE-18861FD8A941}">
  <sheetPr codeName="Planilha3">
    <tabColor theme="9" tint="-0.499984740745262"/>
  </sheetPr>
  <dimension ref="B2:R45"/>
  <sheetViews>
    <sheetView showGridLines="0" topLeftCell="A7" zoomScale="164" zoomScaleNormal="125" workbookViewId="0">
      <selection activeCell="D11" sqref="D11"/>
    </sheetView>
  </sheetViews>
  <sheetFormatPr baseColWidth="10" defaultColWidth="8.83203125" defaultRowHeight="15"/>
  <cols>
    <col min="1" max="1" width="13.5" customWidth="1"/>
    <col min="2" max="2" width="40.33203125" customWidth="1"/>
    <col min="3" max="3" width="14" customWidth="1"/>
    <col min="4" max="4" width="19.6640625" customWidth="1"/>
    <col min="5" max="5" width="14.33203125" bestFit="1" customWidth="1"/>
    <col min="6" max="6" width="10.5" bestFit="1" customWidth="1"/>
    <col min="7" max="7" width="17" bestFit="1" customWidth="1"/>
    <col min="8" max="8" width="14.33203125" bestFit="1" customWidth="1"/>
  </cols>
  <sheetData>
    <row r="2" spans="2:5" ht="29">
      <c r="B2" s="12" t="s">
        <v>8</v>
      </c>
      <c r="C2" s="13"/>
      <c r="D2" s="13"/>
      <c r="E2" s="971" t="s">
        <v>854</v>
      </c>
    </row>
    <row r="3" spans="2:5">
      <c r="B3" s="15" t="s">
        <v>98</v>
      </c>
      <c r="C3" s="16"/>
      <c r="D3" s="16"/>
    </row>
    <row r="4" spans="2:5" s="18" customFormat="1">
      <c r="B4" s="17" t="s">
        <v>11</v>
      </c>
    </row>
    <row r="5" spans="2:5" s="18" customFormat="1">
      <c r="B5" s="19" t="s">
        <v>9</v>
      </c>
    </row>
    <row r="6" spans="2:5" s="18" customFormat="1">
      <c r="B6" s="19" t="s">
        <v>1</v>
      </c>
    </row>
    <row r="7" spans="2:5" s="18" customFormat="1">
      <c r="B7" s="19" t="s">
        <v>12</v>
      </c>
    </row>
    <row r="8" spans="2:5" s="18" customFormat="1">
      <c r="B8" s="20" t="s">
        <v>99</v>
      </c>
    </row>
    <row r="10" spans="2:5">
      <c r="B10" s="11" t="s">
        <v>100</v>
      </c>
      <c r="C10" s="22"/>
      <c r="D10" s="22"/>
    </row>
    <row r="11" spans="2:5">
      <c r="B11" s="28" t="s">
        <v>101</v>
      </c>
      <c r="C11" s="28"/>
      <c r="D11" s="105">
        <v>2</v>
      </c>
      <c r="E11" s="977" t="s">
        <v>855</v>
      </c>
    </row>
    <row r="12" spans="2:5">
      <c r="B12" s="106" t="s">
        <v>686</v>
      </c>
      <c r="C12" s="106"/>
      <c r="D12" s="107">
        <v>14</v>
      </c>
      <c r="E12" s="977"/>
    </row>
    <row r="13" spans="2:5">
      <c r="B13" s="106" t="s">
        <v>102</v>
      </c>
      <c r="C13" s="106"/>
      <c r="D13" s="108">
        <f>D12</f>
        <v>14</v>
      </c>
      <c r="E13" s="977"/>
    </row>
    <row r="14" spans="2:5">
      <c r="B14" s="106" t="s">
        <v>103</v>
      </c>
      <c r="C14" s="106"/>
      <c r="D14" s="107">
        <v>5</v>
      </c>
      <c r="E14" s="977"/>
    </row>
    <row r="15" spans="2:5">
      <c r="B15" s="106" t="s">
        <v>104</v>
      </c>
      <c r="C15" s="106"/>
      <c r="D15" s="108">
        <f>D13-D14</f>
        <v>9</v>
      </c>
      <c r="E15" s="977"/>
    </row>
    <row r="17" spans="2:18">
      <c r="B17" s="11" t="s">
        <v>105</v>
      </c>
      <c r="C17" s="22"/>
      <c r="D17" s="22"/>
    </row>
    <row r="18" spans="2:18">
      <c r="B18" s="28" t="s">
        <v>687</v>
      </c>
      <c r="C18" s="28"/>
      <c r="D18" s="109">
        <v>909.5007142857138</v>
      </c>
    </row>
    <row r="19" spans="2:18">
      <c r="B19" s="106" t="s">
        <v>106</v>
      </c>
      <c r="C19" s="106"/>
      <c r="D19" s="110">
        <f>D13*D18</f>
        <v>12733.009999999993</v>
      </c>
    </row>
    <row r="20" spans="2:18">
      <c r="B20" s="106" t="s">
        <v>107</v>
      </c>
      <c r="C20" s="106"/>
      <c r="D20" s="110">
        <v>7589</v>
      </c>
      <c r="H20" s="953">
        <f>+D20*D22</f>
        <v>56917500</v>
      </c>
    </row>
    <row r="21" spans="2:18">
      <c r="B21" s="106" t="s">
        <v>108</v>
      </c>
      <c r="C21" s="111">
        <v>400</v>
      </c>
      <c r="D21" s="112">
        <f>C21*D20</f>
        <v>3035600</v>
      </c>
      <c r="E21" s="940"/>
      <c r="H21" s="954">
        <f>+D23</f>
        <v>250000</v>
      </c>
    </row>
    <row r="22" spans="2:18">
      <c r="B22" s="106" t="s">
        <v>109</v>
      </c>
      <c r="C22" s="106"/>
      <c r="D22" s="111">
        <v>7500</v>
      </c>
      <c r="H22" s="954">
        <f>+D21</f>
        <v>3035600</v>
      </c>
      <c r="J22" s="7"/>
      <c r="K22" s="7"/>
      <c r="L22" s="7"/>
      <c r="M22" s="7"/>
      <c r="R22" s="7"/>
    </row>
    <row r="23" spans="2:18">
      <c r="B23" s="106" t="s">
        <v>110</v>
      </c>
      <c r="C23" s="106"/>
      <c r="D23" s="113">
        <v>250000</v>
      </c>
      <c r="H23" s="955">
        <f>+E24</f>
        <v>1138350</v>
      </c>
      <c r="I23" s="7"/>
    </row>
    <row r="24" spans="2:18">
      <c r="B24" s="106" t="s">
        <v>111</v>
      </c>
      <c r="C24" s="106"/>
      <c r="D24" s="114">
        <v>0.02</v>
      </c>
      <c r="E24" s="940">
        <f>+D24*H20</f>
        <v>1138350</v>
      </c>
      <c r="H24" s="955">
        <f>+E25</f>
        <v>5691750</v>
      </c>
    </row>
    <row r="25" spans="2:18">
      <c r="B25" s="47" t="s">
        <v>112</v>
      </c>
      <c r="C25" s="47"/>
      <c r="D25" s="115">
        <v>0.1</v>
      </c>
      <c r="E25" s="940">
        <f>+D25*H20</f>
        <v>5691750</v>
      </c>
      <c r="G25" s="7"/>
      <c r="H25" s="940">
        <f>+SUM(H20:H24)</f>
        <v>67033200</v>
      </c>
    </row>
    <row r="26" spans="2:18" ht="16" thickBot="1">
      <c r="B26" s="116" t="s">
        <v>113</v>
      </c>
      <c r="C26" s="116"/>
      <c r="D26" s="117">
        <f>D20*D22+(D24*(D20*D22))+(D25*(D22*D20))+D23+D21</f>
        <v>67033200</v>
      </c>
    </row>
    <row r="27" spans="2:18" ht="16" thickTop="1">
      <c r="B27" s="28" t="s">
        <v>688</v>
      </c>
      <c r="C27" s="28"/>
      <c r="D27" s="118">
        <f>D26/D13</f>
        <v>4788085.7142857146</v>
      </c>
    </row>
    <row r="28" spans="2:18">
      <c r="B28" s="119" t="s">
        <v>114</v>
      </c>
      <c r="C28" s="119"/>
      <c r="D28" s="120">
        <f>D27/D18</f>
        <v>5264.5211148031804</v>
      </c>
    </row>
    <row r="29" spans="2:18" ht="16" thickBot="1">
      <c r="B29" t="s">
        <v>115</v>
      </c>
      <c r="C29" s="8"/>
      <c r="D29" s="121">
        <v>24</v>
      </c>
    </row>
    <row r="30" spans="2:18" ht="16" thickBot="1">
      <c r="B30" s="122" t="s">
        <v>116</v>
      </c>
      <c r="C30" s="123"/>
      <c r="D30" s="124">
        <f>D27/D29</f>
        <v>199503.57142857145</v>
      </c>
    </row>
    <row r="32" spans="2:18">
      <c r="B32" s="11" t="s">
        <v>117</v>
      </c>
      <c r="C32" s="22"/>
      <c r="D32" s="22"/>
    </row>
    <row r="33" spans="2:6">
      <c r="B33" s="28" t="s">
        <v>118</v>
      </c>
      <c r="C33" s="125">
        <v>0.1</v>
      </c>
      <c r="D33" s="948">
        <f>D26*C33</f>
        <v>6703320</v>
      </c>
    </row>
    <row r="34" spans="2:6">
      <c r="B34" s="106" t="s">
        <v>119</v>
      </c>
      <c r="C34" s="111">
        <v>11.200421662933193</v>
      </c>
      <c r="D34" s="947">
        <f>C34*D20</f>
        <v>85000</v>
      </c>
      <c r="E34" s="7"/>
      <c r="F34" s="952"/>
    </row>
    <row r="35" spans="2:6">
      <c r="B35" s="106" t="s">
        <v>120</v>
      </c>
      <c r="C35" s="127">
        <v>1.1999999999999999E-3</v>
      </c>
      <c r="D35" s="947">
        <f>D26*C35</f>
        <v>80439.839999999997</v>
      </c>
      <c r="E35" s="7"/>
      <c r="F35" s="952"/>
    </row>
    <row r="36" spans="2:6">
      <c r="B36" s="128" t="s">
        <v>689</v>
      </c>
      <c r="C36" s="129">
        <v>0.01</v>
      </c>
      <c r="D36" s="947">
        <f>C36*D26</f>
        <v>670332</v>
      </c>
    </row>
    <row r="37" spans="2:6" ht="16" thickBot="1">
      <c r="B37" s="4" t="s">
        <v>121</v>
      </c>
      <c r="C37" s="4"/>
      <c r="D37" s="130">
        <f>SUM(D33:D36)</f>
        <v>7539091.8399999999</v>
      </c>
    </row>
    <row r="38" spans="2:6" ht="16" thickBot="1">
      <c r="B38" s="122" t="s">
        <v>690</v>
      </c>
      <c r="C38" s="131"/>
      <c r="D38" s="132">
        <f>SUM(D33:D36)/D15</f>
        <v>837676.87111111113</v>
      </c>
    </row>
    <row r="42" spans="2:6">
      <c r="D42" s="33"/>
    </row>
    <row r="44" spans="2:6">
      <c r="D44" s="33"/>
    </row>
    <row r="45" spans="2:6">
      <c r="D45" s="33"/>
    </row>
  </sheetData>
  <mergeCells count="1">
    <mergeCell ref="E11:E15"/>
  </mergeCells>
  <hyperlinks>
    <hyperlink ref="B8" r:id="rId1" xr:uid="{477F2023-A1BB-4FD2-9245-A95F040DC589}"/>
  </hyperlinks>
  <pageMargins left="0.7" right="0.7" top="0.75" bottom="0.75" header="0.3" footer="0.3"/>
  <pageSetup orientation="portrait" horizontalDpi="90" verticalDpi="90" r:id="rId2"/>
  <headerFooter>
    <oddFooter>&amp;L&amp;1#&amp;"Calibri"&amp;10&amp;K000000Internal Use Only</oddFooter>
  </headerFooter>
  <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CB84B-45A8-41D1-BF35-78F274B075B6}">
  <sheetPr codeName="Planilha4">
    <tabColor theme="5" tint="-0.249977111117893"/>
  </sheetPr>
  <dimension ref="C2:BR54"/>
  <sheetViews>
    <sheetView showGridLines="0" topLeftCell="A17" zoomScale="140" zoomScaleNormal="140" workbookViewId="0">
      <selection activeCell="I30" sqref="I30"/>
    </sheetView>
  </sheetViews>
  <sheetFormatPr baseColWidth="10" defaultColWidth="8.83203125" defaultRowHeight="15"/>
  <cols>
    <col min="1" max="1" width="2.83203125" customWidth="1"/>
    <col min="3" max="3" width="41.1640625" bestFit="1" customWidth="1"/>
    <col min="4" max="4" width="12.6640625" customWidth="1"/>
    <col min="5" max="5" width="16" customWidth="1"/>
    <col min="6" max="6" width="27.1640625" bestFit="1" customWidth="1"/>
    <col min="7" max="7" width="4.5" customWidth="1"/>
    <col min="8" max="8" width="33.83203125" bestFit="1" customWidth="1"/>
    <col min="9" max="9" width="22.5" bestFit="1" customWidth="1"/>
    <col min="10" max="12" width="14.6640625" customWidth="1"/>
    <col min="13" max="13" width="21.6640625" bestFit="1" customWidth="1"/>
    <col min="14" max="14" width="14.6640625" customWidth="1"/>
    <col min="15" max="15" width="10.5" bestFit="1" customWidth="1"/>
    <col min="16" max="16" width="24.1640625" bestFit="1" customWidth="1"/>
    <col min="17" max="17" width="20.1640625" bestFit="1" customWidth="1"/>
    <col min="18" max="18" width="17.33203125" bestFit="1" customWidth="1"/>
    <col min="19" max="19" width="11.5" bestFit="1" customWidth="1"/>
    <col min="20" max="20" width="18.33203125" bestFit="1" customWidth="1"/>
    <col min="21" max="21" width="17.6640625" bestFit="1" customWidth="1"/>
    <col min="22" max="22" width="16.83203125" bestFit="1" customWidth="1"/>
    <col min="23" max="31" width="10.5" bestFit="1" customWidth="1"/>
    <col min="32" max="32" width="10.5" customWidth="1"/>
    <col min="33" max="37" width="11.5" bestFit="1" customWidth="1"/>
    <col min="38" max="38" width="10.6640625" bestFit="1" customWidth="1"/>
    <col min="39" max="68" width="9.1640625" bestFit="1" customWidth="1"/>
  </cols>
  <sheetData>
    <row r="2" spans="3:70" s="18" customFormat="1" ht="29">
      <c r="C2" s="135" t="s">
        <v>133</v>
      </c>
      <c r="D2" s="136"/>
      <c r="E2" s="136"/>
      <c r="F2" s="136"/>
      <c r="G2" s="136"/>
      <c r="H2" s="137"/>
      <c r="I2" s="137"/>
      <c r="J2" s="137"/>
      <c r="K2" s="137"/>
      <c r="L2" s="137"/>
      <c r="M2" s="137"/>
      <c r="N2" s="138" t="s">
        <v>134</v>
      </c>
      <c r="P2" s="981" t="s">
        <v>854</v>
      </c>
    </row>
    <row r="3" spans="3:70" s="18" customFormat="1">
      <c r="C3" s="139" t="s">
        <v>135</v>
      </c>
      <c r="D3" s="140"/>
      <c r="E3" s="140"/>
      <c r="F3" s="140"/>
      <c r="G3" s="140"/>
      <c r="H3" s="140"/>
      <c r="I3" s="140"/>
      <c r="J3" s="140"/>
      <c r="K3" s="140"/>
      <c r="L3" s="140"/>
      <c r="M3" s="140"/>
      <c r="N3" s="140"/>
      <c r="P3" s="981"/>
    </row>
    <row r="4" spans="3:70" s="18" customFormat="1">
      <c r="C4" s="141"/>
    </row>
    <row r="5" spans="3:70" s="18" customFormat="1">
      <c r="C5" s="17" t="s">
        <v>11</v>
      </c>
    </row>
    <row r="6" spans="3:70" s="18" customFormat="1">
      <c r="C6" s="19" t="s">
        <v>0</v>
      </c>
    </row>
    <row r="7" spans="3:70" s="18" customFormat="1">
      <c r="C7" s="19" t="s">
        <v>1</v>
      </c>
    </row>
    <row r="8" spans="3:70" s="18" customFormat="1">
      <c r="C8" s="19" t="s">
        <v>12</v>
      </c>
    </row>
    <row r="9" spans="3:70" s="18" customFormat="1">
      <c r="C9" s="19" t="s">
        <v>136</v>
      </c>
    </row>
    <row r="11" spans="3:70">
      <c r="C11" s="2" t="s">
        <v>137</v>
      </c>
      <c r="D11" s="142"/>
      <c r="E11" s="142"/>
      <c r="F11" s="142"/>
      <c r="H11" s="143" t="s">
        <v>138</v>
      </c>
      <c r="I11" s="143"/>
      <c r="J11" s="143"/>
      <c r="K11" s="143"/>
      <c r="L11" s="143"/>
      <c r="M11" s="143"/>
      <c r="N11" s="143"/>
    </row>
    <row r="12" spans="3:70" ht="16" thickBot="1">
      <c r="H12" s="144"/>
      <c r="I12" s="145">
        <f>YEAR(D50)</f>
        <v>2022</v>
      </c>
      <c r="J12" s="145">
        <f>I12+1</f>
        <v>2023</v>
      </c>
      <c r="K12" s="145">
        <f>J12+1</f>
        <v>2024</v>
      </c>
      <c r="L12" s="145">
        <f>K12+1</f>
        <v>2025</v>
      </c>
      <c r="M12" s="145">
        <f>L12+1</f>
        <v>2026</v>
      </c>
      <c r="N12" s="145">
        <f>M12+1</f>
        <v>2027</v>
      </c>
      <c r="BR12" s="146"/>
    </row>
    <row r="13" spans="3:70">
      <c r="C13" s="28" t="s">
        <v>139</v>
      </c>
      <c r="D13" s="28"/>
      <c r="E13" s="28"/>
      <c r="F13" s="126">
        <v>40000000</v>
      </c>
      <c r="H13" s="147" t="s">
        <v>140</v>
      </c>
      <c r="I13" s="62">
        <f>SUMIF(Fluxos_mensais!$D$4:$BK$4,Inputs!I$12,Fluxos_mensais!$D6:$BK6)</f>
        <v>-45494943.730000004</v>
      </c>
      <c r="J13" s="62">
        <f>SUMIF(Fluxos_mensais!$D$4:$BK$4,Inputs!J$12,Fluxos_mensais!$D6:$BK6)</f>
        <v>0</v>
      </c>
      <c r="K13" s="62">
        <f>SUMIF(Fluxos_mensais!$D$4:$BK$4,Inputs!K$12,Fluxos_mensais!$D6:$BK6)</f>
        <v>0</v>
      </c>
      <c r="L13" s="62">
        <f>SUMIF(Fluxos_mensais!$D$4:$BK$4,Inputs!L$12,Fluxos_mensais!$D6:$BK6)</f>
        <v>0</v>
      </c>
      <c r="M13" s="62">
        <f>SUMIF(Fluxos_mensais!$D$4:$BK$4,Inputs!M$12,Fluxos_mensais!$D6:$BK6)</f>
        <v>0</v>
      </c>
      <c r="N13" s="62">
        <f>SUMIF(Fluxos_mensais!$D$4:$BK$4,Inputs!N$12,Fluxos_mensais!$D6:$BK6)</f>
        <v>0</v>
      </c>
      <c r="S13" s="978" t="s">
        <v>849</v>
      </c>
      <c r="T13" s="979"/>
      <c r="U13" s="979"/>
      <c r="V13" s="980"/>
    </row>
    <row r="14" spans="3:70">
      <c r="C14" s="106" t="s">
        <v>694</v>
      </c>
      <c r="D14" s="106"/>
      <c r="E14" s="127">
        <f>F14/F13</f>
        <v>0.10737359325000001</v>
      </c>
      <c r="F14" s="928">
        <f>Q19</f>
        <v>4294943.7300000004</v>
      </c>
      <c r="H14" s="147" t="s">
        <v>142</v>
      </c>
      <c r="I14" s="62">
        <f>SUMIF(Fluxos_mensais!$D$4:$BK$4,Inputs!I$12,Fluxos_mensais!$D7:$BK7)</f>
        <v>-1600518.3199999996</v>
      </c>
      <c r="J14" s="62">
        <f>SUMIF(Fluxos_mensais!$D$4:$BK$4,Inputs!J$12,Fluxos_mensais!$D7:$BK7)</f>
        <v>-1067012.2133333331</v>
      </c>
      <c r="K14" s="62">
        <f>SUMIF(Fluxos_mensais!$D$4:$BK$4,Inputs!K$12,Fluxos_mensais!$D7:$BK7)</f>
        <v>0</v>
      </c>
      <c r="L14" s="62">
        <f>SUMIF(Fluxos_mensais!$D$4:$BK$4,Inputs!L$12,Fluxos_mensais!$D7:$BK7)</f>
        <v>0</v>
      </c>
      <c r="M14" s="62">
        <f>SUMIF(Fluxos_mensais!$D$4:$BK$4,Inputs!M$12,Fluxos_mensais!$D7:$BK7)</f>
        <v>0</v>
      </c>
      <c r="N14" s="62">
        <f>SUMIF(Fluxos_mensais!$D$4:$BK$4,Inputs!N$12,Fluxos_mensais!$D7:$BK7)</f>
        <v>0</v>
      </c>
      <c r="P14" s="926" t="s">
        <v>141</v>
      </c>
      <c r="Q14" s="927">
        <v>65026.62</v>
      </c>
      <c r="S14" s="930"/>
      <c r="T14" s="932" t="s">
        <v>844</v>
      </c>
      <c r="U14" s="932" t="s">
        <v>845</v>
      </c>
      <c r="V14" s="933" t="s">
        <v>846</v>
      </c>
    </row>
    <row r="15" spans="3:70">
      <c r="C15" s="106" t="s">
        <v>18</v>
      </c>
      <c r="D15" s="106"/>
      <c r="E15" s="149">
        <v>0.03</v>
      </c>
      <c r="F15" s="148">
        <f>E15*F13</f>
        <v>1200000</v>
      </c>
      <c r="H15" s="147" t="s">
        <v>143</v>
      </c>
      <c r="I15" s="62">
        <f>SUMIF(Fluxos_mensais!$D$4:$BK$4,Inputs!I$12,Fluxos_mensais!$D8:$BK8)</f>
        <v>0</v>
      </c>
      <c r="J15" s="62">
        <f>SUMIF(Fluxos_mensais!$D$4:$BK$4,Inputs!J$12,Fluxos_mensais!$D8:$BK8)</f>
        <v>-2037280</v>
      </c>
      <c r="K15" s="62">
        <f>SUMIF(Fluxos_mensais!$D$4:$BK$4,Inputs!K$12,Fluxos_mensais!$D8:$BK8)</f>
        <v>0</v>
      </c>
      <c r="L15" s="62">
        <f>SUMIF(Fluxos_mensais!$D$4:$BK$4,Inputs!L$12,Fluxos_mensais!$D8:$BK8)</f>
        <v>0</v>
      </c>
      <c r="M15" s="62">
        <f>SUMIF(Fluxos_mensais!$D$4:$BK$4,Inputs!M$12,Fluxos_mensais!$D8:$BK8)</f>
        <v>0</v>
      </c>
      <c r="N15" s="62">
        <f>SUMIF(Fluxos_mensais!$D$4:$BK$4,Inputs!N$12,Fluxos_mensais!$D8:$BK8)</f>
        <v>0</v>
      </c>
      <c r="P15" s="926" t="s">
        <v>839</v>
      </c>
      <c r="Q15" s="927">
        <v>400000</v>
      </c>
      <c r="S15" s="930" t="s">
        <v>559</v>
      </c>
      <c r="T15" s="934">
        <v>541849.72</v>
      </c>
      <c r="U15" s="934">
        <v>618425.18000000005</v>
      </c>
      <c r="V15" s="935">
        <v>486461.17</v>
      </c>
    </row>
    <row r="16" spans="3:70">
      <c r="C16" s="106" t="s">
        <v>144</v>
      </c>
      <c r="D16" s="106"/>
      <c r="E16" s="939">
        <f>+F16/F13-1</f>
        <v>0.1373735932500002</v>
      </c>
      <c r="F16" s="960">
        <f>SUM(F13:F15)</f>
        <v>45494943.730000004</v>
      </c>
      <c r="H16" s="147" t="s">
        <v>145</v>
      </c>
      <c r="I16" s="62">
        <f>SUMIF(Fluxos_mensais!$D$4:$BK$4,Inputs!I$12,Fluxos_mensais!$D9:$BK9)</f>
        <v>0</v>
      </c>
      <c r="J16" s="62">
        <f>SUMIF(Fluxos_mensais!$D$4:$BK$4,Inputs!J$12,Fluxos_mensais!$D9:$BK9)</f>
        <v>-19724881.942628145</v>
      </c>
      <c r="K16" s="62">
        <f>SUMIF(Fluxos_mensais!$D$4:$BK$4,Inputs!K$12,Fluxos_mensais!$D9:$BK9)</f>
        <v>-43888732.457392469</v>
      </c>
      <c r="L16" s="62">
        <f>SUMIF(Fluxos_mensais!$D$4:$BK$4,Inputs!L$12,Fluxos_mensais!$D9:$BK9)</f>
        <v>-383985.59997939051</v>
      </c>
      <c r="M16" s="62">
        <f>SUMIF(Fluxos_mensais!$D$4:$BK$4,Inputs!M$12,Fluxos_mensais!$D9:$BK9)</f>
        <v>0</v>
      </c>
      <c r="N16" s="62">
        <f>SUMIF(Fluxos_mensais!$D$4:$BK$4,Inputs!N$12,Fluxos_mensais!$D9:$BK9)</f>
        <v>0</v>
      </c>
      <c r="P16" s="926" t="s">
        <v>840</v>
      </c>
      <c r="Q16" s="927">
        <v>55549</v>
      </c>
      <c r="S16" s="930" t="s">
        <v>295</v>
      </c>
      <c r="T16" s="934">
        <v>59604.37</v>
      </c>
      <c r="U16" s="934">
        <v>68027.67</v>
      </c>
      <c r="V16" s="935"/>
    </row>
    <row r="17" spans="3:22">
      <c r="C17" s="106" t="s">
        <v>146</v>
      </c>
      <c r="D17" s="106"/>
      <c r="E17" s="150" t="s">
        <v>125</v>
      </c>
      <c r="F17" s="151">
        <f>'Preco-de-Custo'!D14</f>
        <v>5</v>
      </c>
      <c r="H17" s="147" t="s">
        <v>147</v>
      </c>
      <c r="I17" s="62">
        <f>SUMIF(Fluxos_mensais!$D$4:$BK$4,Inputs!I$12,Fluxos_mensais!$D10:$BK10)</f>
        <v>0</v>
      </c>
      <c r="J17" s="62">
        <f>SUMIF(Fluxos_mensais!$D$4:$BK$4,Inputs!J$12,Fluxos_mensais!$D10:$BK10)</f>
        <v>70446972.95238097</v>
      </c>
      <c r="K17" s="62">
        <f>SUMIF(Fluxos_mensais!$D$4:$BK$4,Inputs!K$12,Fluxos_mensais!$D10:$BK10)</f>
        <v>47016795.479365073</v>
      </c>
      <c r="L17" s="62">
        <f>SUMIF(Fluxos_mensais!$D$4:$BK$4,Inputs!L$12,Fluxos_mensais!$D10:$BK10)</f>
        <v>86264391.568253949</v>
      </c>
      <c r="M17" s="62">
        <f>SUMIF(Fluxos_mensais!$D$4:$BK$4,Inputs!M$12,Fluxos_mensais!$D10:$BK10)</f>
        <v>0</v>
      </c>
      <c r="N17" s="62">
        <f>SUMIF(Fluxos_mensais!$D$4:$BK$4,Inputs!N$12,Fluxos_mensais!$D10:$BK10)</f>
        <v>0</v>
      </c>
      <c r="P17" s="926" t="s">
        <v>841</v>
      </c>
      <c r="Q17" s="927">
        <f>F13*5%</f>
        <v>2000000</v>
      </c>
      <c r="S17" s="930" t="s">
        <v>847</v>
      </c>
      <c r="T17" s="936">
        <f>SUM(T15:T16)</f>
        <v>601454.09</v>
      </c>
      <c r="U17" s="936">
        <f t="shared" ref="U17:V17" si="0">SUM(U15:U16)</f>
        <v>686452.85000000009</v>
      </c>
      <c r="V17" s="935">
        <f t="shared" si="0"/>
        <v>486461.17</v>
      </c>
    </row>
    <row r="18" spans="3:22" ht="16" thickBot="1">
      <c r="E18" s="134"/>
      <c r="F18" s="152"/>
      <c r="H18" s="153" t="s">
        <v>148</v>
      </c>
      <c r="I18" s="62">
        <f>SUMIF(Fluxos_mensais!$D$4:$BK$4,Inputs!I$12,Fluxos_mensais!$D14:$BK14)</f>
        <v>0</v>
      </c>
      <c r="J18" s="62">
        <f>SUMIF(Fluxos_mensais!$D$4:$BK$4,Inputs!J$12,Fluxos_mensais!$D14:$BK14)</f>
        <v>-3522348.6476190463</v>
      </c>
      <c r="K18" s="62">
        <f>SUMIF(Fluxos_mensais!$D$4:$BK$4,Inputs!K$12,Fluxos_mensais!$D14:$BK14)</f>
        <v>-2350839.7739682538</v>
      </c>
      <c r="L18" s="62">
        <f>SUMIF(Fluxos_mensais!$D$4:$BK$4,Inputs!L$12,Fluxos_mensais!$D14:$BK14)</f>
        <v>-4313219.5784126986</v>
      </c>
      <c r="M18" s="62">
        <f>SUMIF(Fluxos_mensais!$D$4:$BK$4,Inputs!M$12,Fluxos_mensais!$D14:$BK14)</f>
        <v>0</v>
      </c>
      <c r="N18" s="62">
        <f>SUMIF(Fluxos_mensais!$D$4:$BK$4,Inputs!N$12,Fluxos_mensais!$D14:$BK14)</f>
        <v>0</v>
      </c>
      <c r="P18" s="926" t="s">
        <v>559</v>
      </c>
      <c r="Q18" s="929">
        <f>T18</f>
        <v>1774368.1099999999</v>
      </c>
      <c r="S18" s="931" t="s">
        <v>848</v>
      </c>
      <c r="T18" s="937">
        <f>SUM(T17:V17)</f>
        <v>1774368.1099999999</v>
      </c>
      <c r="U18" s="937"/>
      <c r="V18" s="938"/>
    </row>
    <row r="19" spans="3:22">
      <c r="C19" s="2" t="s">
        <v>149</v>
      </c>
      <c r="D19" s="142"/>
      <c r="E19" s="142"/>
      <c r="F19" s="142"/>
      <c r="H19" s="153" t="s">
        <v>129</v>
      </c>
      <c r="I19" s="62">
        <f>SUMIF(Fluxos_mensais!$D$4:$BK$4,Inputs!I$12,Fluxos_mensais!$D15:$BK15)</f>
        <v>0</v>
      </c>
      <c r="J19" s="62">
        <f>SUMIF(Fluxos_mensais!$D$4:$BK$4,Inputs!J$12,Fluxos_mensais!$D15:$BK15)</f>
        <v>-2817878.918095239</v>
      </c>
      <c r="K19" s="62">
        <f>SUMIF(Fluxos_mensais!$D$4:$BK$4,Inputs!K$12,Fluxos_mensais!$D15:$BK15)</f>
        <v>-1880671.8191746036</v>
      </c>
      <c r="L19" s="62">
        <f>SUMIF(Fluxos_mensais!$D$4:$BK$4,Inputs!L$12,Fluxos_mensais!$D15:$BK15)</f>
        <v>-3450575.6627301583</v>
      </c>
      <c r="M19" s="62">
        <f>SUMIF(Fluxos_mensais!$D$4:$BK$4,Inputs!M$12,Fluxos_mensais!$D15:$BK15)</f>
        <v>0</v>
      </c>
      <c r="N19" s="62">
        <f>SUMIF(Fluxos_mensais!$D$4:$BK$4,Inputs!N$12,Fluxos_mensais!$D15:$BK15)</f>
        <v>0</v>
      </c>
      <c r="P19" s="926" t="s">
        <v>2</v>
      </c>
      <c r="Q19" s="927">
        <f>SUM(Q14:Q18)</f>
        <v>4294943.7300000004</v>
      </c>
    </row>
    <row r="20" spans="3:22">
      <c r="H20" s="154" t="s">
        <v>4</v>
      </c>
      <c r="I20" s="74">
        <f>SUMIF(Fluxos_mensais!$D$4:$BK$4,Inputs!I$12,Fluxos_mensais!$D17:$BK17)</f>
        <v>-47095462.050000012</v>
      </c>
      <c r="J20" s="74">
        <f>SUMIF(Fluxos_mensais!$D$4:$BK$4,Inputs!J$12,Fluxos_mensais!$D17:$BK17)</f>
        <v>41277571.230705187</v>
      </c>
      <c r="K20" s="74">
        <f>SUMIF(Fluxos_mensais!$D$4:$BK$4,Inputs!K$12,Fluxos_mensais!$D17:$BK17)</f>
        <v>-1103448.571170242</v>
      </c>
      <c r="L20" s="74">
        <f>SUMIF(Fluxos_mensais!$D$4:$BK$4,Inputs!L$12,Fluxos_mensais!$D17:$BK17)</f>
        <v>78116610.727131695</v>
      </c>
      <c r="M20" s="74">
        <f>SUMIF(Fluxos_mensais!$D$4:$BK$4,Inputs!M$12,Fluxos_mensais!$D17:$BK17)</f>
        <v>0</v>
      </c>
      <c r="N20" s="74">
        <f>SUMIF(Fluxos_mensais!$D$4:$BK$4,Inputs!N$12,Fluxos_mensais!$D17:$BK17)</f>
        <v>0</v>
      </c>
    </row>
    <row r="21" spans="3:22" ht="16" thickBot="1">
      <c r="C21" s="28" t="s">
        <v>150</v>
      </c>
      <c r="D21" s="28"/>
      <c r="E21" s="28"/>
      <c r="F21" s="109">
        <v>6599</v>
      </c>
      <c r="H21" s="155" t="s">
        <v>151</v>
      </c>
      <c r="I21" s="156">
        <f>I20</f>
        <v>-47095462.050000012</v>
      </c>
      <c r="J21" s="156">
        <f>I21+J20</f>
        <v>-5817890.8192948252</v>
      </c>
      <c r="K21" s="156">
        <f t="shared" ref="K21:N21" si="1">J21+K20</f>
        <v>-6921339.3904650677</v>
      </c>
      <c r="L21" s="156">
        <f t="shared" si="1"/>
        <v>71195271.336666629</v>
      </c>
      <c r="M21" s="156">
        <f t="shared" si="1"/>
        <v>71195271.336666629</v>
      </c>
      <c r="N21" s="156">
        <f t="shared" si="1"/>
        <v>71195271.336666629</v>
      </c>
      <c r="P21" s="982" t="s">
        <v>858</v>
      </c>
      <c r="Q21" s="982"/>
    </row>
    <row r="22" spans="3:22" ht="16" thickBot="1">
      <c r="C22" s="106" t="s">
        <v>152</v>
      </c>
      <c r="D22" s="106"/>
      <c r="E22" s="157">
        <f>F22/F21</f>
        <v>1.1500227307167752</v>
      </c>
      <c r="F22" s="158">
        <v>7589</v>
      </c>
      <c r="P22" s="975" t="s">
        <v>859</v>
      </c>
      <c r="Q22" s="976">
        <v>0.01</v>
      </c>
    </row>
    <row r="23" spans="3:22">
      <c r="C23" s="106" t="s">
        <v>153</v>
      </c>
      <c r="D23" s="106"/>
      <c r="E23" s="106"/>
      <c r="F23" s="110">
        <v>909.5</v>
      </c>
      <c r="H23" s="159" t="s">
        <v>154</v>
      </c>
      <c r="I23" s="160">
        <f>IRR(Fluxos_mensais!E17:AN17,)</f>
        <v>0.95816833616164176</v>
      </c>
      <c r="P23" s="975" t="s">
        <v>861</v>
      </c>
      <c r="Q23" s="976">
        <v>0.02</v>
      </c>
    </row>
    <row r="24" spans="3:22">
      <c r="C24" s="106" t="s">
        <v>102</v>
      </c>
      <c r="D24" s="106"/>
      <c r="E24" s="161"/>
      <c r="F24" s="162">
        <v>14</v>
      </c>
      <c r="H24" s="163" t="s">
        <v>155</v>
      </c>
      <c r="I24" s="164">
        <f>-(Fluxos_mensais!C10+Fluxos_mensais!C14+Fluxos_mensais!C15)/(Fluxos_mensais!C6+Fluxos_mensais!C8+Fluxos_mensais!C7+Fluxos_mensais!C9)-1</f>
        <v>0.62344063744676603</v>
      </c>
      <c r="P24" s="975" t="s">
        <v>860</v>
      </c>
      <c r="Q24" s="976">
        <v>0.02</v>
      </c>
    </row>
    <row r="25" spans="3:22">
      <c r="C25" s="106" t="s">
        <v>156</v>
      </c>
      <c r="D25" s="106"/>
      <c r="E25" s="106"/>
      <c r="F25" s="165">
        <f>F24*F23</f>
        <v>12733</v>
      </c>
      <c r="H25" s="163" t="s">
        <v>157</v>
      </c>
      <c r="I25" s="166">
        <f>-(MIN(Fluxos_mensais!D18:BK18))</f>
        <v>47095462.050000012</v>
      </c>
    </row>
    <row r="26" spans="3:22" ht="16" thickBot="1">
      <c r="C26" s="106" t="s">
        <v>158</v>
      </c>
      <c r="D26" s="106"/>
      <c r="E26" s="167"/>
      <c r="F26" s="168">
        <f>F25-F22</f>
        <v>5144</v>
      </c>
      <c r="H26" s="169" t="s">
        <v>159</v>
      </c>
      <c r="I26" s="170">
        <f>Fluxos_mensais!C17</f>
        <v>71195271.336666629</v>
      </c>
    </row>
    <row r="28" spans="3:22">
      <c r="C28" s="28" t="s">
        <v>160</v>
      </c>
      <c r="D28" s="28"/>
      <c r="E28" s="28"/>
      <c r="F28" s="957">
        <v>251.3968931123851</v>
      </c>
      <c r="H28" s="2" t="s">
        <v>161</v>
      </c>
      <c r="I28" s="2"/>
    </row>
    <row r="29" spans="3:22">
      <c r="C29" s="171" t="s">
        <v>162</v>
      </c>
      <c r="D29" s="171"/>
      <c r="E29" s="171"/>
      <c r="F29" s="950">
        <f>F28*F25</f>
        <v>3201036.6399999997</v>
      </c>
      <c r="H29" s="5" t="s">
        <v>163</v>
      </c>
      <c r="I29" s="25">
        <v>0.13750000000000001</v>
      </c>
    </row>
    <row r="30" spans="3:22">
      <c r="H30" s="5" t="s">
        <v>164</v>
      </c>
      <c r="I30" s="25">
        <v>0.15</v>
      </c>
    </row>
    <row r="31" spans="3:22">
      <c r="C31" s="143" t="s">
        <v>165</v>
      </c>
      <c r="D31" s="173"/>
      <c r="E31" s="173"/>
      <c r="F31" s="173"/>
      <c r="H31" s="5" t="s">
        <v>166</v>
      </c>
      <c r="I31" s="6">
        <f>(1+I29*(1-I30))-1</f>
        <v>0.11687500000000006</v>
      </c>
    </row>
    <row r="33" spans="3:13">
      <c r="C33" s="28" t="s">
        <v>109</v>
      </c>
      <c r="D33" s="28"/>
      <c r="E33" s="28"/>
      <c r="F33" s="959">
        <v>6436.7816091954028</v>
      </c>
      <c r="H33" s="7">
        <v>6800</v>
      </c>
      <c r="I33" s="7">
        <f>+H33*F22</f>
        <v>51605200</v>
      </c>
    </row>
    <row r="34" spans="3:13">
      <c r="C34" s="106" t="s">
        <v>110</v>
      </c>
      <c r="D34" s="106"/>
      <c r="E34" s="106"/>
      <c r="F34" s="949">
        <v>250000</v>
      </c>
      <c r="H34" s="7"/>
      <c r="I34" s="7">
        <f>+F33*F22</f>
        <v>48848735.632183909</v>
      </c>
      <c r="J34" s="7"/>
    </row>
    <row r="35" spans="3:13">
      <c r="C35" s="106" t="s">
        <v>167</v>
      </c>
      <c r="D35" s="106"/>
      <c r="E35" s="106"/>
      <c r="F35" s="958">
        <v>0.27500000000000002</v>
      </c>
      <c r="H35" s="7">
        <f>+F35*F37</f>
        <v>17599340</v>
      </c>
      <c r="I35" s="956"/>
    </row>
    <row r="36" spans="3:13">
      <c r="C36" s="106" t="s">
        <v>168</v>
      </c>
      <c r="D36" s="106"/>
      <c r="E36" s="106"/>
      <c r="F36" s="958">
        <v>0.03</v>
      </c>
      <c r="H36" s="7">
        <f>+F36*F37</f>
        <v>1919928</v>
      </c>
      <c r="I36" s="7">
        <f>+H36/24</f>
        <v>79997</v>
      </c>
      <c r="L36" s="961" t="s">
        <v>850</v>
      </c>
      <c r="M36" s="33">
        <f>+F16</f>
        <v>45494943.730000004</v>
      </c>
    </row>
    <row r="37" spans="3:13">
      <c r="C37" s="171" t="s">
        <v>169</v>
      </c>
      <c r="D37" s="171"/>
      <c r="E37" s="171"/>
      <c r="F37" s="950">
        <f>((F33*F22)*(1+F35)+((F33*F22)*(F36)))+F34</f>
        <v>63997600</v>
      </c>
      <c r="H37" s="7"/>
      <c r="L37" s="961" t="s">
        <v>851</v>
      </c>
      <c r="M37" s="956">
        <f>+F29</f>
        <v>3201036.6399999997</v>
      </c>
    </row>
    <row r="38" spans="3:13">
      <c r="L38" s="961" t="s">
        <v>282</v>
      </c>
      <c r="M38" s="956">
        <f>+F37</f>
        <v>63997600</v>
      </c>
    </row>
    <row r="39" spans="3:13">
      <c r="C39" s="2" t="s">
        <v>170</v>
      </c>
      <c r="D39" s="142"/>
      <c r="E39" s="142"/>
      <c r="F39" s="142"/>
      <c r="L39" s="961" t="s">
        <v>208</v>
      </c>
      <c r="M39" s="33">
        <f>+F34</f>
        <v>250000</v>
      </c>
    </row>
    <row r="40" spans="3:13">
      <c r="L40" s="961" t="s">
        <v>143</v>
      </c>
      <c r="M40" s="956">
        <f>+F44</f>
        <v>2037280</v>
      </c>
    </row>
    <row r="41" spans="3:13">
      <c r="C41" s="28" t="s">
        <v>171</v>
      </c>
      <c r="D41" s="28"/>
      <c r="E41" s="28"/>
      <c r="F41" s="126">
        <v>16000</v>
      </c>
      <c r="L41" s="961" t="s">
        <v>148</v>
      </c>
      <c r="M41" s="956">
        <f>+F45</f>
        <v>10186400</v>
      </c>
    </row>
    <row r="42" spans="3:13">
      <c r="C42" s="28" t="s">
        <v>172</v>
      </c>
      <c r="D42" s="28"/>
      <c r="E42" s="28"/>
      <c r="F42" s="174">
        <v>0.3</v>
      </c>
      <c r="L42" s="961" t="s">
        <v>129</v>
      </c>
      <c r="M42" s="956">
        <f>+F46</f>
        <v>8149120</v>
      </c>
    </row>
    <row r="43" spans="3:13">
      <c r="C43" s="171" t="s">
        <v>173</v>
      </c>
      <c r="D43" s="171"/>
      <c r="E43" s="171"/>
      <c r="F43" s="172">
        <f>F41*F25</f>
        <v>203728000</v>
      </c>
    </row>
    <row r="44" spans="3:13">
      <c r="C44" s="28" t="s">
        <v>174</v>
      </c>
      <c r="D44" s="133"/>
      <c r="E44" s="125">
        <v>0.01</v>
      </c>
      <c r="F44" s="951">
        <f>E44*F43</f>
        <v>2037280</v>
      </c>
      <c r="L44" s="961" t="s">
        <v>2</v>
      </c>
      <c r="M44" s="962">
        <f>+SUM(M36:M42)</f>
        <v>133316380.37</v>
      </c>
    </row>
    <row r="45" spans="3:13">
      <c r="C45" s="106" t="s">
        <v>175</v>
      </c>
      <c r="D45" s="106"/>
      <c r="E45" s="127">
        <v>0.05</v>
      </c>
      <c r="F45" s="175">
        <f>E45*F43</f>
        <v>10186400</v>
      </c>
    </row>
    <row r="46" spans="3:13">
      <c r="C46" s="106" t="s">
        <v>176</v>
      </c>
      <c r="D46" s="106"/>
      <c r="E46" s="127">
        <v>0.04</v>
      </c>
      <c r="F46" s="175">
        <f>E46*F43</f>
        <v>8149120</v>
      </c>
    </row>
    <row r="48" spans="3:13">
      <c r="C48" s="9" t="s">
        <v>177</v>
      </c>
      <c r="D48" s="176"/>
      <c r="E48" s="176"/>
      <c r="F48" s="176"/>
    </row>
    <row r="49" spans="3:8">
      <c r="D49" s="177" t="s">
        <v>178</v>
      </c>
      <c r="E49" s="177" t="s">
        <v>179</v>
      </c>
      <c r="F49" s="177" t="s">
        <v>180</v>
      </c>
      <c r="H49" s="968" t="s">
        <v>853</v>
      </c>
    </row>
    <row r="50" spans="3:8">
      <c r="C50" s="178" t="s">
        <v>181</v>
      </c>
      <c r="D50" s="179">
        <v>44762</v>
      </c>
      <c r="E50" s="180">
        <v>2</v>
      </c>
      <c r="F50" s="181" t="s">
        <v>182</v>
      </c>
    </row>
    <row r="51" spans="3:8">
      <c r="C51" s="182" t="s">
        <v>183</v>
      </c>
      <c r="D51" s="967">
        <f>EOMONTH(D50,E50)-90</f>
        <v>44744</v>
      </c>
      <c r="E51" s="183">
        <v>12</v>
      </c>
      <c r="F51" s="184" t="s">
        <v>182</v>
      </c>
    </row>
    <row r="52" spans="3:8">
      <c r="C52" s="182" t="s">
        <v>184</v>
      </c>
      <c r="D52" s="967">
        <f>EOMONTH(D51,E51)-150</f>
        <v>44988</v>
      </c>
      <c r="E52" s="183">
        <v>3</v>
      </c>
      <c r="F52" s="185">
        <v>0.6</v>
      </c>
    </row>
    <row r="53" spans="3:8">
      <c r="C53" s="182" t="s">
        <v>185</v>
      </c>
      <c r="D53" s="967">
        <f>EOMONTH(D52,E52)</f>
        <v>45107</v>
      </c>
      <c r="E53" s="183">
        <v>24</v>
      </c>
      <c r="F53" s="185">
        <v>0.3</v>
      </c>
    </row>
    <row r="54" spans="3:8">
      <c r="C54" s="182" t="s">
        <v>186</v>
      </c>
      <c r="D54" s="967">
        <f>EOMONTH(D53,E53)</f>
        <v>45838</v>
      </c>
      <c r="E54" s="186">
        <v>1</v>
      </c>
      <c r="F54" s="187">
        <f>IF((1-F52-F53&gt;0),(1-F52-F53),"Erro")</f>
        <v>0.10000000000000003</v>
      </c>
    </row>
  </sheetData>
  <mergeCells count="3">
    <mergeCell ref="S13:V13"/>
    <mergeCell ref="P2:P3"/>
    <mergeCell ref="P21:Q21"/>
  </mergeCells>
  <dataValidations disablePrompts="1" count="1">
    <dataValidation type="list" allowBlank="1" showInputMessage="1" showErrorMessage="1" sqref="E17" xr:uid="{20BBFCEB-7E0B-4DB4-8278-E143AA5F8F2C}">
      <formula1>"Sim,Não"</formula1>
    </dataValidation>
  </dataValidations>
  <pageMargins left="0.7" right="0.7" top="0.75" bottom="0.75" header="0.3" footer="0.3"/>
  <pageSetup orientation="portrait" horizontalDpi="90" verticalDpi="90" r:id="rId1"/>
  <headerFooter>
    <oddFooter>&amp;L&amp;1#&amp;"Calibri"&amp;10&amp;K000000Internal Use Only</oddFooter>
  </headerFooter>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85A36-75AE-4B67-B7C4-75EBB8FFD3FC}">
  <sheetPr codeName="Planilha5">
    <tabColor theme="5" tint="-0.249977111117893"/>
  </sheetPr>
  <dimension ref="B1:BK25"/>
  <sheetViews>
    <sheetView showGridLines="0" workbookViewId="0">
      <pane xSplit="3" ySplit="5" topLeftCell="D6" activePane="bottomRight" state="frozen"/>
      <selection activeCell="I7" sqref="I7"/>
      <selection pane="topRight" activeCell="I7" sqref="I7"/>
      <selection pane="bottomLeft" activeCell="I7" sqref="I7"/>
      <selection pane="bottomRight" activeCell="J7" sqref="J7"/>
    </sheetView>
  </sheetViews>
  <sheetFormatPr baseColWidth="10" defaultColWidth="8.83203125" defaultRowHeight="15"/>
  <cols>
    <col min="2" max="2" width="23.1640625" bestFit="1" customWidth="1"/>
    <col min="3" max="3" width="14.33203125" bestFit="1" customWidth="1"/>
    <col min="4" max="9" width="11.33203125" bestFit="1" customWidth="1"/>
    <col min="10" max="10" width="12.6640625" bestFit="1" customWidth="1"/>
    <col min="11" max="13" width="11.33203125" bestFit="1" customWidth="1"/>
    <col min="14" max="19" width="11.5" bestFit="1" customWidth="1"/>
    <col min="20" max="63" width="12.33203125" bestFit="1" customWidth="1"/>
  </cols>
  <sheetData>
    <row r="1" spans="2:63" ht="16" thickBot="1">
      <c r="B1" s="963" t="s">
        <v>852</v>
      </c>
    </row>
    <row r="4" spans="2:63">
      <c r="D4" s="188">
        <f>YEAR(D5)</f>
        <v>2022</v>
      </c>
      <c r="E4" s="188">
        <f t="shared" ref="E4:BK4" si="0">YEAR(E5)</f>
        <v>2022</v>
      </c>
      <c r="F4" s="188">
        <f t="shared" si="0"/>
        <v>2022</v>
      </c>
      <c r="G4" s="188">
        <f t="shared" si="0"/>
        <v>2022</v>
      </c>
      <c r="H4" s="188">
        <f t="shared" si="0"/>
        <v>2022</v>
      </c>
      <c r="I4" s="188">
        <f t="shared" si="0"/>
        <v>2022</v>
      </c>
      <c r="J4" s="188">
        <f t="shared" si="0"/>
        <v>2023</v>
      </c>
      <c r="K4" s="188">
        <f t="shared" si="0"/>
        <v>2023</v>
      </c>
      <c r="L4" s="188">
        <f t="shared" si="0"/>
        <v>2023</v>
      </c>
      <c r="M4" s="188">
        <f t="shared" si="0"/>
        <v>2023</v>
      </c>
      <c r="N4" s="188">
        <f t="shared" si="0"/>
        <v>2023</v>
      </c>
      <c r="O4" s="188">
        <f t="shared" si="0"/>
        <v>2023</v>
      </c>
      <c r="P4" s="188">
        <f t="shared" si="0"/>
        <v>2023</v>
      </c>
      <c r="Q4" s="188">
        <f t="shared" si="0"/>
        <v>2023</v>
      </c>
      <c r="R4" s="188">
        <f t="shared" si="0"/>
        <v>2023</v>
      </c>
      <c r="S4" s="188">
        <f t="shared" si="0"/>
        <v>2023</v>
      </c>
      <c r="T4" s="188">
        <f t="shared" si="0"/>
        <v>2023</v>
      </c>
      <c r="U4" s="188">
        <f t="shared" si="0"/>
        <v>2023</v>
      </c>
      <c r="V4" s="188">
        <f t="shared" si="0"/>
        <v>2024</v>
      </c>
      <c r="W4" s="188">
        <f t="shared" si="0"/>
        <v>2024</v>
      </c>
      <c r="X4" s="188">
        <f t="shared" si="0"/>
        <v>2024</v>
      </c>
      <c r="Y4" s="188">
        <f t="shared" si="0"/>
        <v>2024</v>
      </c>
      <c r="Z4" s="188">
        <f t="shared" si="0"/>
        <v>2024</v>
      </c>
      <c r="AA4" s="188">
        <f t="shared" si="0"/>
        <v>2024</v>
      </c>
      <c r="AB4" s="188">
        <f t="shared" si="0"/>
        <v>2024</v>
      </c>
      <c r="AC4" s="188">
        <f t="shared" si="0"/>
        <v>2024</v>
      </c>
      <c r="AD4" s="188">
        <f t="shared" si="0"/>
        <v>2024</v>
      </c>
      <c r="AE4" s="188">
        <f t="shared" si="0"/>
        <v>2024</v>
      </c>
      <c r="AF4" s="188">
        <f t="shared" si="0"/>
        <v>2024</v>
      </c>
      <c r="AG4" s="188">
        <f t="shared" si="0"/>
        <v>2024</v>
      </c>
      <c r="AH4" s="188">
        <f t="shared" si="0"/>
        <v>2025</v>
      </c>
      <c r="AI4" s="188">
        <f t="shared" si="0"/>
        <v>2025</v>
      </c>
      <c r="AJ4" s="188">
        <f t="shared" si="0"/>
        <v>2025</v>
      </c>
      <c r="AK4" s="188">
        <f t="shared" si="0"/>
        <v>2025</v>
      </c>
      <c r="AL4" s="188">
        <f t="shared" si="0"/>
        <v>2025</v>
      </c>
      <c r="AM4" s="188">
        <f t="shared" si="0"/>
        <v>2025</v>
      </c>
      <c r="AN4" s="188">
        <f t="shared" si="0"/>
        <v>2025</v>
      </c>
      <c r="AO4" s="188">
        <f t="shared" si="0"/>
        <v>2025</v>
      </c>
      <c r="AP4" s="188">
        <f t="shared" si="0"/>
        <v>2025</v>
      </c>
      <c r="AQ4" s="188">
        <f t="shared" si="0"/>
        <v>2025</v>
      </c>
      <c r="AR4" s="188">
        <f t="shared" si="0"/>
        <v>2025</v>
      </c>
      <c r="AS4" s="188">
        <f t="shared" si="0"/>
        <v>2025</v>
      </c>
      <c r="AT4" s="188">
        <f t="shared" si="0"/>
        <v>2026</v>
      </c>
      <c r="AU4" s="188">
        <f t="shared" si="0"/>
        <v>2026</v>
      </c>
      <c r="AV4" s="188">
        <f t="shared" si="0"/>
        <v>2026</v>
      </c>
      <c r="AW4" s="188">
        <f t="shared" si="0"/>
        <v>2026</v>
      </c>
      <c r="AX4" s="188">
        <f t="shared" si="0"/>
        <v>2026</v>
      </c>
      <c r="AY4" s="188">
        <f t="shared" si="0"/>
        <v>2026</v>
      </c>
      <c r="AZ4" s="188">
        <f t="shared" si="0"/>
        <v>2026</v>
      </c>
      <c r="BA4" s="188">
        <f t="shared" si="0"/>
        <v>2026</v>
      </c>
      <c r="BB4" s="188">
        <f t="shared" si="0"/>
        <v>2026</v>
      </c>
      <c r="BC4" s="188">
        <f t="shared" si="0"/>
        <v>2026</v>
      </c>
      <c r="BD4" s="188">
        <f t="shared" si="0"/>
        <v>2026</v>
      </c>
      <c r="BE4" s="188">
        <f t="shared" si="0"/>
        <v>2026</v>
      </c>
      <c r="BF4" s="188">
        <f t="shared" si="0"/>
        <v>2027</v>
      </c>
      <c r="BG4" s="188">
        <f t="shared" si="0"/>
        <v>2027</v>
      </c>
      <c r="BH4" s="188">
        <f t="shared" si="0"/>
        <v>2027</v>
      </c>
      <c r="BI4" s="188">
        <f t="shared" si="0"/>
        <v>2027</v>
      </c>
      <c r="BJ4" s="188">
        <f t="shared" si="0"/>
        <v>2027</v>
      </c>
      <c r="BK4" s="188">
        <f t="shared" si="0"/>
        <v>2027</v>
      </c>
    </row>
    <row r="5" spans="2:63">
      <c r="C5" s="189" t="s">
        <v>187</v>
      </c>
      <c r="D5" s="190">
        <f>EOMONTH(Inputs!D50,0)</f>
        <v>44773</v>
      </c>
      <c r="E5" s="190">
        <f t="shared" ref="E5:BK5" si="1">EOMONTH(D5,1)</f>
        <v>44804</v>
      </c>
      <c r="F5" s="190">
        <f t="shared" si="1"/>
        <v>44834</v>
      </c>
      <c r="G5" s="190">
        <f t="shared" si="1"/>
        <v>44865</v>
      </c>
      <c r="H5" s="190">
        <f t="shared" si="1"/>
        <v>44895</v>
      </c>
      <c r="I5" s="190">
        <f t="shared" si="1"/>
        <v>44926</v>
      </c>
      <c r="J5" s="190">
        <f t="shared" si="1"/>
        <v>44957</v>
      </c>
      <c r="K5" s="190">
        <f t="shared" si="1"/>
        <v>44985</v>
      </c>
      <c r="L5" s="190">
        <f t="shared" si="1"/>
        <v>45016</v>
      </c>
      <c r="M5" s="190">
        <f t="shared" si="1"/>
        <v>45046</v>
      </c>
      <c r="N5" s="190">
        <f t="shared" si="1"/>
        <v>45077</v>
      </c>
      <c r="O5" s="190">
        <f t="shared" si="1"/>
        <v>45107</v>
      </c>
      <c r="P5" s="190">
        <f t="shared" si="1"/>
        <v>45138</v>
      </c>
      <c r="Q5" s="190">
        <f t="shared" si="1"/>
        <v>45169</v>
      </c>
      <c r="R5" s="190">
        <f t="shared" si="1"/>
        <v>45199</v>
      </c>
      <c r="S5" s="190">
        <f t="shared" si="1"/>
        <v>45230</v>
      </c>
      <c r="T5" s="190">
        <f t="shared" si="1"/>
        <v>45260</v>
      </c>
      <c r="U5" s="190">
        <f t="shared" si="1"/>
        <v>45291</v>
      </c>
      <c r="V5" s="190">
        <f t="shared" si="1"/>
        <v>45322</v>
      </c>
      <c r="W5" s="190">
        <f t="shared" si="1"/>
        <v>45351</v>
      </c>
      <c r="X5" s="190">
        <f t="shared" si="1"/>
        <v>45382</v>
      </c>
      <c r="Y5" s="190">
        <f t="shared" si="1"/>
        <v>45412</v>
      </c>
      <c r="Z5" s="190">
        <f t="shared" si="1"/>
        <v>45443</v>
      </c>
      <c r="AA5" s="190">
        <f t="shared" si="1"/>
        <v>45473</v>
      </c>
      <c r="AB5" s="190">
        <f t="shared" si="1"/>
        <v>45504</v>
      </c>
      <c r="AC5" s="190">
        <f t="shared" si="1"/>
        <v>45535</v>
      </c>
      <c r="AD5" s="190">
        <f t="shared" si="1"/>
        <v>45565</v>
      </c>
      <c r="AE5" s="190">
        <f t="shared" si="1"/>
        <v>45596</v>
      </c>
      <c r="AF5" s="190">
        <f t="shared" si="1"/>
        <v>45626</v>
      </c>
      <c r="AG5" s="190">
        <f t="shared" si="1"/>
        <v>45657</v>
      </c>
      <c r="AH5" s="190">
        <f t="shared" si="1"/>
        <v>45688</v>
      </c>
      <c r="AI5" s="190">
        <f t="shared" si="1"/>
        <v>45716</v>
      </c>
      <c r="AJ5" s="190">
        <f t="shared" si="1"/>
        <v>45747</v>
      </c>
      <c r="AK5" s="190">
        <f t="shared" si="1"/>
        <v>45777</v>
      </c>
      <c r="AL5" s="190">
        <f t="shared" si="1"/>
        <v>45808</v>
      </c>
      <c r="AM5" s="190">
        <f t="shared" si="1"/>
        <v>45838</v>
      </c>
      <c r="AN5" s="190">
        <f t="shared" si="1"/>
        <v>45869</v>
      </c>
      <c r="AO5" s="190">
        <f t="shared" si="1"/>
        <v>45900</v>
      </c>
      <c r="AP5" s="190">
        <f t="shared" si="1"/>
        <v>45930</v>
      </c>
      <c r="AQ5" s="190">
        <f t="shared" si="1"/>
        <v>45961</v>
      </c>
      <c r="AR5" s="190">
        <f t="shared" si="1"/>
        <v>45991</v>
      </c>
      <c r="AS5" s="190">
        <f t="shared" si="1"/>
        <v>46022</v>
      </c>
      <c r="AT5" s="190">
        <f t="shared" si="1"/>
        <v>46053</v>
      </c>
      <c r="AU5" s="190">
        <f t="shared" si="1"/>
        <v>46081</v>
      </c>
      <c r="AV5" s="190">
        <f t="shared" si="1"/>
        <v>46112</v>
      </c>
      <c r="AW5" s="190">
        <f t="shared" si="1"/>
        <v>46142</v>
      </c>
      <c r="AX5" s="190">
        <f t="shared" si="1"/>
        <v>46173</v>
      </c>
      <c r="AY5" s="190">
        <f t="shared" si="1"/>
        <v>46203</v>
      </c>
      <c r="AZ5" s="190">
        <f t="shared" si="1"/>
        <v>46234</v>
      </c>
      <c r="BA5" s="190">
        <f t="shared" si="1"/>
        <v>46265</v>
      </c>
      <c r="BB5" s="190">
        <f t="shared" si="1"/>
        <v>46295</v>
      </c>
      <c r="BC5" s="190">
        <f t="shared" si="1"/>
        <v>46326</v>
      </c>
      <c r="BD5" s="190">
        <f t="shared" si="1"/>
        <v>46356</v>
      </c>
      <c r="BE5" s="190">
        <f t="shared" si="1"/>
        <v>46387</v>
      </c>
      <c r="BF5" s="190">
        <f t="shared" si="1"/>
        <v>46418</v>
      </c>
      <c r="BG5" s="190">
        <f t="shared" si="1"/>
        <v>46446</v>
      </c>
      <c r="BH5" s="190">
        <f t="shared" si="1"/>
        <v>46477</v>
      </c>
      <c r="BI5" s="190">
        <f t="shared" si="1"/>
        <v>46507</v>
      </c>
      <c r="BJ5" s="190">
        <f t="shared" si="1"/>
        <v>46538</v>
      </c>
      <c r="BK5" s="190">
        <f t="shared" si="1"/>
        <v>46568</v>
      </c>
    </row>
    <row r="6" spans="2:63">
      <c r="B6" s="147" t="s">
        <v>140</v>
      </c>
      <c r="C6" s="191">
        <f>-Inputs!F16</f>
        <v>-45494943.730000004</v>
      </c>
      <c r="D6" s="62">
        <f>C6</f>
        <v>-45494943.730000004</v>
      </c>
      <c r="E6" s="62">
        <v>0</v>
      </c>
      <c r="F6" s="62">
        <f>IF(F$5=Inputs!$D$50,Inputs!$F$16*(Inputs!$E$17="Não"),0)</f>
        <v>0</v>
      </c>
      <c r="G6" s="62">
        <f>IF(G$5=Inputs!$D$50,Inputs!$F$16*(Inputs!$E$17="Não"),0)</f>
        <v>0</v>
      </c>
      <c r="H6" s="62">
        <f>IF(H$5=Inputs!$D$50,Inputs!$F$16*(Inputs!$E$17="Não"),0)</f>
        <v>0</v>
      </c>
      <c r="I6" s="62">
        <f>IF(I$5=Inputs!$D$50,Inputs!$F$16*(Inputs!$E$17="Não"),0)</f>
        <v>0</v>
      </c>
      <c r="J6" s="62">
        <f>IF(J$5=Inputs!$D$50,Inputs!$F$16*(Inputs!$E$17="Não"),0)</f>
        <v>0</v>
      </c>
      <c r="K6" s="62">
        <f>IF(K$5=Inputs!$D$50,Inputs!$F$16*(Inputs!$E$17="Não"),0)</f>
        <v>0</v>
      </c>
      <c r="L6" s="62">
        <f>IF(L$5=Inputs!$D$50,Inputs!$F$16*(Inputs!$E$17="Não"),0)</f>
        <v>0</v>
      </c>
      <c r="M6" s="62">
        <f>IF(M$5=Inputs!$D$50,Inputs!$F$16*(Inputs!$E$17="Não"),0)</f>
        <v>0</v>
      </c>
      <c r="N6" s="62">
        <f>IF(N$5=Inputs!$D$50,Inputs!$F$16*(Inputs!$E$17="Não"),0)</f>
        <v>0</v>
      </c>
      <c r="O6" s="62">
        <f>IF(O$5=Inputs!$D$50,Inputs!$F$16*(Inputs!$E$17="Não"),0)</f>
        <v>0</v>
      </c>
      <c r="P6" s="62">
        <f>IF(P$5=Inputs!$D$50,Inputs!$F$16*(Inputs!$E$17="Não"),0)</f>
        <v>0</v>
      </c>
      <c r="Q6" s="62">
        <f>IF(Q$5=Inputs!$D$50,Inputs!$F$16*(Inputs!$E$17="Não"),0)</f>
        <v>0</v>
      </c>
      <c r="R6" s="62">
        <f>IF(R$5=Inputs!$D$50,Inputs!$F$16*(Inputs!$E$17="Não"),0)</f>
        <v>0</v>
      </c>
      <c r="S6" s="62">
        <f>IF(S$5=Inputs!$D$50,Inputs!$F$16*(Inputs!$E$17="Não"),0)</f>
        <v>0</v>
      </c>
      <c r="T6" s="62">
        <f>IF(T$5=Inputs!$D$50,Inputs!$F$16*(Inputs!$E$17="Não"),0)</f>
        <v>0</v>
      </c>
      <c r="U6" s="62">
        <f>IF(U$5=Inputs!$D$50,Inputs!$F$16*(Inputs!$E$17="Não"),0)</f>
        <v>0</v>
      </c>
      <c r="V6" s="62">
        <f>IF(V$5=Inputs!$D$50,Inputs!$F$16*(Inputs!$E$17="Não"),0)</f>
        <v>0</v>
      </c>
      <c r="W6" s="62">
        <f>IF(W$5=Inputs!$D$50,Inputs!$F$16*(Inputs!$E$17="Não"),0)</f>
        <v>0</v>
      </c>
      <c r="X6" s="62">
        <f>IF(X$5=Inputs!$D$50,Inputs!$F$16*(Inputs!$E$17="Não"),0)</f>
        <v>0</v>
      </c>
      <c r="Y6" s="62">
        <f>IF(Y$5=Inputs!$D$50,Inputs!$F$16*(Inputs!$E$17="Não"),0)</f>
        <v>0</v>
      </c>
      <c r="Z6" s="62">
        <f>IF(Z$5=Inputs!$D$50,Inputs!$F$16*(Inputs!$E$17="Não"),0)</f>
        <v>0</v>
      </c>
      <c r="AA6" s="62">
        <f>IF(AA$5=Inputs!$D$50,Inputs!$F$16*(Inputs!$E$17="Não"),0)</f>
        <v>0</v>
      </c>
      <c r="AB6" s="62">
        <f>IF(AB$5=Inputs!$D$50,Inputs!$F$16*(Inputs!$E$17="Não"),0)</f>
        <v>0</v>
      </c>
      <c r="AC6" s="62">
        <f>IF(AC$5=Inputs!$D$50,Inputs!$F$16*(Inputs!$E$17="Não"),0)</f>
        <v>0</v>
      </c>
      <c r="AD6" s="62">
        <f>IF(AD$5=Inputs!$D$50,Inputs!$F$16*(Inputs!$E$17="Não"),0)</f>
        <v>0</v>
      </c>
      <c r="AE6" s="62">
        <f>IF(AE$5=Inputs!$D$50,Inputs!$F$16*(Inputs!$E$17="Não"),0)</f>
        <v>0</v>
      </c>
      <c r="AF6" s="62">
        <f>IF(AF$5=Inputs!$D$50,Inputs!$F$16*(Inputs!$E$17="Não"),0)</f>
        <v>0</v>
      </c>
      <c r="AG6" s="62">
        <f>IF(AG$5=Inputs!$D$50,Inputs!$F$16*(Inputs!$E$17="Não"),0)</f>
        <v>0</v>
      </c>
      <c r="AH6" s="62">
        <f>IF(AH$5=Inputs!$D$50,Inputs!$F$16*(Inputs!$E$17="Não"),0)</f>
        <v>0</v>
      </c>
      <c r="AI6" s="62">
        <f>IF(AI$5=Inputs!$D$50,Inputs!$F$16*(Inputs!$E$17="Não"),0)</f>
        <v>0</v>
      </c>
      <c r="AJ6" s="62">
        <f>IF(AJ$5=Inputs!$D$50,Inputs!$F$16*(Inputs!$E$17="Não"),0)</f>
        <v>0</v>
      </c>
      <c r="AK6" s="62">
        <f>IF(AK$5=Inputs!$D$50,Inputs!$F$16*(Inputs!$E$17="Não"),0)</f>
        <v>0</v>
      </c>
      <c r="AL6" s="62">
        <f>IF(AL$5=Inputs!$D$50,Inputs!$F$16*(Inputs!$E$17="Não"),0)</f>
        <v>0</v>
      </c>
      <c r="AM6" s="62">
        <f>IF(AM$5=Inputs!$D$50,Inputs!$F$16*(Inputs!$E$17="Não"),0)</f>
        <v>0</v>
      </c>
      <c r="AN6" s="62">
        <f>IF(AN$5=Inputs!$D$50,Inputs!$F$16*(Inputs!$E$17="Não"),0)</f>
        <v>0</v>
      </c>
      <c r="AO6" s="62">
        <f>IF(AO$5=Inputs!$D$50,Inputs!$F$16*(Inputs!$E$17="Não"),0)</f>
        <v>0</v>
      </c>
      <c r="AP6" s="62">
        <f>IF(AP$5=Inputs!$D$50,Inputs!$F$16*(Inputs!$E$17="Não"),0)</f>
        <v>0</v>
      </c>
      <c r="AQ6" s="62">
        <f>IF(AQ$5=Inputs!$D$50,Inputs!$F$16*(Inputs!$E$17="Não"),0)</f>
        <v>0</v>
      </c>
      <c r="AR6" s="62">
        <f>IF(AR$5=Inputs!$D$50,Inputs!$F$16*(Inputs!$E$17="Não"),0)</f>
        <v>0</v>
      </c>
      <c r="AS6" s="62">
        <f>IF(AS$5=Inputs!$D$50,Inputs!$F$16*(Inputs!$E$17="Não"),0)</f>
        <v>0</v>
      </c>
      <c r="AT6" s="62">
        <f>IF(AT$5=Inputs!$D$50,Inputs!$F$16*(Inputs!$E$17="Não"),0)</f>
        <v>0</v>
      </c>
      <c r="AU6" s="62">
        <f>IF(AU$5=Inputs!$D$50,Inputs!$F$16*(Inputs!$E$17="Não"),0)</f>
        <v>0</v>
      </c>
      <c r="AV6" s="62">
        <f>IF(AV$5=Inputs!$D$50,Inputs!$F$16*(Inputs!$E$17="Não"),0)</f>
        <v>0</v>
      </c>
      <c r="AW6" s="62">
        <f>IF(AW$5=Inputs!$D$50,Inputs!$F$16*(Inputs!$E$17="Não"),0)</f>
        <v>0</v>
      </c>
      <c r="AX6" s="62">
        <f>IF(AX$5=Inputs!$D$50,Inputs!$F$16*(Inputs!$E$17="Não"),0)</f>
        <v>0</v>
      </c>
      <c r="AY6" s="62">
        <f>IF(AY$5=Inputs!$D$50,Inputs!$F$16*(Inputs!$E$17="Não"),0)</f>
        <v>0</v>
      </c>
      <c r="AZ6" s="62">
        <f>IF(AZ$5=Inputs!$D$50,Inputs!$F$16*(Inputs!$E$17="Não"),0)</f>
        <v>0</v>
      </c>
      <c r="BA6" s="62">
        <f>IF(BA$5=Inputs!$D$50,Inputs!$F$16*(Inputs!$E$17="Não"),0)</f>
        <v>0</v>
      </c>
      <c r="BB6" s="62">
        <f>IF(BB$5=Inputs!$D$50,Inputs!$F$16*(Inputs!$E$17="Não"),0)</f>
        <v>0</v>
      </c>
      <c r="BC6" s="62">
        <f>IF(BC$5=Inputs!$D$50,Inputs!$F$16*(Inputs!$E$17="Não"),0)</f>
        <v>0</v>
      </c>
      <c r="BD6" s="62">
        <f>IF(BD$5=Inputs!$D$50,Inputs!$F$16*(Inputs!$E$17="Não"),0)</f>
        <v>0</v>
      </c>
      <c r="BE6" s="62">
        <f>IF(BE$5=Inputs!$D$50,Inputs!$F$16*(Inputs!$E$17="Não"),0)</f>
        <v>0</v>
      </c>
      <c r="BF6" s="62">
        <f>IF(BF$5=Inputs!$D$50,Inputs!$F$16*(Inputs!$E$17="Não"),0)</f>
        <v>0</v>
      </c>
      <c r="BG6" s="62">
        <f>IF(BG$5=Inputs!$D$50,Inputs!$F$16*(Inputs!$E$17="Não"),0)</f>
        <v>0</v>
      </c>
      <c r="BH6" s="62">
        <f>IF(BH$5=Inputs!$D$50,Inputs!$F$16*(Inputs!$E$17="Não"),0)</f>
        <v>0</v>
      </c>
      <c r="BI6" s="62">
        <f>IF(BI$5=Inputs!$D$50,Inputs!$F$16*(Inputs!$E$17="Não"),0)</f>
        <v>0</v>
      </c>
      <c r="BJ6" s="62">
        <f>IF(BJ$5=Inputs!$D$50,Inputs!$F$16*(Inputs!$E$17="Não"),0)</f>
        <v>0</v>
      </c>
      <c r="BK6" s="62">
        <f>IF(BK$5=Inputs!$D$50,Inputs!$F$16*(Inputs!$E$17="Não"),0)</f>
        <v>0</v>
      </c>
    </row>
    <row r="7" spans="2:63">
      <c r="B7" s="147" t="s">
        <v>142</v>
      </c>
      <c r="C7" s="191">
        <f t="shared" ref="C7:C15" si="2">SUM(D7:BK7)</f>
        <v>-2667530.5333333327</v>
      </c>
      <c r="D7" s="62">
        <f>IF(AND(D$5&gt;=Inputs!$D$51,D$5&lt;Inputs!$D$52),-Inputs!$F$29/Inputs!$E$51,0)</f>
        <v>-266753.05333333329</v>
      </c>
      <c r="E7" s="62">
        <f>IF(AND(E$5&gt;=Inputs!$D$51,E$5&lt;Inputs!$D$52),-Inputs!$F$29/Inputs!$E$51,0)</f>
        <v>-266753.05333333329</v>
      </c>
      <c r="F7" s="62">
        <f>IF(AND(F$5&gt;=Inputs!$D$51,F$5&lt;Inputs!$D$52),-Inputs!$F$29/Inputs!$E$51,0)</f>
        <v>-266753.05333333329</v>
      </c>
      <c r="G7" s="62">
        <f>IF(AND(G$5&gt;=Inputs!$D$51,G$5&lt;Inputs!$D$52),-Inputs!$F$29/Inputs!$E$51,0)</f>
        <v>-266753.05333333329</v>
      </c>
      <c r="H7" s="62">
        <f>IF(AND(H$5&gt;=Inputs!$D$51,H$5&lt;Inputs!$D$52),-Inputs!$F$29/Inputs!$E$51,0)</f>
        <v>-266753.05333333329</v>
      </c>
      <c r="I7" s="62">
        <f>IF(AND(I$5&gt;=Inputs!$D$51,I$5&lt;Inputs!$D$52),-Inputs!$F$29/Inputs!$E$51,0)</f>
        <v>-266753.05333333329</v>
      </c>
      <c r="J7" s="62">
        <f>IF(AND(J$5&gt;=Inputs!$D$51,J$5&lt;Inputs!$D$52),-Inputs!$F$29/Inputs!$E$51,0)</f>
        <v>-266753.05333333329</v>
      </c>
      <c r="K7" s="62">
        <f>IF(AND(K$5&gt;=Inputs!$D$51,K$5&lt;Inputs!$D$52),-Inputs!$F$29/Inputs!$E$51,0)</f>
        <v>-266753.05333333329</v>
      </c>
      <c r="L7" s="62">
        <f>IF(AND(L$5&gt;=Inputs!$D$51,L$5&lt;Inputs!$D$52),-Inputs!$F$29/Inputs!$E$51,0)</f>
        <v>0</v>
      </c>
      <c r="M7" s="62">
        <f>IF(AND(M$5&gt;=Inputs!$D$51,M$5&lt;(Inputs!$D$52+90)),-Inputs!$F$29/Inputs!$E$51,0)</f>
        <v>-266753.05333333329</v>
      </c>
      <c r="N7" s="941">
        <f>IF(AND(N$5&gt;=Inputs!$D$51,N$5&lt;(Inputs!$D$52+90)),-Inputs!$F$29/Inputs!$E$51,0)</f>
        <v>-266753.05333333329</v>
      </c>
      <c r="O7" s="941">
        <f>IF(AND(O$5&gt;=Inputs!$D$51,O$5&lt;(Inputs!$D$52+90)),-Inputs!$F$29/Inputs!$E$51,0)</f>
        <v>0</v>
      </c>
      <c r="P7" s="62">
        <f>IF(AND(P$5&gt;=Inputs!$D$51,P$5&lt;(Inputs!$D$52+90)),-Inputs!$F$29/Inputs!$E$51,0)</f>
        <v>0</v>
      </c>
      <c r="Q7" s="62">
        <f>IF(AND(Q$5&gt;=Inputs!$D$51,Q$5&lt;(Inputs!$D$52+90)),-Inputs!$F$29/Inputs!$E$51,0)</f>
        <v>0</v>
      </c>
      <c r="R7" s="62">
        <f>IF(AND(R$5&gt;=Inputs!$D$51,R$5&lt;Inputs!$D$52),-Inputs!$F$29/Inputs!$E$51,0)</f>
        <v>0</v>
      </c>
      <c r="S7" s="62">
        <f>IF(AND(S$5&gt;=Inputs!$D$51,S$5&lt;Inputs!$D$52),-Inputs!$F$29/Inputs!$E$51,0)</f>
        <v>0</v>
      </c>
      <c r="T7" s="62">
        <f>IF(AND(T$5&gt;=Inputs!$D$51,T$5&lt;Inputs!$D$52),-Inputs!$F$29/Inputs!$E$51,0)</f>
        <v>0</v>
      </c>
      <c r="U7" s="62">
        <f>IF(AND(U$5&gt;=Inputs!$D$51,U$5&lt;Inputs!$D$52),-Inputs!$F$29/Inputs!$E$51,0)</f>
        <v>0</v>
      </c>
      <c r="V7" s="62">
        <f>IF(AND(V$5&gt;=Inputs!$D$51,V$5&lt;Inputs!$D$52),-Inputs!$F$29/Inputs!$E$51,0)</f>
        <v>0</v>
      </c>
      <c r="W7" s="62">
        <f>IF(AND(W$5&gt;=Inputs!$D$51,W$5&lt;Inputs!$D$52),-Inputs!$F$29/Inputs!$E$51,0)</f>
        <v>0</v>
      </c>
      <c r="X7" s="62">
        <f>IF(AND(X$5&gt;=Inputs!$D$51,X$5&lt;Inputs!$D$52),-Inputs!$F$29/Inputs!$E$51,0)</f>
        <v>0</v>
      </c>
      <c r="Y7" s="62">
        <f>IF(AND(Y$5&gt;=Inputs!$D$51,Y$5&lt;Inputs!$D$52),-Inputs!$F$29/Inputs!$E$51,0)</f>
        <v>0</v>
      </c>
      <c r="Z7" s="62">
        <f>IF(AND(Z$5&gt;=Inputs!$D$51,Z$5&lt;Inputs!$D$52),-Inputs!$F$29/Inputs!$E$51,0)</f>
        <v>0</v>
      </c>
      <c r="AA7" s="62">
        <f>IF(AND(AA$5&gt;=Inputs!$D$51,AA$5&lt;Inputs!$D$52),-Inputs!$F$29/Inputs!$E$51,0)</f>
        <v>0</v>
      </c>
      <c r="AB7" s="62">
        <f>IF(AND(AB$5&gt;=Inputs!$D$51,AB$5&lt;Inputs!$D$52),-Inputs!$F$29/Inputs!$E$51,0)</f>
        <v>0</v>
      </c>
      <c r="AC7" s="62">
        <f>IF(AND(AC$5&gt;=Inputs!$D$51,AC$5&lt;Inputs!$D$52),-Inputs!$F$29/Inputs!$E$51,0)</f>
        <v>0</v>
      </c>
      <c r="AD7" s="62">
        <f>IF(AND(AD$5&gt;=Inputs!$D$51,AD$5&lt;Inputs!$D$52),-Inputs!$F$29/Inputs!$E$51,0)</f>
        <v>0</v>
      </c>
      <c r="AE7" s="62">
        <f>IF(AND(AE$5&gt;=Inputs!$D$51,AE$5&lt;Inputs!$D$52),-Inputs!$F$29/Inputs!$E$51,0)</f>
        <v>0</v>
      </c>
      <c r="AF7" s="62">
        <f>IF(AND(AF$5&gt;=Inputs!$D$51,AF$5&lt;Inputs!$D$52),-Inputs!$F$29/Inputs!$E$51,0)</f>
        <v>0</v>
      </c>
      <c r="AG7" s="62">
        <f>IF(AND(AG$5&gt;=Inputs!$D$51,AG$5&lt;Inputs!$D$52),-Inputs!$F$29/Inputs!$E$51,0)</f>
        <v>0</v>
      </c>
      <c r="AH7" s="62">
        <f>IF(AND(AH$5&gt;=Inputs!$D$51,AH$5&lt;Inputs!$D$52),-Inputs!$F$29/Inputs!$E$51,0)</f>
        <v>0</v>
      </c>
      <c r="AI7" s="62">
        <f>IF(AND(AI$5&gt;=Inputs!$D$51,AI$5&lt;Inputs!$D$52),-Inputs!$F$29/Inputs!$E$51,0)</f>
        <v>0</v>
      </c>
      <c r="AJ7" s="62">
        <f>IF(AND(AJ$5&gt;=Inputs!$D$51,AJ$5&lt;Inputs!$D$52),-Inputs!$F$29/Inputs!$E$51,0)</f>
        <v>0</v>
      </c>
      <c r="AK7" s="62">
        <f>IF(AND(AK$5&gt;=Inputs!$D$51,AK$5&lt;Inputs!$D$52),-Inputs!$F$29/Inputs!$E$51,0)</f>
        <v>0</v>
      </c>
      <c r="AL7" s="62">
        <f>IF(AND(AL$5&gt;=Inputs!$D$51,AL$5&lt;Inputs!$D$52),-Inputs!$F$29/Inputs!$E$51,0)</f>
        <v>0</v>
      </c>
      <c r="AM7" s="62">
        <f>IF(AND(AM$5&gt;=Inputs!$D$51,AM$5&lt;Inputs!$D$52),-Inputs!$F$29/Inputs!$E$51,0)</f>
        <v>0</v>
      </c>
      <c r="AN7" s="62">
        <f>IF(AND(AN$5&gt;=Inputs!$D$51,AN$5&lt;Inputs!$D$52),-Inputs!$F$29/Inputs!$E$51,0)</f>
        <v>0</v>
      </c>
      <c r="AO7" s="62">
        <f>IF(AND(AO$5&gt;=Inputs!$D$51,AO$5&lt;Inputs!$D$52),-Inputs!$F$29/Inputs!$E$51,0)</f>
        <v>0</v>
      </c>
      <c r="AP7" s="62">
        <f>IF(AND(AP$5&gt;=Inputs!$D$51,AP$5&lt;Inputs!$D$52),-Inputs!$F$29/Inputs!$E$51,0)</f>
        <v>0</v>
      </c>
      <c r="AQ7" s="62">
        <f>IF(AND(AQ$5&gt;=Inputs!$D$51,AQ$5&lt;Inputs!$D$52),-Inputs!$F$29/Inputs!$E$51,0)</f>
        <v>0</v>
      </c>
      <c r="AR7" s="62">
        <f>IF(AND(AR$5&gt;=Inputs!$D$51,AR$5&lt;Inputs!$D$52),-Inputs!$F$29/Inputs!$E$51,0)</f>
        <v>0</v>
      </c>
      <c r="AS7" s="62">
        <f>IF(AND(AS$5&gt;=Inputs!$D$51,AS$5&lt;Inputs!$D$52),-Inputs!$F$29/Inputs!$E$51,0)</f>
        <v>0</v>
      </c>
      <c r="AT7" s="62">
        <f>IF(AND(AT$5&gt;=Inputs!$D$51,AT$5&lt;Inputs!$D$52),-Inputs!$F$29/Inputs!$E$51,0)</f>
        <v>0</v>
      </c>
      <c r="AU7" s="62">
        <f>IF(AND(AU$5&gt;=Inputs!$D$51,AU$5&lt;Inputs!$D$52),-Inputs!$F$29/Inputs!$E$51,0)</f>
        <v>0</v>
      </c>
      <c r="AV7" s="62">
        <f>IF(AND(AV$5&gt;=Inputs!$D$51,AV$5&lt;Inputs!$D$52),-Inputs!$F$29/Inputs!$E$51,0)</f>
        <v>0</v>
      </c>
      <c r="AW7" s="62">
        <f>IF(AND(AW$5&gt;=Inputs!$D$51,AW$5&lt;Inputs!$D$52),-Inputs!$F$29/Inputs!$E$51,0)</f>
        <v>0</v>
      </c>
      <c r="AX7" s="62">
        <f>IF(AND(AX$5&gt;=Inputs!$D$51,AX$5&lt;Inputs!$D$52),-Inputs!$F$29/Inputs!$E$51,0)</f>
        <v>0</v>
      </c>
      <c r="AY7" s="62">
        <f>IF(AND(AY$5&gt;=Inputs!$D$51,AY$5&lt;Inputs!$D$52),-Inputs!$F$29/Inputs!$E$51,0)</f>
        <v>0</v>
      </c>
      <c r="AZ7" s="62">
        <f>IF(AND(AZ$5&gt;=Inputs!$D$51,AZ$5&lt;Inputs!$D$52),-Inputs!$F$29/Inputs!$E$51,0)</f>
        <v>0</v>
      </c>
      <c r="BA7" s="62">
        <f>IF(AND(BA$5&gt;=Inputs!$D$51,BA$5&lt;Inputs!$D$52),-Inputs!$F$29/Inputs!$E$51,0)</f>
        <v>0</v>
      </c>
      <c r="BB7" s="62">
        <f>IF(AND(BB$5&gt;=Inputs!$D$51,BB$5&lt;Inputs!$D$52),-Inputs!$F$29/Inputs!$E$51,0)</f>
        <v>0</v>
      </c>
      <c r="BC7" s="62">
        <f>IF(AND(BC$5&gt;=Inputs!$D$51,BC$5&lt;Inputs!$D$52),-Inputs!$F$29/Inputs!$E$51,0)</f>
        <v>0</v>
      </c>
      <c r="BD7" s="62">
        <f>IF(AND(BD$5&gt;=Inputs!$D$51,BD$5&lt;Inputs!$D$52),-Inputs!$F$29/Inputs!$E$51,0)</f>
        <v>0</v>
      </c>
      <c r="BE7" s="62">
        <f>IF(AND(BE$5&gt;=Inputs!$D$51,BE$5&lt;Inputs!$D$52),-Inputs!$F$29/Inputs!$E$51,0)</f>
        <v>0</v>
      </c>
      <c r="BF7" s="62">
        <f>IF(AND(BF$5&gt;=Inputs!$D$51,BF$5&lt;Inputs!$D$52),-Inputs!$F$29/Inputs!$E$51,0)</f>
        <v>0</v>
      </c>
      <c r="BG7" s="62">
        <f>IF(AND(BG$5&gt;=Inputs!$D$51,BG$5&lt;Inputs!$D$52),-Inputs!$F$29/Inputs!$E$51,0)</f>
        <v>0</v>
      </c>
      <c r="BH7" s="62">
        <f>IF(AND(BH$5&gt;=Inputs!$D$51,BH$5&lt;Inputs!$D$52),-Inputs!$F$29/Inputs!$E$51,0)</f>
        <v>0</v>
      </c>
      <c r="BI7" s="62">
        <f>IF(AND(BI$5&gt;=Inputs!$D$51,BI$5&lt;Inputs!$D$52),-Inputs!$F$29/Inputs!$E$51,0)</f>
        <v>0</v>
      </c>
      <c r="BJ7" s="62">
        <f>IF(AND(BJ$5&gt;=Inputs!$D$51,BJ$5&lt;Inputs!$D$52),-Inputs!$F$29/Inputs!$E$51,0)</f>
        <v>0</v>
      </c>
      <c r="BK7" s="62">
        <f>IF(AND(BK$5&gt;=Inputs!$D$51,BK$5&lt;Inputs!$D$52),-Inputs!$F$29/Inputs!$E$51,0)</f>
        <v>0</v>
      </c>
    </row>
    <row r="8" spans="2:63">
      <c r="B8" s="147" t="s">
        <v>143</v>
      </c>
      <c r="C8" s="191">
        <f t="shared" si="2"/>
        <v>-2037280</v>
      </c>
      <c r="D8" s="62">
        <f>IF(AND(D$5&gt;=Inputs!$D$52,D$5&lt;Inputs!$D$53),-Inputs!$F$44/Inputs!$E$52,0)</f>
        <v>0</v>
      </c>
      <c r="E8" s="62">
        <f>IF(AND(E$5&gt;=Inputs!$D$52,E$5&lt;Inputs!$D$53),-Inputs!$F$44/Inputs!$E$52,0)</f>
        <v>0</v>
      </c>
      <c r="F8" s="62">
        <f>IF(AND(F$5&gt;=Inputs!$D$52,F$5&lt;Inputs!$D$53),-Inputs!$F$44/Inputs!$E$52,0)</f>
        <v>0</v>
      </c>
      <c r="G8" s="62">
        <f>IF(AND(G$5&gt;=Inputs!$D$52,G$5&lt;Inputs!$D$53),-Inputs!$F$44/Inputs!$E$52,0)</f>
        <v>0</v>
      </c>
      <c r="H8" s="62">
        <f>IF(AND(H$5&gt;=Inputs!$D$52,H$5&lt;Inputs!$D$53),-Inputs!$F$44/Inputs!$E$52,0)</f>
        <v>0</v>
      </c>
      <c r="I8" s="62">
        <f>IF(AND(I$5&gt;=Inputs!$D$52,I$5&lt;Inputs!$D$53),-Inputs!$F$44/Inputs!$E$52,0)</f>
        <v>0</v>
      </c>
      <c r="J8" s="62">
        <f>IF(AND(J$5&gt;=Inputs!$D$52,J$5&lt;Inputs!$D$53),-Inputs!$F$44/Inputs!$E$52,0)</f>
        <v>0</v>
      </c>
      <c r="K8" s="62">
        <f>IF(AND(K$5&gt;=Inputs!$D$52,K$5&lt;Inputs!$D$53),-Inputs!$F$44/Inputs!$E$52,0)</f>
        <v>0</v>
      </c>
      <c r="L8" s="62">
        <f>IF(AND(L$5&gt;=Inputs!$D$52,L$5&lt;Inputs!$D$53),-Inputs!$F$44/Inputs!$E$52,0)</f>
        <v>-679093.33333333337</v>
      </c>
      <c r="M8" s="62">
        <f>IF(AND(M$5&gt;=Inputs!$D$52,M$5&lt;Inputs!$D$53),-Inputs!$F$44/Inputs!$E$52,0)</f>
        <v>-679093.33333333337</v>
      </c>
      <c r="N8" s="62">
        <f>IF(AND(N$5&gt;=Inputs!$D$52,N$5&lt;Inputs!$D$53),-Inputs!$F$44/Inputs!$E$52,0)</f>
        <v>-679093.33333333337</v>
      </c>
      <c r="O8" s="62">
        <f>IF(AND(O$5&gt;=Inputs!$D$52,O$5&lt;Inputs!$D$53),-Inputs!$F$44/Inputs!$E$52,0)</f>
        <v>0</v>
      </c>
      <c r="P8" s="62">
        <f>IF(AND(P$5&gt;=Inputs!$D$52,P$5&lt;Inputs!$D$53),-Inputs!$F$44/Inputs!$E$52,0)</f>
        <v>0</v>
      </c>
      <c r="Q8" s="62">
        <f>IF(AND(Q$5&gt;=Inputs!$D$52,Q$5&lt;Inputs!$D$53),-Inputs!$F$44/Inputs!$E$52,0)</f>
        <v>0</v>
      </c>
      <c r="R8" s="62">
        <f>IF(AND(R$5&gt;=Inputs!$D$52,R$5&lt;Inputs!$D$53),-Inputs!$F$44/Inputs!$E$52,0)</f>
        <v>0</v>
      </c>
      <c r="S8" s="62">
        <f>IF(AND(S$5&gt;=Inputs!$D$52,S$5&lt;Inputs!$D$53),-Inputs!$F$44/Inputs!$E$52,0)</f>
        <v>0</v>
      </c>
      <c r="T8" s="62">
        <f>IF(AND(T$5&gt;=Inputs!$D$52,T$5&lt;Inputs!$D$53),-Inputs!$F$44/Inputs!$E$52,0)</f>
        <v>0</v>
      </c>
      <c r="U8" s="62">
        <f>IF(AND(U$5&gt;=Inputs!$D$52,U$5&lt;Inputs!$D$53),-Inputs!$F$44/Inputs!$E$52,0)</f>
        <v>0</v>
      </c>
      <c r="V8" s="62">
        <f>IF(AND(V$5&gt;=Inputs!$D$52,V$5&lt;Inputs!$D$53),-Inputs!$F$44/Inputs!$E$52,0)</f>
        <v>0</v>
      </c>
      <c r="W8" s="62">
        <f>IF(AND(W$5&gt;=Inputs!$D$52,W$5&lt;Inputs!$D$53),-Inputs!$F$44/Inputs!$E$52,0)</f>
        <v>0</v>
      </c>
      <c r="X8" s="62">
        <f>IF(AND(X$5&gt;=Inputs!$D$52,X$5&lt;Inputs!$D$53),-Inputs!$F$44/Inputs!$E$52,0)</f>
        <v>0</v>
      </c>
      <c r="Y8" s="62">
        <f>IF(AND(Y$5&gt;=Inputs!$D$52,Y$5&lt;Inputs!$D$53),-Inputs!$F$44/Inputs!$E$52,0)</f>
        <v>0</v>
      </c>
      <c r="Z8" s="62">
        <f>IF(AND(Z$5&gt;=Inputs!$D$52,Z$5&lt;Inputs!$D$53),-Inputs!$F$44/Inputs!$E$52,0)</f>
        <v>0</v>
      </c>
      <c r="AA8" s="62">
        <f>IF(AND(AA$5&gt;=Inputs!$D$52,AA$5&lt;Inputs!$D$53),-Inputs!$F$44/Inputs!$E$52,0)</f>
        <v>0</v>
      </c>
      <c r="AB8" s="62">
        <f>IF(AND(AB$5&gt;=Inputs!$D$52,AB$5&lt;Inputs!$D$53),-Inputs!$F$44/Inputs!$E$52,0)</f>
        <v>0</v>
      </c>
      <c r="AC8" s="62">
        <f>IF(AND(AC$5&gt;=Inputs!$D$52,AC$5&lt;Inputs!$D$53),-Inputs!$F$44/Inputs!$E$52,0)</f>
        <v>0</v>
      </c>
      <c r="AD8" s="62">
        <f>IF(AND(AD$5&gt;=Inputs!$D$52,AD$5&lt;Inputs!$D$53),-Inputs!$F$44/Inputs!$E$52,0)</f>
        <v>0</v>
      </c>
      <c r="AE8" s="62">
        <f>IF(AND(AE$5&gt;=Inputs!$D$52,AE$5&lt;Inputs!$D$53),-Inputs!$F$44/Inputs!$E$52,0)</f>
        <v>0</v>
      </c>
      <c r="AF8" s="62">
        <f>IF(AND(AF$5&gt;=Inputs!$D$52,AF$5&lt;Inputs!$D$53),-Inputs!$F$44/Inputs!$E$52,0)</f>
        <v>0</v>
      </c>
      <c r="AG8" s="62">
        <f>IF(AND(AG$5&gt;=Inputs!$D$52,AG$5&lt;Inputs!$D$53),-Inputs!$F$44/Inputs!$E$52,0)</f>
        <v>0</v>
      </c>
      <c r="AH8" s="62">
        <f>IF(AND(AH$5&gt;=Inputs!$D$52,AH$5&lt;Inputs!$D$53),-Inputs!$F$44/Inputs!$E$52,0)</f>
        <v>0</v>
      </c>
      <c r="AI8" s="62">
        <f>IF(AND(AI$5&gt;=Inputs!$D$52,AI$5&lt;Inputs!$D$53),-Inputs!$F$44/Inputs!$E$52,0)</f>
        <v>0</v>
      </c>
      <c r="AJ8" s="62">
        <f>IF(AND(AJ$5&gt;=Inputs!$D$52,AJ$5&lt;Inputs!$D$53),-Inputs!$F$44/Inputs!$E$52,0)</f>
        <v>0</v>
      </c>
      <c r="AK8" s="62">
        <f>IF(AND(AK$5&gt;=Inputs!$D$52,AK$5&lt;Inputs!$D$53),-Inputs!$F$44/Inputs!$E$52,0)</f>
        <v>0</v>
      </c>
      <c r="AL8" s="62">
        <f>IF(AND(AL$5&gt;=Inputs!$D$52,AL$5&lt;Inputs!$D$53),-Inputs!$F$44/Inputs!$E$52,0)</f>
        <v>0</v>
      </c>
      <c r="AM8" s="62">
        <f>IF(AND(AM$5&gt;=Inputs!$D$52,AM$5&lt;Inputs!$D$53),-Inputs!$F$44/Inputs!$E$52,0)</f>
        <v>0</v>
      </c>
      <c r="AN8" s="62">
        <f>IF(AND(AN$5&gt;=Inputs!$D$52,AN$5&lt;Inputs!$D$53),-Inputs!$F$44/Inputs!$E$52,0)</f>
        <v>0</v>
      </c>
      <c r="AO8" s="62">
        <f>IF(AND(AO$5&gt;=Inputs!$D$52,AO$5&lt;Inputs!$D$53),-Inputs!$F$44/Inputs!$E$52,0)</f>
        <v>0</v>
      </c>
      <c r="AP8" s="62">
        <f>IF(AND(AP$5&gt;=Inputs!$D$52,AP$5&lt;Inputs!$D$53),-Inputs!$F$44/Inputs!$E$52,0)</f>
        <v>0</v>
      </c>
      <c r="AQ8" s="62">
        <f>IF(AND(AQ$5&gt;=Inputs!$D$52,AQ$5&lt;Inputs!$D$53),-Inputs!$F$44/Inputs!$E$52,0)</f>
        <v>0</v>
      </c>
      <c r="AR8" s="62">
        <f>IF(AND(AR$5&gt;=Inputs!$D$52,AR$5&lt;Inputs!$D$53),-Inputs!$F$44/Inputs!$E$52,0)</f>
        <v>0</v>
      </c>
      <c r="AS8" s="62">
        <f>IF(AND(AS$5&gt;=Inputs!$D$52,AS$5&lt;Inputs!$D$53),-Inputs!$F$44/Inputs!$E$52,0)</f>
        <v>0</v>
      </c>
      <c r="AT8" s="62">
        <f>IF(AND(AT$5&gt;=Inputs!$D$52,AT$5&lt;Inputs!$D$53),-Inputs!$F$44/Inputs!$E$52,0)</f>
        <v>0</v>
      </c>
      <c r="AU8" s="62">
        <f>IF(AND(AU$5&gt;=Inputs!$D$52,AU$5&lt;Inputs!$D$53),-Inputs!$F$44/Inputs!$E$52,0)</f>
        <v>0</v>
      </c>
      <c r="AV8" s="62">
        <f>IF(AND(AV$5&gt;=Inputs!$D$52,AV$5&lt;Inputs!$D$53),-Inputs!$F$44/Inputs!$E$52,0)</f>
        <v>0</v>
      </c>
      <c r="AW8" s="62">
        <f>IF(AND(AW$5&gt;=Inputs!$D$52,AW$5&lt;Inputs!$D$53),-Inputs!$F$44/Inputs!$E$52,0)</f>
        <v>0</v>
      </c>
      <c r="AX8" s="62">
        <f>IF(AND(AX$5&gt;=Inputs!$D$52,AX$5&lt;Inputs!$D$53),-Inputs!$F$44/Inputs!$E$52,0)</f>
        <v>0</v>
      </c>
      <c r="AY8" s="62">
        <f>IF(AND(AY$5&gt;=Inputs!$D$52,AY$5&lt;Inputs!$D$53),-Inputs!$F$44/Inputs!$E$52,0)</f>
        <v>0</v>
      </c>
      <c r="AZ8" s="62">
        <f>IF(AND(AZ$5&gt;=Inputs!$D$52,AZ$5&lt;Inputs!$D$53),-Inputs!$F$44/Inputs!$E$52,0)</f>
        <v>0</v>
      </c>
      <c r="BA8" s="62">
        <f>IF(AND(BA$5&gt;=Inputs!$D$52,BA$5&lt;Inputs!$D$53),-Inputs!$F$44/Inputs!$E$52,0)</f>
        <v>0</v>
      </c>
      <c r="BB8" s="62">
        <f>IF(AND(BB$5&gt;=Inputs!$D$52,BB$5&lt;Inputs!$D$53),-Inputs!$F$44/Inputs!$E$52,0)</f>
        <v>0</v>
      </c>
      <c r="BC8" s="62">
        <f>IF(AND(BC$5&gt;=Inputs!$D$52,BC$5&lt;Inputs!$D$53),-Inputs!$F$44/Inputs!$E$52,0)</f>
        <v>0</v>
      </c>
      <c r="BD8" s="62">
        <f>IF(AND(BD$5&gt;=Inputs!$D$52,BD$5&lt;Inputs!$D$53),-Inputs!$F$44/Inputs!$E$52,0)</f>
        <v>0</v>
      </c>
      <c r="BE8" s="62">
        <f>IF(AND(BE$5&gt;=Inputs!$D$52,BE$5&lt;Inputs!$D$53),-Inputs!$F$44/Inputs!$E$52,0)</f>
        <v>0</v>
      </c>
      <c r="BF8" s="62">
        <f>IF(AND(BF$5&gt;=Inputs!$D$52,BF$5&lt;Inputs!$D$53),-Inputs!$F$44/Inputs!$E$52,0)</f>
        <v>0</v>
      </c>
      <c r="BG8" s="62">
        <f>IF(AND(BG$5&gt;=Inputs!$D$52,BG$5&lt;Inputs!$D$53),-Inputs!$F$44/Inputs!$E$52,0)</f>
        <v>0</v>
      </c>
      <c r="BH8" s="62">
        <f>IF(AND(BH$5&gt;=Inputs!$D$52,BH$5&lt;Inputs!$D$53),-Inputs!$F$44/Inputs!$E$52,0)</f>
        <v>0</v>
      </c>
      <c r="BI8" s="62">
        <f>IF(AND(BI$5&gt;=Inputs!$D$52,BI$5&lt;Inputs!$D$53),-Inputs!$F$44/Inputs!$E$52,0)</f>
        <v>0</v>
      </c>
      <c r="BJ8" s="62">
        <f>IF(AND(BJ$5&gt;=Inputs!$D$52,BJ$5&lt;Inputs!$D$53),-Inputs!$F$44/Inputs!$E$52,0)</f>
        <v>0</v>
      </c>
      <c r="BK8" s="62">
        <f>IF(AND(BK$5&gt;=Inputs!$D$52,BK$5&lt;Inputs!$D$53),-Inputs!$F$44/Inputs!$E$52,0)</f>
        <v>0</v>
      </c>
    </row>
    <row r="9" spans="2:63">
      <c r="B9" s="147" t="s">
        <v>145</v>
      </c>
      <c r="C9" s="191">
        <f t="shared" si="2"/>
        <v>-63997600</v>
      </c>
      <c r="D9" s="62">
        <f>IF(AND(D$5&gt;=Inputs!$D$53,D$5&lt;Inputs!$D$54),-Inputs!$F$37/Inputs!$E$53,0)</f>
        <v>0</v>
      </c>
      <c r="E9" s="62">
        <f>IF(AND(E$5&gt;=Inputs!$D$53,E$5&lt;Inputs!$D$54),-Inputs!$F$37/Inputs!$E$53,0)</f>
        <v>0</v>
      </c>
      <c r="F9" s="62">
        <f>IF(AND(F$5&gt;=Inputs!$D$53,F$5&lt;Inputs!$D$54),-Inputs!$F$37/Inputs!$E$53,0)</f>
        <v>0</v>
      </c>
      <c r="G9" s="62">
        <f>IF(AND(G$5&gt;=Inputs!$D$53,G$5&lt;Inputs!$D$54),-Inputs!$F$37/Inputs!$E$53,0)</f>
        <v>0</v>
      </c>
      <c r="H9" s="62">
        <f>IF(AND(H$5&gt;=Inputs!$D$53,H$5&lt;Inputs!$D$54),-Inputs!$F$37/Inputs!$E$53,0)</f>
        <v>0</v>
      </c>
      <c r="I9" s="62">
        <f>IF(AND(I$5&gt;=Inputs!$D$53,I$5&lt;Inputs!$D$54),-Inputs!$F$37/Inputs!$E$53,0)</f>
        <v>0</v>
      </c>
      <c r="J9" s="62">
        <f>IF(AND(J$5&gt;=Inputs!$D$53,J$5&lt;Inputs!$D$54),-Inputs!$F$37/Inputs!$E$53,0)</f>
        <v>0</v>
      </c>
      <c r="K9" s="62">
        <f>IF(AND(K$5&gt;=Inputs!$D$53,K$5&lt;Inputs!$D$54),-Inputs!$F$37/Inputs!$E$53,0)</f>
        <v>0</v>
      </c>
      <c r="L9" s="62">
        <f>IF(AND(L$5&gt;=Inputs!$D$53,L$5&lt;Inputs!$D$54),-Inputs!$F$37/Inputs!$E$53,0)</f>
        <v>0</v>
      </c>
      <c r="M9" s="62">
        <f>IF(AND(M$5&gt;=Inputs!$D$53,M$5&lt;Inputs!$D$54),-Inputs!$F$37/Inputs!$E$53,0)</f>
        <v>0</v>
      </c>
      <c r="N9" s="62">
        <f>-VLOOKUP(N5,'Desembolso - LV'!$A$5:$E$28,2,FALSE)</f>
        <v>-1255852.347133494</v>
      </c>
      <c r="O9" s="62">
        <f>-VLOOKUP(O5,'Desembolso - LV'!$A$5:$E$28,2,FALSE)</f>
        <v>-2042610.9829731216</v>
      </c>
      <c r="P9" s="62">
        <f>-VLOOKUP(P5,'Desembolso - LV'!$A$5:$E$28,2,FALSE)</f>
        <v>-1049011.5190327356</v>
      </c>
      <c r="Q9" s="62">
        <f>-VLOOKUP(Q5,'Desembolso - LV'!$A$5:$E$28,2,FALSE)</f>
        <v>-1589576.8577699165</v>
      </c>
      <c r="R9" s="62">
        <f>-VLOOKUP(R5,'Desembolso - LV'!$A$5:$E$28,2,FALSE)</f>
        <v>-2078878.0091780585</v>
      </c>
      <c r="S9" s="62">
        <f>-VLOOKUP(S5,'Desembolso - LV'!$A$5:$E$28,2,FALSE)</f>
        <v>-1914089.6860240409</v>
      </c>
      <c r="T9" s="62">
        <f>-VLOOKUP(T5,'Desembolso - LV'!$A$5:$E$28,2,FALSE)</f>
        <v>-3867367.2195742936</v>
      </c>
      <c r="U9" s="62">
        <f>-VLOOKUP(U5,'Desembolso - LV'!$A$5:$E$28,2,FALSE)</f>
        <v>-5927495.3209424857</v>
      </c>
      <c r="V9" s="62">
        <f>-VLOOKUP(V5,'Desembolso - LV'!$A$5:$E$28,2,FALSE)</f>
        <v>-6679081.7009011954</v>
      </c>
      <c r="W9" s="62">
        <f>-VLOOKUP(W5,'Desembolso - LV'!$A$5:$E$28,2,FALSE)</f>
        <v>-7850398.9042964</v>
      </c>
      <c r="X9" s="62">
        <f>-VLOOKUP(X5,'Desembolso - LV'!$A$5:$E$28,2,FALSE)</f>
        <v>-9116291.0492415186</v>
      </c>
      <c r="Y9" s="62">
        <f>-VLOOKUP(Y5,'Desembolso - LV'!$A$5:$E$28,2,FALSE)</f>
        <v>-6699461.3081104234</v>
      </c>
      <c r="Z9" s="62">
        <f>-VLOOKUP(Z5,'Desembolso - LV'!$A$5:$E$28,2,FALSE)</f>
        <v>-5102216.0552959908</v>
      </c>
      <c r="AA9" s="62">
        <f>-VLOOKUP(AA5,'Desembolso - LV'!$A$5:$E$28,2,FALSE)</f>
        <v>-3487869.1998127974</v>
      </c>
      <c r="AB9" s="62">
        <f>-VLOOKUP(AB5,'Desembolso - LV'!$A$5:$E$28,2,FALSE)</f>
        <v>-2393510.2398715345</v>
      </c>
      <c r="AC9" s="62">
        <f>-VLOOKUP(AC5,'Desembolso - LV'!$A$5:$E$28,2,FALSE)</f>
        <v>-1139157.2799388587</v>
      </c>
      <c r="AD9" s="62">
        <f>-VLOOKUP(AD5,'Desembolso - LV'!$A$5:$E$28,2,FALSE)</f>
        <v>-575978.3999690857</v>
      </c>
      <c r="AE9" s="62">
        <f>-VLOOKUP(AE5,'Desembolso - LV'!$A$5:$E$28,2,FALSE)</f>
        <v>-383985.59997939056</v>
      </c>
      <c r="AF9" s="62">
        <f>-VLOOKUP(AF5,'Desembolso - LV'!$A$5:$E$28,2,FALSE)</f>
        <v>-255990.39998626037</v>
      </c>
      <c r="AG9" s="62">
        <f>-VLOOKUP(AG5,'Desembolso - LV'!$A$5:$E$28,2,FALSE)</f>
        <v>-204792.31998900831</v>
      </c>
      <c r="AH9" s="62">
        <f>-VLOOKUP(AH5,'Desembolso - LV'!$A$5:$E$28,2,FALSE)</f>
        <v>-153594.23999175619</v>
      </c>
      <c r="AI9" s="62">
        <f>-VLOOKUP(AI5,'Desembolso - LV'!$A$5:$E$28,2,FALSE)</f>
        <v>-95996.399994847641</v>
      </c>
      <c r="AJ9" s="62">
        <f>-VLOOKUP(AJ5,'Desembolso - LV'!$A$5:$E$28,2,FALSE)</f>
        <v>-89596.63999519113</v>
      </c>
      <c r="AK9" s="62">
        <f>-VLOOKUP(AK5,'Desembolso - LV'!$A$5:$E$28,2,FALSE)</f>
        <v>-44798.319997595565</v>
      </c>
      <c r="AL9" s="62">
        <v>0</v>
      </c>
      <c r="AM9" s="62">
        <f>IF(AND(AM$5&gt;=Inputs!$D$53,AM$5&lt;Inputs!$D$54),-Inputs!$F$37/Inputs!$E$53,0)</f>
        <v>0</v>
      </c>
      <c r="AN9" s="62">
        <f>IF(AND(AN$5&gt;=Inputs!$D$53,AN$5&lt;Inputs!$D$54),-Inputs!$F$37/Inputs!$E$53,0)</f>
        <v>0</v>
      </c>
      <c r="AO9" s="62">
        <f>IF(AND(AO$5&gt;=Inputs!$D$53,AO$5&lt;Inputs!$D$54),-Inputs!$F$37/Inputs!$E$53,0)</f>
        <v>0</v>
      </c>
      <c r="AP9" s="62">
        <f>IF(AND(AP$5&gt;=Inputs!$D$53,AP$5&lt;Inputs!$D$54),-Inputs!$F$37/Inputs!$E$53,0)</f>
        <v>0</v>
      </c>
      <c r="AQ9" s="62">
        <f>IF(AND(AQ$5&gt;=Inputs!$D$53,AQ$5&lt;Inputs!$D$54),-Inputs!$F$37/Inputs!$E$53,0)</f>
        <v>0</v>
      </c>
      <c r="AR9" s="62">
        <f>IF(AND(AR$5&gt;=Inputs!$D$53,AR$5&lt;Inputs!$D$54),-Inputs!$F$37/Inputs!$E$53,0)</f>
        <v>0</v>
      </c>
      <c r="AS9" s="62">
        <f>IF(AND(AS$5&gt;=Inputs!$D$53,AS$5&lt;Inputs!$D$54),-Inputs!$F$37/Inputs!$E$53,0)</f>
        <v>0</v>
      </c>
      <c r="AT9" s="62">
        <f>IF(AND(AT$5&gt;=Inputs!$D$53,AT$5&lt;Inputs!$D$54),-Inputs!$F$37/Inputs!$E$53,0)</f>
        <v>0</v>
      </c>
      <c r="AU9" s="62">
        <f>IF(AND(AU$5&gt;=Inputs!$D$53,AU$5&lt;Inputs!$D$54),-Inputs!$F$37/Inputs!$E$53,0)</f>
        <v>0</v>
      </c>
      <c r="AV9" s="62">
        <f>IF(AND(AV$5&gt;=Inputs!$D$53,AV$5&lt;Inputs!$D$54),-Inputs!$F$37/Inputs!$E$53,0)</f>
        <v>0</v>
      </c>
      <c r="AW9" s="62">
        <f>IF(AND(AW$5&gt;=Inputs!$D$53,AW$5&lt;Inputs!$D$54),-Inputs!$F$37/Inputs!$E$53,0)</f>
        <v>0</v>
      </c>
      <c r="AX9" s="62">
        <f>IF(AND(AX$5&gt;=Inputs!$D$53,AX$5&lt;Inputs!$D$54),-Inputs!$F$37/Inputs!$E$53,0)</f>
        <v>0</v>
      </c>
      <c r="AY9" s="62">
        <f>IF(AND(AY$5&gt;=Inputs!$D$53,AY$5&lt;Inputs!$D$54),-Inputs!$F$37/Inputs!$E$53,0)</f>
        <v>0</v>
      </c>
      <c r="AZ9" s="62">
        <f>IF(AND(AZ$5&gt;=Inputs!$D$53,AZ$5&lt;Inputs!$D$54),-Inputs!$F$37/Inputs!$E$53,0)</f>
        <v>0</v>
      </c>
      <c r="BA9" s="62">
        <f>IF(AND(BA$5&gt;=Inputs!$D$53,BA$5&lt;Inputs!$D$54),-Inputs!$F$37/Inputs!$E$53,0)</f>
        <v>0</v>
      </c>
      <c r="BB9" s="62">
        <f>IF(AND(BB$5&gt;=Inputs!$D$53,BB$5&lt;Inputs!$D$54),-Inputs!$F$37/Inputs!$E$53,0)</f>
        <v>0</v>
      </c>
      <c r="BC9" s="62">
        <f>IF(AND(BC$5&gt;=Inputs!$D$53,BC$5&lt;Inputs!$D$54),-Inputs!$F$37/Inputs!$E$53,0)</f>
        <v>0</v>
      </c>
      <c r="BD9" s="62">
        <f>IF(AND(BD$5&gt;=Inputs!$D$53,BD$5&lt;Inputs!$D$54),-Inputs!$F$37/Inputs!$E$53,0)</f>
        <v>0</v>
      </c>
      <c r="BE9" s="62">
        <f>IF(AND(BE$5&gt;=Inputs!$D$53,BE$5&lt;Inputs!$D$54),-Inputs!$F$37/Inputs!$E$53,0)</f>
        <v>0</v>
      </c>
      <c r="BF9" s="62">
        <f>IF(AND(BF$5&gt;=Inputs!$D$53,BF$5&lt;Inputs!$D$54),-Inputs!$F$37/Inputs!$E$53,0)</f>
        <v>0</v>
      </c>
      <c r="BG9" s="62">
        <f>IF(AND(BG$5&gt;=Inputs!$D$53,BG$5&lt;Inputs!$D$54),-Inputs!$F$37/Inputs!$E$53,0)</f>
        <v>0</v>
      </c>
      <c r="BH9" s="62">
        <f>IF(AND(BH$5&gt;=Inputs!$D$53,BH$5&lt;Inputs!$D$54),-Inputs!$F$37/Inputs!$E$53,0)</f>
        <v>0</v>
      </c>
      <c r="BI9" s="62">
        <f>IF(AND(BI$5&gt;=Inputs!$D$53,BI$5&lt;Inputs!$D$54),-Inputs!$F$37/Inputs!$E$53,0)</f>
        <v>0</v>
      </c>
      <c r="BJ9" s="62">
        <f>IF(AND(BJ$5&gt;=Inputs!$D$53,BJ$5&lt;Inputs!$D$54),-Inputs!$F$37/Inputs!$E$53,0)</f>
        <v>0</v>
      </c>
      <c r="BK9" s="62">
        <f>IF(AND(BK$5&gt;=Inputs!$D$53,BK$5&lt;Inputs!$D$54),-Inputs!$F$37/Inputs!$E$53,0)</f>
        <v>0</v>
      </c>
    </row>
    <row r="10" spans="2:63">
      <c r="B10" s="147" t="s">
        <v>147</v>
      </c>
      <c r="C10" s="969">
        <f t="shared" si="2"/>
        <v>203728160.00000003</v>
      </c>
      <c r="D10" s="62">
        <f t="shared" ref="D10:AI10" si="3">SUM(D11:D13)</f>
        <v>0</v>
      </c>
      <c r="E10" s="62">
        <f t="shared" si="3"/>
        <v>0</v>
      </c>
      <c r="F10" s="62">
        <f t="shared" si="3"/>
        <v>0</v>
      </c>
      <c r="G10" s="62">
        <f t="shared" si="3"/>
        <v>0</v>
      </c>
      <c r="H10" s="62">
        <f t="shared" si="3"/>
        <v>0</v>
      </c>
      <c r="I10" s="62">
        <f t="shared" si="3"/>
        <v>0</v>
      </c>
      <c r="J10" s="62">
        <f t="shared" si="3"/>
        <v>15000000</v>
      </c>
      <c r="K10" s="62">
        <f t="shared" si="3"/>
        <v>0</v>
      </c>
      <c r="L10" s="62">
        <f t="shared" si="3"/>
        <v>0</v>
      </c>
      <c r="M10" s="62">
        <f t="shared" si="3"/>
        <v>0</v>
      </c>
      <c r="N10" s="62">
        <f t="shared" si="3"/>
        <v>37490095.619047612</v>
      </c>
      <c r="O10" s="62">
        <f t="shared" si="3"/>
        <v>2565268.1904761903</v>
      </c>
      <c r="P10" s="62">
        <f t="shared" si="3"/>
        <v>2565268.1904761903</v>
      </c>
      <c r="Q10" s="62">
        <f t="shared" si="3"/>
        <v>2565268.1904761903</v>
      </c>
      <c r="R10" s="62">
        <f t="shared" si="3"/>
        <v>2565268.1904761903</v>
      </c>
      <c r="S10" s="62">
        <f t="shared" si="3"/>
        <v>2565268.1904761903</v>
      </c>
      <c r="T10" s="62">
        <f t="shared" si="3"/>
        <v>2565268.1904761903</v>
      </c>
      <c r="U10" s="62">
        <f t="shared" si="3"/>
        <v>2565268.1904761903</v>
      </c>
      <c r="V10" s="62">
        <f t="shared" si="3"/>
        <v>2565268.1904761903</v>
      </c>
      <c r="W10" s="62">
        <f t="shared" si="3"/>
        <v>7318925.2571428567</v>
      </c>
      <c r="X10" s="62">
        <f t="shared" si="3"/>
        <v>2953321.8285714285</v>
      </c>
      <c r="Y10" s="62">
        <f t="shared" si="3"/>
        <v>2953321.8285714285</v>
      </c>
      <c r="Z10" s="62">
        <f t="shared" si="3"/>
        <v>2953321.8285714285</v>
      </c>
      <c r="AA10" s="62">
        <f t="shared" si="3"/>
        <v>2953321.8285714285</v>
      </c>
      <c r="AB10" s="62">
        <f t="shared" si="3"/>
        <v>2953321.8285714285</v>
      </c>
      <c r="AC10" s="62">
        <f t="shared" si="3"/>
        <v>7965681.3206349202</v>
      </c>
      <c r="AD10" s="62">
        <f t="shared" si="3"/>
        <v>3600077.892063492</v>
      </c>
      <c r="AE10" s="62">
        <f t="shared" si="3"/>
        <v>3600077.892063492</v>
      </c>
      <c r="AF10" s="62">
        <f t="shared" si="3"/>
        <v>3600077.892063492</v>
      </c>
      <c r="AG10" s="62">
        <f t="shared" si="3"/>
        <v>3600077.892063492</v>
      </c>
      <c r="AH10" s="62">
        <f t="shared" si="3"/>
        <v>3600077.892063492</v>
      </c>
      <c r="AI10" s="62">
        <f t="shared" si="3"/>
        <v>13301418.844444443</v>
      </c>
      <c r="AJ10" s="62">
        <f t="shared" ref="AJ10:BK10" si="4">SUM(AJ11:AJ13)</f>
        <v>13301418.844444443</v>
      </c>
      <c r="AK10" s="62">
        <f t="shared" si="4"/>
        <v>13301418.844444443</v>
      </c>
      <c r="AL10" s="62">
        <f t="shared" si="4"/>
        <v>42760057.142857134</v>
      </c>
      <c r="AM10" s="973">
        <f t="shared" si="4"/>
        <v>0</v>
      </c>
      <c r="AN10" s="62">
        <f t="shared" si="4"/>
        <v>0</v>
      </c>
      <c r="AO10" s="62">
        <f t="shared" si="4"/>
        <v>0</v>
      </c>
      <c r="AP10" s="62">
        <f t="shared" si="4"/>
        <v>0</v>
      </c>
      <c r="AQ10" s="62">
        <f t="shared" si="4"/>
        <v>0</v>
      </c>
      <c r="AR10" s="62">
        <f t="shared" si="4"/>
        <v>0</v>
      </c>
      <c r="AS10" s="62">
        <f t="shared" si="4"/>
        <v>0</v>
      </c>
      <c r="AT10" s="62">
        <f t="shared" si="4"/>
        <v>0</v>
      </c>
      <c r="AU10" s="62">
        <f t="shared" si="4"/>
        <v>0</v>
      </c>
      <c r="AV10" s="62">
        <f t="shared" si="4"/>
        <v>0</v>
      </c>
      <c r="AW10" s="62">
        <f t="shared" si="4"/>
        <v>0</v>
      </c>
      <c r="AX10" s="62">
        <f t="shared" si="4"/>
        <v>0</v>
      </c>
      <c r="AY10" s="62">
        <f t="shared" si="4"/>
        <v>0</v>
      </c>
      <c r="AZ10" s="62">
        <f t="shared" si="4"/>
        <v>0</v>
      </c>
      <c r="BA10" s="62">
        <f t="shared" si="4"/>
        <v>0</v>
      </c>
      <c r="BB10" s="62">
        <f t="shared" si="4"/>
        <v>0</v>
      </c>
      <c r="BC10" s="62">
        <f t="shared" si="4"/>
        <v>0</v>
      </c>
      <c r="BD10" s="62">
        <f t="shared" si="4"/>
        <v>0</v>
      </c>
      <c r="BE10" s="62">
        <f t="shared" si="4"/>
        <v>0</v>
      </c>
      <c r="BF10" s="62">
        <f t="shared" si="4"/>
        <v>0</v>
      </c>
      <c r="BG10" s="62">
        <f t="shared" si="4"/>
        <v>0</v>
      </c>
      <c r="BH10" s="62">
        <f t="shared" si="4"/>
        <v>0</v>
      </c>
      <c r="BI10" s="62">
        <f t="shared" si="4"/>
        <v>0</v>
      </c>
      <c r="BJ10" s="62">
        <f t="shared" si="4"/>
        <v>0</v>
      </c>
      <c r="BK10" s="62">
        <f t="shared" si="4"/>
        <v>0</v>
      </c>
    </row>
    <row r="11" spans="2:63">
      <c r="B11" s="192" t="s">
        <v>184</v>
      </c>
      <c r="C11" s="193">
        <f t="shared" si="2"/>
        <v>58656034.285714276</v>
      </c>
      <c r="D11" s="194">
        <f>IF(AND(D$5&gt;=Inputs!$D$52,D$5&lt;Inputs!$D$53),Inputs!$F$43/Inputs!$E$52*Inputs!$F$42*Inputs!$F$52,0)</f>
        <v>0</v>
      </c>
      <c r="E11" s="194">
        <f>IF(AND(E$5&gt;=Inputs!$D$52,E$5&lt;Inputs!$D$53),Inputs!$F$43/Inputs!$E$52*Inputs!$F$42*Inputs!$F$52,0)</f>
        <v>0</v>
      </c>
      <c r="F11" s="194">
        <f>IF(AND(F$5&gt;=Inputs!$D$52,F$5&lt;Inputs!$D$53),Inputs!$F$43/Inputs!$E$52*Inputs!$F$42*Inputs!$F$52,0)</f>
        <v>0</v>
      </c>
      <c r="G11" s="194">
        <f>IF(AND(G$5&gt;=Inputs!$D$52,G$5&lt;Inputs!$D$53),Inputs!$F$43/Inputs!$E$52*Inputs!$F$42*Inputs!$F$52,0)</f>
        <v>0</v>
      </c>
      <c r="H11" s="194">
        <f>IF(AND(H$5&gt;=Inputs!$D$52,H$5&lt;Inputs!$D$53),Inputs!$F$43/Inputs!$E$52*Inputs!$F$42*Inputs!$F$52,0)</f>
        <v>0</v>
      </c>
      <c r="I11" s="194">
        <f>IF(AND(I$5&gt;=Inputs!$D$52,I$5&lt;Inputs!$D$53),Inputs!$F$43/Inputs!$E$52*Inputs!$F$42*Inputs!$F$52,0)</f>
        <v>0</v>
      </c>
      <c r="J11" s="194">
        <v>15000000</v>
      </c>
      <c r="K11" s="194">
        <v>0</v>
      </c>
      <c r="L11" s="194">
        <v>0</v>
      </c>
      <c r="M11" s="194">
        <v>0</v>
      </c>
      <c r="N11" s="194">
        <v>34924827.428571425</v>
      </c>
      <c r="O11" s="194">
        <v>0</v>
      </c>
      <c r="P11" s="194">
        <v>0</v>
      </c>
      <c r="Q11" s="194">
        <v>0</v>
      </c>
      <c r="R11" s="194">
        <v>0</v>
      </c>
      <c r="S11" s="194">
        <v>0</v>
      </c>
      <c r="T11" s="194">
        <v>0</v>
      </c>
      <c r="U11" s="194">
        <v>0</v>
      </c>
      <c r="V11" s="194">
        <v>0</v>
      </c>
      <c r="W11" s="194">
        <v>4365603.4285714282</v>
      </c>
      <c r="X11" s="194">
        <v>0</v>
      </c>
      <c r="Y11" s="194">
        <v>0</v>
      </c>
      <c r="Z11" s="194">
        <v>0</v>
      </c>
      <c r="AA11" s="194">
        <v>0</v>
      </c>
      <c r="AB11" s="194">
        <v>0</v>
      </c>
      <c r="AC11" s="194">
        <v>4365603.4285714282</v>
      </c>
      <c r="AD11" s="194">
        <v>0</v>
      </c>
      <c r="AE11" s="194">
        <v>0</v>
      </c>
      <c r="AF11" s="194">
        <v>0</v>
      </c>
      <c r="AG11" s="194">
        <v>0</v>
      </c>
      <c r="AH11" s="194">
        <v>0</v>
      </c>
      <c r="AI11" s="194">
        <v>0</v>
      </c>
      <c r="AJ11" s="194">
        <v>0</v>
      </c>
      <c r="AK11" s="194">
        <v>0</v>
      </c>
      <c r="AL11" s="194">
        <v>0</v>
      </c>
      <c r="AM11" s="974">
        <f>IF(AND(AM$5&gt;=Inputs!$D$52,AM$5&lt;Inputs!$D$53),Inputs!$F$43/Inputs!$E$52*Inputs!$F$42*Inputs!$F$52,0)</f>
        <v>0</v>
      </c>
      <c r="AN11" s="194">
        <f>IF(AND(AN$5&gt;=Inputs!$D$52,AN$5&lt;Inputs!$D$53),Inputs!$F$43/Inputs!$E$52*Inputs!$F$42*Inputs!$F$52,0)</f>
        <v>0</v>
      </c>
      <c r="AO11" s="194">
        <f>IF(AND(AO$5&gt;=Inputs!$D$52,AO$5&lt;Inputs!$D$53),Inputs!$F$43/Inputs!$E$52*Inputs!$F$42*Inputs!$F$52,0)</f>
        <v>0</v>
      </c>
      <c r="AP11" s="194">
        <f>IF(AND(AP$5&gt;=Inputs!$D$52,AP$5&lt;Inputs!$D$53),Inputs!$F$43/Inputs!$E$52*Inputs!$F$42*Inputs!$F$52,0)</f>
        <v>0</v>
      </c>
      <c r="AQ11" s="194">
        <f>IF(AND(AQ$5&gt;=Inputs!$D$52,AQ$5&lt;Inputs!$D$53),Inputs!$F$43/Inputs!$E$52*Inputs!$F$42*Inputs!$F$52,0)</f>
        <v>0</v>
      </c>
      <c r="AR11" s="194">
        <f>IF(AND(AR$5&gt;=Inputs!$D$52,AR$5&lt;Inputs!$D$53),Inputs!$F$43/Inputs!$E$52*Inputs!$F$42*Inputs!$F$52,0)</f>
        <v>0</v>
      </c>
      <c r="AS11" s="194">
        <f>IF(AND(AS$5&gt;=Inputs!$D$52,AS$5&lt;Inputs!$D$53),Inputs!$F$43/Inputs!$E$52*Inputs!$F$42*Inputs!$F$52,0)</f>
        <v>0</v>
      </c>
      <c r="AT11" s="194">
        <f>IF(AND(AT$5&gt;=Inputs!$D$52,AT$5&lt;Inputs!$D$53),Inputs!$F$43/Inputs!$E$52*Inputs!$F$42*Inputs!$F$52,0)</f>
        <v>0</v>
      </c>
      <c r="AU11" s="194">
        <f>IF(AND(AU$5&gt;=Inputs!$D$52,AU$5&lt;Inputs!$D$53),Inputs!$F$43/Inputs!$E$52*Inputs!$F$42*Inputs!$F$52,0)</f>
        <v>0</v>
      </c>
      <c r="AV11" s="194">
        <f>IF(AND(AV$5&gt;=Inputs!$D$52,AV$5&lt;Inputs!$D$53),Inputs!$F$43/Inputs!$E$52*Inputs!$F$42*Inputs!$F$52,0)</f>
        <v>0</v>
      </c>
      <c r="AW11" s="194">
        <f>IF(AND(AW$5&gt;=Inputs!$D$52,AW$5&lt;Inputs!$D$53),Inputs!$F$43/Inputs!$E$52*Inputs!$F$42*Inputs!$F$52,0)</f>
        <v>0</v>
      </c>
      <c r="AX11" s="194">
        <f>IF(AND(AX$5&gt;=Inputs!$D$52,AX$5&lt;Inputs!$D$53),Inputs!$F$43/Inputs!$E$52*Inputs!$F$42*Inputs!$F$52,0)</f>
        <v>0</v>
      </c>
      <c r="AY11" s="194">
        <f>IF(AND(AY$5&gt;=Inputs!$D$52,AY$5&lt;Inputs!$D$53),Inputs!$F$43/Inputs!$E$52*Inputs!$F$42*Inputs!$F$52,0)</f>
        <v>0</v>
      </c>
      <c r="AZ11" s="194">
        <f>IF(AND(AZ$5&gt;=Inputs!$D$52,AZ$5&lt;Inputs!$D$53),Inputs!$F$43/Inputs!$E$52*Inputs!$F$42*Inputs!$F$52,0)</f>
        <v>0</v>
      </c>
      <c r="BA11" s="194">
        <f>IF(AND(BA$5&gt;=Inputs!$D$52,BA$5&lt;Inputs!$D$53),Inputs!$F$43/Inputs!$E$52*Inputs!$F$42*Inputs!$F$52,0)</f>
        <v>0</v>
      </c>
      <c r="BB11" s="194">
        <f>IF(AND(BB$5&gt;=Inputs!$D$52,BB$5&lt;Inputs!$D$53),Inputs!$F$43/Inputs!$E$52*Inputs!$F$42*Inputs!$F$52,0)</f>
        <v>0</v>
      </c>
      <c r="BC11" s="194">
        <f>IF(AND(BC$5&gt;=Inputs!$D$52,BC$5&lt;Inputs!$D$53),Inputs!$F$43/Inputs!$E$52*Inputs!$F$42*Inputs!$F$52,0)</f>
        <v>0</v>
      </c>
      <c r="BD11" s="194">
        <f>IF(AND(BD$5&gt;=Inputs!$D$52,BD$5&lt;Inputs!$D$53),Inputs!$F$43/Inputs!$E$52*Inputs!$F$42*Inputs!$F$52,0)</f>
        <v>0</v>
      </c>
      <c r="BE11" s="194">
        <f>IF(AND(BE$5&gt;=Inputs!$D$52,BE$5&lt;Inputs!$D$53),Inputs!$F$43/Inputs!$E$52*Inputs!$F$42*Inputs!$F$52,0)</f>
        <v>0</v>
      </c>
      <c r="BF11" s="194">
        <f>IF(AND(BF$5&gt;=Inputs!$D$52,BF$5&lt;Inputs!$D$53),Inputs!$F$43/Inputs!$E$52*Inputs!$F$42*Inputs!$F$52,0)</f>
        <v>0</v>
      </c>
      <c r="BG11" s="194">
        <f>IF(AND(BG$5&gt;=Inputs!$D$52,BG$5&lt;Inputs!$D$53),Inputs!$F$43/Inputs!$E$52*Inputs!$F$42*Inputs!$F$52,0)</f>
        <v>0</v>
      </c>
      <c r="BH11" s="194">
        <f>IF(AND(BH$5&gt;=Inputs!$D$52,BH$5&lt;Inputs!$D$53),Inputs!$F$43/Inputs!$E$52*Inputs!$F$42*Inputs!$F$52,0)</f>
        <v>0</v>
      </c>
      <c r="BI11" s="194">
        <f>IF(AND(BI$5&gt;=Inputs!$D$52,BI$5&lt;Inputs!$D$53),Inputs!$F$43/Inputs!$E$52*Inputs!$F$42*Inputs!$F$52,0)</f>
        <v>0</v>
      </c>
      <c r="BJ11" s="194">
        <f>IF(AND(BJ$5&gt;=Inputs!$D$52,BJ$5&lt;Inputs!$D$53),Inputs!$F$43/Inputs!$E$52*Inputs!$F$42*Inputs!$F$52,0)</f>
        <v>0</v>
      </c>
      <c r="BK11" s="194">
        <f>IF(AND(BK$5&gt;=Inputs!$D$52,BK$5&lt;Inputs!$D$53),Inputs!$F$43/Inputs!$E$52*Inputs!$F$42*Inputs!$F$52,0)</f>
        <v>0</v>
      </c>
    </row>
    <row r="12" spans="2:63">
      <c r="B12" s="192" t="s">
        <v>185</v>
      </c>
      <c r="C12" s="193">
        <f t="shared" si="2"/>
        <v>102312068.57142855</v>
      </c>
      <c r="D12" s="194">
        <f>IF(AND(D$5&gt;=Inputs!$D$53,D$5&lt;Inputs!$D$54),Inputs!$F$43/Inputs!$E$53*Inputs!$F$42*Inputs!$F$53,0)</f>
        <v>0</v>
      </c>
      <c r="E12" s="194">
        <f>IF(AND(E$5&gt;=Inputs!$D$53,E$5&lt;Inputs!$D$54),Inputs!$F$43/Inputs!$E$53*Inputs!$F$42*Inputs!$F$53,0)</f>
        <v>0</v>
      </c>
      <c r="F12" s="194">
        <f>IF(AND(F$5&gt;=Inputs!$D$53,F$5&lt;Inputs!$D$54),Inputs!$F$43/Inputs!$E$53*Inputs!$F$42*Inputs!$F$53,0)</f>
        <v>0</v>
      </c>
      <c r="G12" s="194">
        <f>IF(AND(G$5&gt;=Inputs!$D$53,G$5&lt;Inputs!$D$54),Inputs!$F$43/Inputs!$E$53*Inputs!$F$42*Inputs!$F$53,0)</f>
        <v>0</v>
      </c>
      <c r="H12" s="194">
        <f>IF(AND(H$5&gt;=Inputs!$D$53,H$5&lt;Inputs!$D$54),Inputs!$F$43/Inputs!$E$53*Inputs!$F$42*Inputs!$F$53,0)</f>
        <v>0</v>
      </c>
      <c r="I12" s="194">
        <f>IF(AND(I$5&gt;=Inputs!$D$53,I$5&lt;Inputs!$D$54),Inputs!$F$43/Inputs!$E$53*Inputs!$F$42*Inputs!$F$53,0)</f>
        <v>0</v>
      </c>
      <c r="J12" s="194">
        <v>0</v>
      </c>
      <c r="K12" s="194">
        <v>0</v>
      </c>
      <c r="L12" s="194">
        <v>0</v>
      </c>
      <c r="M12" s="194">
        <v>0</v>
      </c>
      <c r="N12" s="194">
        <v>2565268.1904761903</v>
      </c>
      <c r="O12" s="194">
        <v>2565268.1904761903</v>
      </c>
      <c r="P12" s="194">
        <v>2565268.1904761903</v>
      </c>
      <c r="Q12" s="194">
        <v>2565268.1904761903</v>
      </c>
      <c r="R12" s="194">
        <v>2565268.1904761903</v>
      </c>
      <c r="S12" s="194">
        <v>2565268.1904761903</v>
      </c>
      <c r="T12" s="194">
        <v>2565268.1904761903</v>
      </c>
      <c r="U12" s="194">
        <v>2565268.1904761903</v>
      </c>
      <c r="V12" s="194">
        <v>2565268.1904761903</v>
      </c>
      <c r="W12" s="194">
        <v>2953321.8285714285</v>
      </c>
      <c r="X12" s="194">
        <v>2953321.8285714285</v>
      </c>
      <c r="Y12" s="194">
        <v>2953321.8285714285</v>
      </c>
      <c r="Z12" s="194">
        <v>2953321.8285714285</v>
      </c>
      <c r="AA12" s="194">
        <v>2953321.8285714285</v>
      </c>
      <c r="AB12" s="194">
        <v>2953321.8285714285</v>
      </c>
      <c r="AC12" s="194">
        <v>3600077.892063492</v>
      </c>
      <c r="AD12" s="194">
        <v>3600077.892063492</v>
      </c>
      <c r="AE12" s="194">
        <v>3600077.892063492</v>
      </c>
      <c r="AF12" s="194">
        <v>3600077.892063492</v>
      </c>
      <c r="AG12" s="194">
        <v>3600077.892063492</v>
      </c>
      <c r="AH12" s="194">
        <v>3600077.892063492</v>
      </c>
      <c r="AI12" s="194">
        <v>13301418.844444443</v>
      </c>
      <c r="AJ12" s="194">
        <v>13301418.844444443</v>
      </c>
      <c r="AK12" s="194">
        <v>13301418.844444443</v>
      </c>
      <c r="AL12" s="194">
        <v>0</v>
      </c>
      <c r="AM12" s="974">
        <f>AL12</f>
        <v>0</v>
      </c>
      <c r="AN12" s="194">
        <v>0</v>
      </c>
      <c r="AO12" s="194">
        <f>IF(AND(AO$5&gt;=Inputs!$D$53,AO$5&lt;Inputs!$D$54),Inputs!$F$43/Inputs!$E$53*Inputs!$F$42*Inputs!$F$53,0)</f>
        <v>0</v>
      </c>
      <c r="AP12" s="194">
        <f>IF(AND(AP$5&gt;=Inputs!$D$53,AP$5&lt;Inputs!$D$54),Inputs!$F$43/Inputs!$E$53*Inputs!$F$42*Inputs!$F$53,0)</f>
        <v>0</v>
      </c>
      <c r="AQ12" s="194">
        <f>IF(AND(AQ$5&gt;=Inputs!$D$53,AQ$5&lt;Inputs!$D$54),Inputs!$F$43/Inputs!$E$53*Inputs!$F$42*Inputs!$F$53,0)</f>
        <v>0</v>
      </c>
      <c r="AR12" s="194">
        <f>IF(AND(AR$5&gt;=Inputs!$D$53,AR$5&lt;Inputs!$D$54),Inputs!$F$43/Inputs!$E$53*Inputs!$F$42*Inputs!$F$53,0)</f>
        <v>0</v>
      </c>
      <c r="AS12" s="194">
        <f>IF(AND(AS$5&gt;=Inputs!$D$53,AS$5&lt;Inputs!$D$54),Inputs!$F$43/Inputs!$E$53*Inputs!$F$42*Inputs!$F$53,0)</f>
        <v>0</v>
      </c>
      <c r="AT12" s="194">
        <f>IF(AND(AT$5&gt;=Inputs!$D$53,AT$5&lt;Inputs!$D$54),Inputs!$F$43/Inputs!$E$53*Inputs!$F$42*Inputs!$F$53,0)</f>
        <v>0</v>
      </c>
      <c r="AU12" s="194">
        <f>IF(AND(AU$5&gt;=Inputs!$D$53,AU$5&lt;Inputs!$D$54),Inputs!$F$43/Inputs!$E$53*Inputs!$F$42*Inputs!$F$53,0)</f>
        <v>0</v>
      </c>
      <c r="AV12" s="194">
        <f>IF(AND(AV$5&gt;=Inputs!$D$53,AV$5&lt;Inputs!$D$54),Inputs!$F$43/Inputs!$E$53*Inputs!$F$42*Inputs!$F$53,0)</f>
        <v>0</v>
      </c>
      <c r="AW12" s="194">
        <f>IF(AND(AW$5&gt;=Inputs!$D$53,AW$5&lt;Inputs!$D$54),Inputs!$F$43/Inputs!$E$53*Inputs!$F$42*Inputs!$F$53,0)</f>
        <v>0</v>
      </c>
      <c r="AX12" s="194">
        <f>IF(AND(AX$5&gt;=Inputs!$D$53,AX$5&lt;Inputs!$D$54),Inputs!$F$43/Inputs!$E$53*Inputs!$F$42*Inputs!$F$53,0)</f>
        <v>0</v>
      </c>
      <c r="AY12" s="194">
        <f>IF(AND(AY$5&gt;=Inputs!$D$53,AY$5&lt;Inputs!$D$54),Inputs!$F$43/Inputs!$E$53*Inputs!$F$42*Inputs!$F$53,0)</f>
        <v>0</v>
      </c>
      <c r="AZ12" s="194">
        <f>IF(AND(AZ$5&gt;=Inputs!$D$53,AZ$5&lt;Inputs!$D$54),Inputs!$F$43/Inputs!$E$53*Inputs!$F$42*Inputs!$F$53,0)</f>
        <v>0</v>
      </c>
      <c r="BA12" s="194">
        <f>IF(AND(BA$5&gt;=Inputs!$D$53,BA$5&lt;Inputs!$D$54),Inputs!$F$43/Inputs!$E$53*Inputs!$F$42*Inputs!$F$53,0)</f>
        <v>0</v>
      </c>
      <c r="BB12" s="194">
        <f>IF(AND(BB$5&gt;=Inputs!$D$53,BB$5&lt;Inputs!$D$54),Inputs!$F$43/Inputs!$E$53*Inputs!$F$42*Inputs!$F$53,0)</f>
        <v>0</v>
      </c>
      <c r="BC12" s="194">
        <f>IF(AND(BC$5&gt;=Inputs!$D$53,BC$5&lt;Inputs!$D$54),Inputs!$F$43/Inputs!$E$53*Inputs!$F$42*Inputs!$F$53,0)</f>
        <v>0</v>
      </c>
      <c r="BD12" s="194">
        <f>IF(AND(BD$5&gt;=Inputs!$D$53,BD$5&lt;Inputs!$D$54),Inputs!$F$43/Inputs!$E$53*Inputs!$F$42*Inputs!$F$53,0)</f>
        <v>0</v>
      </c>
      <c r="BE12" s="194">
        <f>IF(AND(BE$5&gt;=Inputs!$D$53,BE$5&lt;Inputs!$D$54),Inputs!$F$43/Inputs!$E$53*Inputs!$F$42*Inputs!$F$53,0)</f>
        <v>0</v>
      </c>
      <c r="BF12" s="194">
        <f>IF(AND(BF$5&gt;=Inputs!$D$53,BF$5&lt;Inputs!$D$54),Inputs!$F$43/Inputs!$E$53*Inputs!$F$42*Inputs!$F$53,0)</f>
        <v>0</v>
      </c>
      <c r="BG12" s="194">
        <f>IF(AND(BG$5&gt;=Inputs!$D$53,BG$5&lt;Inputs!$D$54),Inputs!$F$43/Inputs!$E$53*Inputs!$F$42*Inputs!$F$53,0)</f>
        <v>0</v>
      </c>
      <c r="BH12" s="194">
        <f>IF(AND(BH$5&gt;=Inputs!$D$53,BH$5&lt;Inputs!$D$54),Inputs!$F$43/Inputs!$E$53*Inputs!$F$42*Inputs!$F$53,0)</f>
        <v>0</v>
      </c>
      <c r="BI12" s="194">
        <f>IF(AND(BI$5&gt;=Inputs!$D$53,BI$5&lt;Inputs!$D$54),Inputs!$F$43/Inputs!$E$53*Inputs!$F$42*Inputs!$F$53,0)</f>
        <v>0</v>
      </c>
      <c r="BJ12" s="194">
        <f>IF(AND(BJ$5&gt;=Inputs!$D$53,BJ$5&lt;Inputs!$D$54),Inputs!$F$43/Inputs!$E$53*Inputs!$F$42*Inputs!$F$53,0)</f>
        <v>0</v>
      </c>
      <c r="BK12" s="194">
        <f>IF(AND(BK$5&gt;=Inputs!$D$53,BK$5&lt;Inputs!$D$54),Inputs!$F$43/Inputs!$E$53*Inputs!$F$42*Inputs!$F$53,0)</f>
        <v>0</v>
      </c>
    </row>
    <row r="13" spans="2:63">
      <c r="B13" s="192" t="s">
        <v>186</v>
      </c>
      <c r="C13" s="193">
        <f t="shared" si="2"/>
        <v>42760057.142857134</v>
      </c>
      <c r="D13" s="194">
        <f>IF(D$5=Inputs!$D$54,Inputs!$F$43*(Inputs!$F$54+(Inputs!$F$53+Inputs!$F$52)*(1-Inputs!$F$42)),0)</f>
        <v>0</v>
      </c>
      <c r="E13" s="194">
        <f>IF(E$5=Inputs!$D$54,Inputs!$F$43*(Inputs!$F$54+(Inputs!$F$53+Inputs!$F$52)*(1-Inputs!$F$42)),0)</f>
        <v>0</v>
      </c>
      <c r="F13" s="194">
        <f>IF(F$5=Inputs!$D$54,Inputs!$F$43*(Inputs!$F$54+(Inputs!$F$53+Inputs!$F$52)*(1-Inputs!$F$42)),0)</f>
        <v>0</v>
      </c>
      <c r="G13" s="194">
        <f>IF(G$5=Inputs!$D$54,Inputs!$F$43*(Inputs!$F$54+(Inputs!$F$53+Inputs!$F$52)*(1-Inputs!$F$42)),0)</f>
        <v>0</v>
      </c>
      <c r="H13" s="194">
        <f>IF(H$5=Inputs!$D$54,Inputs!$F$43*(Inputs!$F$54+(Inputs!$F$53+Inputs!$F$52)*(1-Inputs!$F$42)),0)</f>
        <v>0</v>
      </c>
      <c r="I13" s="194">
        <f>IF(I$5=Inputs!$D$54,Inputs!$F$43*(Inputs!$F$54+(Inputs!$F$53+Inputs!$F$52)*(1-Inputs!$F$42)),0)</f>
        <v>0</v>
      </c>
      <c r="J13" s="194">
        <v>0</v>
      </c>
      <c r="K13" s="194">
        <v>0</v>
      </c>
      <c r="L13" s="194">
        <v>0</v>
      </c>
      <c r="M13" s="194">
        <v>0</v>
      </c>
      <c r="N13" s="194">
        <v>0</v>
      </c>
      <c r="O13" s="194">
        <v>0</v>
      </c>
      <c r="P13" s="194">
        <v>0</v>
      </c>
      <c r="Q13" s="194">
        <v>0</v>
      </c>
      <c r="R13" s="194">
        <v>0</v>
      </c>
      <c r="S13" s="194">
        <v>0</v>
      </c>
      <c r="T13" s="194">
        <v>0</v>
      </c>
      <c r="U13" s="194">
        <v>0</v>
      </c>
      <c r="V13" s="194">
        <v>0</v>
      </c>
      <c r="W13" s="194">
        <v>0</v>
      </c>
      <c r="X13" s="194">
        <v>0</v>
      </c>
      <c r="Y13" s="194">
        <v>0</v>
      </c>
      <c r="Z13" s="194">
        <v>0</v>
      </c>
      <c r="AA13" s="194">
        <v>0</v>
      </c>
      <c r="AB13" s="194">
        <v>0</v>
      </c>
      <c r="AC13" s="194">
        <v>0</v>
      </c>
      <c r="AD13" s="194">
        <v>0</v>
      </c>
      <c r="AE13" s="194">
        <v>0</v>
      </c>
      <c r="AF13" s="194">
        <v>0</v>
      </c>
      <c r="AG13" s="194">
        <v>0</v>
      </c>
      <c r="AH13" s="194">
        <v>0</v>
      </c>
      <c r="AI13" s="194">
        <v>0</v>
      </c>
      <c r="AJ13" s="194">
        <v>0</v>
      </c>
      <c r="AK13" s="194">
        <v>0</v>
      </c>
      <c r="AL13" s="194">
        <v>42760057.142857134</v>
      </c>
      <c r="AM13" s="974">
        <v>0</v>
      </c>
      <c r="AN13" s="194">
        <v>0</v>
      </c>
      <c r="AO13" s="194">
        <v>0</v>
      </c>
      <c r="AP13" s="194">
        <f>IF(AP$5=Inputs!$D$54,Inputs!$F$43*(Inputs!$F$54+(Inputs!$F$53+Inputs!$F$52)*(1-Inputs!$F$42)),0)</f>
        <v>0</v>
      </c>
      <c r="AQ13" s="194">
        <f>IF(AQ$5=Inputs!$D$54,Inputs!$F$43*(Inputs!$F$54+(Inputs!$F$53+Inputs!$F$52)*(1-Inputs!$F$42)),0)</f>
        <v>0</v>
      </c>
      <c r="AR13" s="194">
        <f>IF(AR$5=Inputs!$D$54,Inputs!$F$43*(Inputs!$F$54+(Inputs!$F$53+Inputs!$F$52)*(1-Inputs!$F$42)),0)</f>
        <v>0</v>
      </c>
      <c r="AS13" s="194">
        <f>IF(AS$5=Inputs!$D$54,Inputs!$F$43*(Inputs!$F$54+(Inputs!$F$53+Inputs!$F$52)*(1-Inputs!$F$42)),0)</f>
        <v>0</v>
      </c>
      <c r="AT13" s="194">
        <f>IF(AT$5=Inputs!$D$54,Inputs!$F$43*(Inputs!$F$54+(Inputs!$F$53+Inputs!$F$52)*(1-Inputs!$F$42)),0)</f>
        <v>0</v>
      </c>
      <c r="AU13" s="194">
        <f>IF(AU$5=Inputs!$D$54,Inputs!$F$43*(Inputs!$F$54+(Inputs!$F$53+Inputs!$F$52)*(1-Inputs!$F$42)),0)</f>
        <v>0</v>
      </c>
      <c r="AV13" s="194">
        <f>IF(AV$5=Inputs!$D$54,Inputs!$F$43*(Inputs!$F$54+(Inputs!$F$53+Inputs!$F$52)*(1-Inputs!$F$42)),0)</f>
        <v>0</v>
      </c>
      <c r="AW13" s="194">
        <f>IF(AW$5=Inputs!$D$54,Inputs!$F$43*(Inputs!$F$54+(Inputs!$F$53+Inputs!$F$52)*(1-Inputs!$F$42)),0)</f>
        <v>0</v>
      </c>
      <c r="AX13" s="194">
        <f>IF(AX$5=Inputs!$D$54,Inputs!$F$43*(Inputs!$F$54+(Inputs!$F$53+Inputs!$F$52)*(1-Inputs!$F$42)),0)</f>
        <v>0</v>
      </c>
      <c r="AY13" s="194">
        <f>IF(AY$5=Inputs!$D$54,Inputs!$F$43*(Inputs!$F$54+(Inputs!$F$53+Inputs!$F$52)*(1-Inputs!$F$42)),0)</f>
        <v>0</v>
      </c>
      <c r="AZ13" s="194">
        <f>IF(AZ$5=Inputs!$D$54,Inputs!$F$43*(Inputs!$F$54+(Inputs!$F$53+Inputs!$F$52)*(1-Inputs!$F$42)),0)</f>
        <v>0</v>
      </c>
      <c r="BA13" s="194">
        <f>IF(BA$5=Inputs!$D$54,Inputs!$F$43*(Inputs!$F$54+(Inputs!$F$53+Inputs!$F$52)*(1-Inputs!$F$42)),0)</f>
        <v>0</v>
      </c>
      <c r="BB13" s="194">
        <f>IF(BB$5=Inputs!$D$54,Inputs!$F$43*(Inputs!$F$54+(Inputs!$F$53+Inputs!$F$52)*(1-Inputs!$F$42)),0)</f>
        <v>0</v>
      </c>
      <c r="BC13" s="194">
        <f>IF(BC$5=Inputs!$D$54,Inputs!$F$43*(Inputs!$F$54+(Inputs!$F$53+Inputs!$F$52)*(1-Inputs!$F$42)),0)</f>
        <v>0</v>
      </c>
      <c r="BD13" s="194">
        <f>IF(BD$5=Inputs!$D$54,Inputs!$F$43*(Inputs!$F$54+(Inputs!$F$53+Inputs!$F$52)*(1-Inputs!$F$42)),0)</f>
        <v>0</v>
      </c>
      <c r="BE13" s="194">
        <f>IF(BE$5=Inputs!$D$54,Inputs!$F$43*(Inputs!$F$54+(Inputs!$F$53+Inputs!$F$52)*(1-Inputs!$F$42)),0)</f>
        <v>0</v>
      </c>
      <c r="BF13" s="194">
        <f>IF(BF$5=Inputs!$D$54,Inputs!$F$43*(Inputs!$F$54+(Inputs!$F$53+Inputs!$F$52)*(1-Inputs!$F$42)),0)</f>
        <v>0</v>
      </c>
      <c r="BG13" s="194">
        <f>IF(BG$5=Inputs!$D$54,Inputs!$F$43*(Inputs!$F$54+(Inputs!$F$53+Inputs!$F$52)*(1-Inputs!$F$42)),0)</f>
        <v>0</v>
      </c>
      <c r="BH13" s="194">
        <f>IF(BH$5=Inputs!$D$54,Inputs!$F$43*(Inputs!$F$54+(Inputs!$F$53+Inputs!$F$52)*(1-Inputs!$F$42)),0)</f>
        <v>0</v>
      </c>
      <c r="BI13" s="194">
        <f>IF(BI$5=Inputs!$D$54,Inputs!$F$43*(Inputs!$F$54+(Inputs!$F$53+Inputs!$F$52)*(1-Inputs!$F$42)),0)</f>
        <v>0</v>
      </c>
      <c r="BJ13" s="194">
        <f>IF(BJ$5=Inputs!$D$54,Inputs!$F$43*(Inputs!$F$54+(Inputs!$F$53+Inputs!$F$52)*(1-Inputs!$F$42)),0)</f>
        <v>0</v>
      </c>
      <c r="BK13" s="194">
        <f>IF(BK$5=Inputs!$D$54,Inputs!$F$43*(Inputs!$F$54+(Inputs!$F$53+Inputs!$F$52)*(1-Inputs!$F$42)),0)</f>
        <v>0</v>
      </c>
    </row>
    <row r="14" spans="2:63">
      <c r="B14" s="153" t="s">
        <v>148</v>
      </c>
      <c r="C14" s="191">
        <f t="shared" si="2"/>
        <v>-10186407.999999996</v>
      </c>
      <c r="D14" s="62">
        <f>D10*-Inputs!$E$45</f>
        <v>0</v>
      </c>
      <c r="E14" s="62">
        <f>E10*-Inputs!$E$45</f>
        <v>0</v>
      </c>
      <c r="F14" s="62">
        <f>F10*-Inputs!$E$45</f>
        <v>0</v>
      </c>
      <c r="G14" s="62">
        <f>G10*-Inputs!$E$45</f>
        <v>0</v>
      </c>
      <c r="H14" s="62">
        <f>H10*-Inputs!$E$45</f>
        <v>0</v>
      </c>
      <c r="I14" s="62">
        <f>I10*-Inputs!$E$45</f>
        <v>0</v>
      </c>
      <c r="J14" s="62">
        <f>J10*-Inputs!$E$45</f>
        <v>-750000</v>
      </c>
      <c r="K14" s="62">
        <f>K10*-Inputs!$E$45</f>
        <v>0</v>
      </c>
      <c r="L14" s="62">
        <f>L10*-Inputs!$E$45</f>
        <v>0</v>
      </c>
      <c r="M14" s="62">
        <f>M10*-Inputs!$E$45</f>
        <v>0</v>
      </c>
      <c r="N14" s="62">
        <f>N10*-Inputs!$E$45</f>
        <v>-1874504.7809523807</v>
      </c>
      <c r="O14" s="62">
        <f>O10*-Inputs!$E$45</f>
        <v>-128263.40952380952</v>
      </c>
      <c r="P14" s="62">
        <f>P10*-Inputs!$E$45</f>
        <v>-128263.40952380952</v>
      </c>
      <c r="Q14" s="62">
        <f>Q10*-Inputs!$E$45</f>
        <v>-128263.40952380952</v>
      </c>
      <c r="R14" s="62">
        <f>R10*-Inputs!$E$45</f>
        <v>-128263.40952380952</v>
      </c>
      <c r="S14" s="62">
        <f>S10*-Inputs!$E$45</f>
        <v>-128263.40952380952</v>
      </c>
      <c r="T14" s="62">
        <f>T10*-Inputs!$E$45</f>
        <v>-128263.40952380952</v>
      </c>
      <c r="U14" s="62">
        <f>U10*-Inputs!$E$45</f>
        <v>-128263.40952380952</v>
      </c>
      <c r="V14" s="62">
        <f>V10*-Inputs!$E$45</f>
        <v>-128263.40952380952</v>
      </c>
      <c r="W14" s="62">
        <f>W10*-Inputs!$E$45</f>
        <v>-365946.26285714284</v>
      </c>
      <c r="X14" s="62">
        <f>X10*-Inputs!$E$45</f>
        <v>-147666.09142857144</v>
      </c>
      <c r="Y14" s="62">
        <f>Y10*-Inputs!$E$45</f>
        <v>-147666.09142857144</v>
      </c>
      <c r="Z14" s="62">
        <f>Z10*-Inputs!$E$45</f>
        <v>-147666.09142857144</v>
      </c>
      <c r="AA14" s="62">
        <f>AA10*-Inputs!$E$45</f>
        <v>-147666.09142857144</v>
      </c>
      <c r="AB14" s="62">
        <f>AB10*-Inputs!$E$45</f>
        <v>-147666.09142857144</v>
      </c>
      <c r="AC14" s="62">
        <f>AC10*-Inputs!$E$45</f>
        <v>-398284.06603174604</v>
      </c>
      <c r="AD14" s="62">
        <f>AD10*-Inputs!$E$45</f>
        <v>-180003.89460317462</v>
      </c>
      <c r="AE14" s="62">
        <f>AE10*-Inputs!$E$45</f>
        <v>-180003.89460317462</v>
      </c>
      <c r="AF14" s="62">
        <f>AF10*-Inputs!$E$45</f>
        <v>-180003.89460317462</v>
      </c>
      <c r="AG14" s="62">
        <f>AG10*-Inputs!$E$45</f>
        <v>-180003.89460317462</v>
      </c>
      <c r="AH14" s="62">
        <f>AH10*-Inputs!$E$45</f>
        <v>-180003.89460317462</v>
      </c>
      <c r="AI14" s="62">
        <f>AI10*-Inputs!$E$45</f>
        <v>-665070.94222222222</v>
      </c>
      <c r="AJ14" s="62">
        <f>AJ10*-Inputs!$E$45</f>
        <v>-665070.94222222222</v>
      </c>
      <c r="AK14" s="62">
        <f>AK10*-Inputs!$E$45</f>
        <v>-665070.94222222222</v>
      </c>
      <c r="AL14" s="62">
        <f>AL10*-Inputs!$E$45</f>
        <v>-2138002.8571428568</v>
      </c>
      <c r="AM14" s="62">
        <f>AM10*-Inputs!$E$45</f>
        <v>0</v>
      </c>
      <c r="AN14" s="62">
        <f>AN10*-Inputs!$E$45</f>
        <v>0</v>
      </c>
      <c r="AO14" s="62">
        <f>AO10*-Inputs!$E$45</f>
        <v>0</v>
      </c>
      <c r="AP14" s="62">
        <f>AP10*-Inputs!$E$45</f>
        <v>0</v>
      </c>
      <c r="AQ14" s="62">
        <f>AQ10*-Inputs!$E$45</f>
        <v>0</v>
      </c>
      <c r="AR14" s="62">
        <f>AR10*-Inputs!$E$45</f>
        <v>0</v>
      </c>
      <c r="AS14" s="62">
        <f>AS10*-Inputs!$E$45</f>
        <v>0</v>
      </c>
      <c r="AT14" s="62">
        <f>AT10*-Inputs!$E$45</f>
        <v>0</v>
      </c>
      <c r="AU14" s="62">
        <f>AU10*-Inputs!$E$45</f>
        <v>0</v>
      </c>
      <c r="AV14" s="62">
        <f>AV10*-Inputs!$E$45</f>
        <v>0</v>
      </c>
      <c r="AW14" s="62">
        <f>AW10*-Inputs!$E$45</f>
        <v>0</v>
      </c>
      <c r="AX14" s="62">
        <f>AX10*-Inputs!$E$45</f>
        <v>0</v>
      </c>
      <c r="AY14" s="62">
        <f>AY10*-Inputs!$E$45</f>
        <v>0</v>
      </c>
      <c r="AZ14" s="62">
        <f>AZ10*-Inputs!$E$45</f>
        <v>0</v>
      </c>
      <c r="BA14" s="62">
        <f>BA10*-Inputs!$E$45</f>
        <v>0</v>
      </c>
      <c r="BB14" s="62">
        <f>BB10*-Inputs!$E$45</f>
        <v>0</v>
      </c>
      <c r="BC14" s="62">
        <f>BC10*-Inputs!$E$45</f>
        <v>0</v>
      </c>
      <c r="BD14" s="62">
        <f>BD10*-Inputs!$E$45</f>
        <v>0</v>
      </c>
      <c r="BE14" s="62">
        <f>BE10*-Inputs!$E$45</f>
        <v>0</v>
      </c>
      <c r="BF14" s="62">
        <f>BF10*-Inputs!$E$45</f>
        <v>0</v>
      </c>
      <c r="BG14" s="62">
        <f>BG10*-Inputs!$E$45</f>
        <v>0</v>
      </c>
      <c r="BH14" s="62">
        <f>BH10*-Inputs!$E$45</f>
        <v>0</v>
      </c>
      <c r="BI14" s="62">
        <f>BI10*-Inputs!$E$45</f>
        <v>0</v>
      </c>
      <c r="BJ14" s="62">
        <f>BJ10*-Inputs!$E$45</f>
        <v>0</v>
      </c>
      <c r="BK14" s="62">
        <f>BK10*-Inputs!$E$45</f>
        <v>0</v>
      </c>
    </row>
    <row r="15" spans="2:63">
      <c r="B15" s="153" t="s">
        <v>129</v>
      </c>
      <c r="C15" s="191">
        <f t="shared" si="2"/>
        <v>-8149126.3999999994</v>
      </c>
      <c r="D15" s="62">
        <f>D10*-Inputs!$E$46</f>
        <v>0</v>
      </c>
      <c r="E15" s="62">
        <f>E10*-Inputs!$E$46</f>
        <v>0</v>
      </c>
      <c r="F15" s="62">
        <f>F10*-Inputs!$E$46</f>
        <v>0</v>
      </c>
      <c r="G15" s="62">
        <f>G10*-Inputs!$E$46</f>
        <v>0</v>
      </c>
      <c r="H15" s="62">
        <f>H10*-Inputs!$E$46</f>
        <v>0</v>
      </c>
      <c r="I15" s="62">
        <f>I10*-Inputs!$E$46</f>
        <v>0</v>
      </c>
      <c r="J15" s="62">
        <f>J10*-Inputs!$E$46</f>
        <v>-600000</v>
      </c>
      <c r="K15" s="62">
        <f>K10*-Inputs!$E$46</f>
        <v>0</v>
      </c>
      <c r="L15" s="62">
        <f>L10*-Inputs!$E$46</f>
        <v>0</v>
      </c>
      <c r="M15" s="62">
        <f>M10*-Inputs!$E$46</f>
        <v>0</v>
      </c>
      <c r="N15" s="62">
        <f>N10*-Inputs!$E$46</f>
        <v>-1499603.8247619045</v>
      </c>
      <c r="O15" s="62">
        <f>O10*-Inputs!$E$46</f>
        <v>-102610.72761904761</v>
      </c>
      <c r="P15" s="62">
        <f>P10*-Inputs!$E$46</f>
        <v>-102610.72761904761</v>
      </c>
      <c r="Q15" s="62">
        <f>Q10*-Inputs!$E$46</f>
        <v>-102610.72761904761</v>
      </c>
      <c r="R15" s="62">
        <f>R10*-Inputs!$E$46</f>
        <v>-102610.72761904761</v>
      </c>
      <c r="S15" s="62">
        <f>S10*-Inputs!$E$46</f>
        <v>-102610.72761904761</v>
      </c>
      <c r="T15" s="62">
        <f>T10*-Inputs!$E$46</f>
        <v>-102610.72761904761</v>
      </c>
      <c r="U15" s="62">
        <f>U10*-Inputs!$E$46</f>
        <v>-102610.72761904761</v>
      </c>
      <c r="V15" s="62">
        <f>V10*-Inputs!$E$46</f>
        <v>-102610.72761904761</v>
      </c>
      <c r="W15" s="62">
        <f>W10*-Inputs!$E$46</f>
        <v>-292757.01028571429</v>
      </c>
      <c r="X15" s="62">
        <f>X10*-Inputs!$E$46</f>
        <v>-118132.87314285715</v>
      </c>
      <c r="Y15" s="62">
        <f>Y10*-Inputs!$E$46</f>
        <v>-118132.87314285715</v>
      </c>
      <c r="Z15" s="62">
        <f>Z10*-Inputs!$E$46</f>
        <v>-118132.87314285715</v>
      </c>
      <c r="AA15" s="62">
        <f>AA10*-Inputs!$E$46</f>
        <v>-118132.87314285715</v>
      </c>
      <c r="AB15" s="62">
        <f>AB10*-Inputs!$E$46</f>
        <v>-118132.87314285715</v>
      </c>
      <c r="AC15" s="62">
        <f>AC10*-Inputs!$E$46</f>
        <v>-318627.25282539683</v>
      </c>
      <c r="AD15" s="62">
        <f>AD10*-Inputs!$E$46</f>
        <v>-144003.11568253968</v>
      </c>
      <c r="AE15" s="62">
        <f>AE10*-Inputs!$E$46</f>
        <v>-144003.11568253968</v>
      </c>
      <c r="AF15" s="62">
        <f>AF10*-Inputs!$E$46</f>
        <v>-144003.11568253968</v>
      </c>
      <c r="AG15" s="62">
        <f>AG10*-Inputs!$E$46</f>
        <v>-144003.11568253968</v>
      </c>
      <c r="AH15" s="62">
        <f>AH10*-Inputs!$E$46</f>
        <v>-144003.11568253968</v>
      </c>
      <c r="AI15" s="62">
        <f>AI10*-Inputs!$E$46</f>
        <v>-532056.75377777766</v>
      </c>
      <c r="AJ15" s="62">
        <f>AJ10*-Inputs!$E$46</f>
        <v>-532056.75377777766</v>
      </c>
      <c r="AK15" s="62">
        <f>AK10*-Inputs!$E$46</f>
        <v>-532056.75377777766</v>
      </c>
      <c r="AL15" s="62">
        <f>AL10*-Inputs!$E$46</f>
        <v>-1710402.2857142854</v>
      </c>
      <c r="AM15" s="62">
        <f>AM10*-Inputs!$E$46</f>
        <v>0</v>
      </c>
      <c r="AN15" s="62">
        <f>AN10*-Inputs!$E$46</f>
        <v>0</v>
      </c>
      <c r="AO15" s="62">
        <f>AO10*-Inputs!$E$46</f>
        <v>0</v>
      </c>
      <c r="AP15" s="62">
        <f>AP10*-Inputs!$E$46</f>
        <v>0</v>
      </c>
      <c r="AQ15" s="62">
        <f>AQ10*-Inputs!$E$46</f>
        <v>0</v>
      </c>
      <c r="AR15" s="62">
        <f>AR10*-Inputs!$E$46</f>
        <v>0</v>
      </c>
      <c r="AS15" s="62">
        <f>AS10*-Inputs!$E$46</f>
        <v>0</v>
      </c>
      <c r="AT15" s="62">
        <f>AT10*-Inputs!$E$46</f>
        <v>0</v>
      </c>
      <c r="AU15" s="62">
        <f>AU10*-Inputs!$E$46</f>
        <v>0</v>
      </c>
      <c r="AV15" s="62">
        <f>AV10*-Inputs!$E$46</f>
        <v>0</v>
      </c>
      <c r="AW15" s="62">
        <f>AW10*-Inputs!$E$46</f>
        <v>0</v>
      </c>
      <c r="AX15" s="62">
        <f>AX10*-Inputs!$E$46</f>
        <v>0</v>
      </c>
      <c r="AY15" s="62">
        <f>AY10*-Inputs!$E$46</f>
        <v>0</v>
      </c>
      <c r="AZ15" s="62">
        <f>AZ10*-Inputs!$E$46</f>
        <v>0</v>
      </c>
      <c r="BA15" s="62">
        <f>BA10*-Inputs!$E$46</f>
        <v>0</v>
      </c>
      <c r="BB15" s="62">
        <f>BB10*-Inputs!$E$46</f>
        <v>0</v>
      </c>
      <c r="BC15" s="62">
        <f>BC10*-Inputs!$E$46</f>
        <v>0</v>
      </c>
      <c r="BD15" s="62">
        <f>BD10*-Inputs!$E$46</f>
        <v>0</v>
      </c>
      <c r="BE15" s="62">
        <f>BE10*-Inputs!$E$46</f>
        <v>0</v>
      </c>
      <c r="BF15" s="62">
        <f>BF10*-Inputs!$E$46</f>
        <v>0</v>
      </c>
      <c r="BG15" s="62">
        <f>BG10*-Inputs!$E$46</f>
        <v>0</v>
      </c>
      <c r="BH15" s="62">
        <f>BH10*-Inputs!$E$46</f>
        <v>0</v>
      </c>
      <c r="BI15" s="62">
        <f>BI10*-Inputs!$E$46</f>
        <v>0</v>
      </c>
      <c r="BJ15" s="62">
        <f>BJ10*-Inputs!$E$46</f>
        <v>0</v>
      </c>
      <c r="BK15" s="62">
        <f>BK10*-Inputs!$E$46</f>
        <v>0</v>
      </c>
    </row>
    <row r="16" spans="2:63">
      <c r="C16" s="62"/>
      <c r="D16" s="18"/>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8"/>
      <c r="AM16" s="18"/>
      <c r="AN16" s="18"/>
      <c r="AO16" s="18"/>
      <c r="AP16" s="18"/>
      <c r="AQ16" s="18"/>
      <c r="AR16" s="18"/>
      <c r="AS16" s="18"/>
      <c r="AT16" s="18"/>
      <c r="AU16" s="18"/>
      <c r="AV16" s="18"/>
      <c r="AW16" s="18"/>
      <c r="AX16" s="18"/>
      <c r="AY16" s="18"/>
      <c r="AZ16" s="18"/>
      <c r="BA16" s="18"/>
      <c r="BB16" s="18"/>
      <c r="BC16" s="18"/>
      <c r="BD16" s="18"/>
      <c r="BE16" s="18"/>
      <c r="BF16" s="18"/>
      <c r="BG16" s="18"/>
      <c r="BH16" s="18"/>
      <c r="BI16" s="18"/>
      <c r="BJ16" s="18"/>
      <c r="BK16" s="18"/>
    </row>
    <row r="17" spans="2:63">
      <c r="B17" s="154" t="s">
        <v>4</v>
      </c>
      <c r="C17" s="195">
        <f>SUM(D17:BK17)</f>
        <v>71195271.336666629</v>
      </c>
      <c r="D17" s="74">
        <f t="shared" ref="D17:BK17" si="5">SUM(D6:D10,D14:D15)</f>
        <v>-45761696.783333339</v>
      </c>
      <c r="E17" s="74">
        <f t="shared" si="5"/>
        <v>-266753.05333333329</v>
      </c>
      <c r="F17" s="74">
        <f t="shared" si="5"/>
        <v>-266753.05333333329</v>
      </c>
      <c r="G17" s="74">
        <f t="shared" si="5"/>
        <v>-266753.05333333329</v>
      </c>
      <c r="H17" s="74">
        <f t="shared" si="5"/>
        <v>-266753.05333333329</v>
      </c>
      <c r="I17" s="74">
        <f t="shared" si="5"/>
        <v>-266753.05333333329</v>
      </c>
      <c r="J17" s="74">
        <f t="shared" si="5"/>
        <v>13383246.946666667</v>
      </c>
      <c r="K17" s="74">
        <f t="shared" si="5"/>
        <v>-266753.05333333329</v>
      </c>
      <c r="L17" s="74">
        <f t="shared" si="5"/>
        <v>-679093.33333333337</v>
      </c>
      <c r="M17" s="74">
        <f t="shared" si="5"/>
        <v>-945846.38666666672</v>
      </c>
      <c r="N17" s="74">
        <f t="shared" si="5"/>
        <v>31914288.27953317</v>
      </c>
      <c r="O17" s="74">
        <f t="shared" si="5"/>
        <v>291783.0703602116</v>
      </c>
      <c r="P17" s="74">
        <f t="shared" si="5"/>
        <v>1285382.5343005976</v>
      </c>
      <c r="Q17" s="74">
        <f t="shared" si="5"/>
        <v>744817.19556341658</v>
      </c>
      <c r="R17" s="74">
        <f t="shared" si="5"/>
        <v>255516.04415527469</v>
      </c>
      <c r="S17" s="74">
        <f t="shared" si="5"/>
        <v>420304.36730929225</v>
      </c>
      <c r="T17" s="74">
        <f t="shared" si="5"/>
        <v>-1532973.1662409604</v>
      </c>
      <c r="U17" s="74">
        <f t="shared" si="5"/>
        <v>-3593101.2676091525</v>
      </c>
      <c r="V17" s="74">
        <f t="shared" si="5"/>
        <v>-4344687.6475678617</v>
      </c>
      <c r="W17" s="74">
        <f t="shared" si="5"/>
        <v>-1190176.9202964003</v>
      </c>
      <c r="X17" s="74">
        <f t="shared" si="5"/>
        <v>-6428768.1852415185</v>
      </c>
      <c r="Y17" s="74">
        <f t="shared" si="5"/>
        <v>-4011938.4441104233</v>
      </c>
      <c r="Z17" s="74">
        <f t="shared" si="5"/>
        <v>-2414693.1912959907</v>
      </c>
      <c r="AA17" s="74">
        <f t="shared" si="5"/>
        <v>-800346.3358127973</v>
      </c>
      <c r="AB17" s="74">
        <f t="shared" si="5"/>
        <v>294012.62412846542</v>
      </c>
      <c r="AC17" s="74">
        <f t="shared" si="5"/>
        <v>6109612.7218389185</v>
      </c>
      <c r="AD17" s="74">
        <f t="shared" si="5"/>
        <v>2700092.4818086922</v>
      </c>
      <c r="AE17" s="74">
        <f t="shared" si="5"/>
        <v>2892085.2817983874</v>
      </c>
      <c r="AF17" s="74">
        <f t="shared" si="5"/>
        <v>3020080.4817915172</v>
      </c>
      <c r="AG17" s="74">
        <f t="shared" si="5"/>
        <v>3071278.5617887694</v>
      </c>
      <c r="AH17" s="74">
        <f t="shared" si="5"/>
        <v>3122476.6417860216</v>
      </c>
      <c r="AI17" s="74">
        <f t="shared" si="5"/>
        <v>12008294.748449594</v>
      </c>
      <c r="AJ17" s="74">
        <f t="shared" si="5"/>
        <v>12014694.508449251</v>
      </c>
      <c r="AK17" s="74">
        <f t="shared" si="5"/>
        <v>12059492.828446846</v>
      </c>
      <c r="AL17" s="74">
        <f t="shared" si="5"/>
        <v>38911651.999999993</v>
      </c>
      <c r="AM17" s="74">
        <f t="shared" si="5"/>
        <v>0</v>
      </c>
      <c r="AN17" s="74">
        <f t="shared" si="5"/>
        <v>0</v>
      </c>
      <c r="AO17" s="74">
        <f t="shared" si="5"/>
        <v>0</v>
      </c>
      <c r="AP17" s="74">
        <f t="shared" si="5"/>
        <v>0</v>
      </c>
      <c r="AQ17" s="74">
        <f t="shared" si="5"/>
        <v>0</v>
      </c>
      <c r="AR17" s="74">
        <f t="shared" si="5"/>
        <v>0</v>
      </c>
      <c r="AS17" s="74">
        <f t="shared" si="5"/>
        <v>0</v>
      </c>
      <c r="AT17" s="74">
        <f t="shared" si="5"/>
        <v>0</v>
      </c>
      <c r="AU17" s="74">
        <f t="shared" si="5"/>
        <v>0</v>
      </c>
      <c r="AV17" s="74">
        <f t="shared" si="5"/>
        <v>0</v>
      </c>
      <c r="AW17" s="74">
        <f t="shared" si="5"/>
        <v>0</v>
      </c>
      <c r="AX17" s="74">
        <f t="shared" si="5"/>
        <v>0</v>
      </c>
      <c r="AY17" s="74">
        <f t="shared" si="5"/>
        <v>0</v>
      </c>
      <c r="AZ17" s="74">
        <f t="shared" si="5"/>
        <v>0</v>
      </c>
      <c r="BA17" s="74">
        <f t="shared" si="5"/>
        <v>0</v>
      </c>
      <c r="BB17" s="74">
        <f t="shared" si="5"/>
        <v>0</v>
      </c>
      <c r="BC17" s="74">
        <f t="shared" si="5"/>
        <v>0</v>
      </c>
      <c r="BD17" s="74">
        <f t="shared" si="5"/>
        <v>0</v>
      </c>
      <c r="BE17" s="74">
        <f t="shared" si="5"/>
        <v>0</v>
      </c>
      <c r="BF17" s="74">
        <f t="shared" si="5"/>
        <v>0</v>
      </c>
      <c r="BG17" s="74">
        <f t="shared" si="5"/>
        <v>0</v>
      </c>
      <c r="BH17" s="74">
        <f t="shared" si="5"/>
        <v>0</v>
      </c>
      <c r="BI17" s="74">
        <f t="shared" si="5"/>
        <v>0</v>
      </c>
      <c r="BJ17" s="74">
        <f t="shared" si="5"/>
        <v>0</v>
      </c>
      <c r="BK17" s="74">
        <f t="shared" si="5"/>
        <v>0</v>
      </c>
    </row>
    <row r="18" spans="2:63" ht="16" thickBot="1">
      <c r="B18" s="155" t="s">
        <v>151</v>
      </c>
      <c r="C18" s="196"/>
      <c r="D18" s="156">
        <f>D17</f>
        <v>-45761696.783333339</v>
      </c>
      <c r="E18" s="156">
        <f t="shared" ref="E18:BK18" si="6">D18+E17</f>
        <v>-46028449.836666673</v>
      </c>
      <c r="F18" s="156">
        <f t="shared" si="6"/>
        <v>-46295202.890000008</v>
      </c>
      <c r="G18" s="156">
        <f t="shared" si="6"/>
        <v>-46561955.943333343</v>
      </c>
      <c r="H18" s="156">
        <f t="shared" si="6"/>
        <v>-46828708.996666677</v>
      </c>
      <c r="I18" s="156">
        <f t="shared" si="6"/>
        <v>-47095462.050000012</v>
      </c>
      <c r="J18" s="156">
        <f t="shared" si="6"/>
        <v>-33712215.103333347</v>
      </c>
      <c r="K18" s="156">
        <f t="shared" si="6"/>
        <v>-33978968.156666681</v>
      </c>
      <c r="L18" s="156">
        <f t="shared" si="6"/>
        <v>-34658061.490000017</v>
      </c>
      <c r="M18" s="156">
        <f t="shared" si="6"/>
        <v>-35603907.87666668</v>
      </c>
      <c r="N18" s="156">
        <f t="shared" si="6"/>
        <v>-3689619.5971335098</v>
      </c>
      <c r="O18" s="156">
        <f t="shared" si="6"/>
        <v>-3397836.5267732982</v>
      </c>
      <c r="P18" s="156">
        <f t="shared" si="6"/>
        <v>-2112453.9924727008</v>
      </c>
      <c r="Q18" s="156">
        <f t="shared" si="6"/>
        <v>-1367636.7969092843</v>
      </c>
      <c r="R18" s="156">
        <f t="shared" si="6"/>
        <v>-1112120.7527540096</v>
      </c>
      <c r="S18" s="156">
        <f t="shared" si="6"/>
        <v>-691816.38544471725</v>
      </c>
      <c r="T18" s="156">
        <f t="shared" si="6"/>
        <v>-2224789.5516856778</v>
      </c>
      <c r="U18" s="156">
        <f t="shared" si="6"/>
        <v>-5817890.8192948308</v>
      </c>
      <c r="V18" s="156">
        <f t="shared" si="6"/>
        <v>-10162578.466862693</v>
      </c>
      <c r="W18" s="156">
        <f t="shared" si="6"/>
        <v>-11352755.387159094</v>
      </c>
      <c r="X18" s="156">
        <f t="shared" si="6"/>
        <v>-17781523.572400615</v>
      </c>
      <c r="Y18" s="156">
        <f t="shared" si="6"/>
        <v>-21793462.016511038</v>
      </c>
      <c r="Z18" s="156">
        <f t="shared" si="6"/>
        <v>-24208155.207807027</v>
      </c>
      <c r="AA18" s="156">
        <f t="shared" si="6"/>
        <v>-25008501.543619823</v>
      </c>
      <c r="AB18" s="156">
        <f t="shared" si="6"/>
        <v>-24714488.919491358</v>
      </c>
      <c r="AC18" s="156">
        <f t="shared" si="6"/>
        <v>-18604876.197652441</v>
      </c>
      <c r="AD18" s="156">
        <f t="shared" si="6"/>
        <v>-15904783.715843748</v>
      </c>
      <c r="AE18" s="156">
        <f t="shared" si="6"/>
        <v>-13012698.434045361</v>
      </c>
      <c r="AF18" s="156">
        <f t="shared" si="6"/>
        <v>-9992617.9522538446</v>
      </c>
      <c r="AG18" s="156">
        <f t="shared" si="6"/>
        <v>-6921339.3904650752</v>
      </c>
      <c r="AH18" s="156">
        <f t="shared" si="6"/>
        <v>-3798862.7486790535</v>
      </c>
      <c r="AI18" s="156">
        <f t="shared" si="6"/>
        <v>8209431.9997705407</v>
      </c>
      <c r="AJ18" s="156">
        <f t="shared" si="6"/>
        <v>20224126.508219793</v>
      </c>
      <c r="AK18" s="156">
        <f t="shared" si="6"/>
        <v>32283619.33666664</v>
      </c>
      <c r="AL18" s="156">
        <f t="shared" si="6"/>
        <v>71195271.336666629</v>
      </c>
      <c r="AM18" s="156">
        <f t="shared" si="6"/>
        <v>71195271.336666629</v>
      </c>
      <c r="AN18" s="156">
        <f t="shared" si="6"/>
        <v>71195271.336666629</v>
      </c>
      <c r="AO18" s="156">
        <f t="shared" si="6"/>
        <v>71195271.336666629</v>
      </c>
      <c r="AP18" s="156">
        <f t="shared" si="6"/>
        <v>71195271.336666629</v>
      </c>
      <c r="AQ18" s="156">
        <f t="shared" si="6"/>
        <v>71195271.336666629</v>
      </c>
      <c r="AR18" s="156">
        <f t="shared" si="6"/>
        <v>71195271.336666629</v>
      </c>
      <c r="AS18" s="156">
        <f t="shared" si="6"/>
        <v>71195271.336666629</v>
      </c>
      <c r="AT18" s="156">
        <f t="shared" si="6"/>
        <v>71195271.336666629</v>
      </c>
      <c r="AU18" s="156">
        <f t="shared" si="6"/>
        <v>71195271.336666629</v>
      </c>
      <c r="AV18" s="156">
        <f t="shared" si="6"/>
        <v>71195271.336666629</v>
      </c>
      <c r="AW18" s="156">
        <f t="shared" si="6"/>
        <v>71195271.336666629</v>
      </c>
      <c r="AX18" s="156">
        <f t="shared" si="6"/>
        <v>71195271.336666629</v>
      </c>
      <c r="AY18" s="156">
        <f t="shared" si="6"/>
        <v>71195271.336666629</v>
      </c>
      <c r="AZ18" s="156">
        <f t="shared" si="6"/>
        <v>71195271.336666629</v>
      </c>
      <c r="BA18" s="156">
        <f t="shared" si="6"/>
        <v>71195271.336666629</v>
      </c>
      <c r="BB18" s="156">
        <f t="shared" si="6"/>
        <v>71195271.336666629</v>
      </c>
      <c r="BC18" s="156">
        <f t="shared" si="6"/>
        <v>71195271.336666629</v>
      </c>
      <c r="BD18" s="156">
        <f t="shared" si="6"/>
        <v>71195271.336666629</v>
      </c>
      <c r="BE18" s="156">
        <f t="shared" si="6"/>
        <v>71195271.336666629</v>
      </c>
      <c r="BF18" s="156">
        <f t="shared" si="6"/>
        <v>71195271.336666629</v>
      </c>
      <c r="BG18" s="156">
        <f t="shared" si="6"/>
        <v>71195271.336666629</v>
      </c>
      <c r="BH18" s="156">
        <f t="shared" si="6"/>
        <v>71195271.336666629</v>
      </c>
      <c r="BI18" s="156">
        <f t="shared" si="6"/>
        <v>71195271.336666629</v>
      </c>
      <c r="BJ18" s="156">
        <f t="shared" si="6"/>
        <v>71195271.336666629</v>
      </c>
      <c r="BK18" s="156">
        <f t="shared" si="6"/>
        <v>71195271.336666629</v>
      </c>
    </row>
    <row r="20" spans="2:63">
      <c r="C20" s="7"/>
      <c r="J20" s="7"/>
      <c r="O20" s="134">
        <f>+O9/$C$9</f>
        <v>3.1916993496211132E-2</v>
      </c>
      <c r="P20" s="134">
        <f t="shared" ref="P20:AL20" si="7">+P9/$C$9</f>
        <v>1.6391419663123862E-2</v>
      </c>
      <c r="Q20" s="134">
        <f t="shared" si="7"/>
        <v>2.483806983027358E-2</v>
      </c>
      <c r="R20" s="134">
        <f t="shared" si="7"/>
        <v>3.2483687031670851E-2</v>
      </c>
      <c r="S20" s="134">
        <f t="shared" si="7"/>
        <v>2.9908772923110255E-2</v>
      </c>
      <c r="T20" s="134">
        <f t="shared" si="7"/>
        <v>6.0429878926308071E-2</v>
      </c>
      <c r="U20" s="134">
        <f t="shared" si="7"/>
        <v>9.2620587661763662E-2</v>
      </c>
      <c r="V20" s="134">
        <f t="shared" si="7"/>
        <v>0.10436456524777797</v>
      </c>
      <c r="W20" s="134">
        <f t="shared" si="7"/>
        <v>0.12266708289523982</v>
      </c>
      <c r="X20" s="134">
        <f t="shared" si="7"/>
        <v>0.14244738942150204</v>
      </c>
      <c r="Y20" s="134">
        <f t="shared" si="7"/>
        <v>0.10468300855204607</v>
      </c>
      <c r="Z20" s="134">
        <f t="shared" si="7"/>
        <v>7.9725115555833198E-2</v>
      </c>
      <c r="AA20" s="134">
        <f t="shared" si="7"/>
        <v>5.4499999997074847E-2</v>
      </c>
      <c r="AB20" s="134">
        <f t="shared" si="7"/>
        <v>3.739999999799265E-2</v>
      </c>
      <c r="AC20" s="134">
        <f t="shared" si="7"/>
        <v>1.7799999999044632E-2</v>
      </c>
      <c r="AD20" s="134">
        <f t="shared" si="7"/>
        <v>8.9999999995169465E-3</v>
      </c>
      <c r="AE20" s="134">
        <f t="shared" si="7"/>
        <v>5.9999999996779652E-3</v>
      </c>
      <c r="AF20" s="134">
        <f t="shared" si="7"/>
        <v>3.9999999997853098E-3</v>
      </c>
      <c r="AG20" s="134">
        <f t="shared" si="7"/>
        <v>3.1999999998282482E-3</v>
      </c>
      <c r="AH20" s="134">
        <f t="shared" si="7"/>
        <v>2.3999999998711857E-3</v>
      </c>
      <c r="AI20" s="134">
        <f t="shared" si="7"/>
        <v>1.4999999999194913E-3</v>
      </c>
      <c r="AJ20" s="134">
        <f t="shared" si="7"/>
        <v>1.3999999999248585E-3</v>
      </c>
      <c r="AK20" s="134">
        <f t="shared" si="7"/>
        <v>6.9999999996242924E-4</v>
      </c>
      <c r="AL20" s="134">
        <f t="shared" si="7"/>
        <v>0</v>
      </c>
    </row>
    <row r="23" spans="2:63" s="944" customFormat="1">
      <c r="D23" s="944">
        <f t="shared" ref="D23:I23" si="8">+D10/$C$10</f>
        <v>0</v>
      </c>
      <c r="E23" s="944">
        <f t="shared" si="8"/>
        <v>0</v>
      </c>
      <c r="F23" s="944">
        <f t="shared" si="8"/>
        <v>0</v>
      </c>
      <c r="G23" s="944">
        <f t="shared" si="8"/>
        <v>0</v>
      </c>
      <c r="H23" s="944">
        <f t="shared" si="8"/>
        <v>0</v>
      </c>
      <c r="I23" s="944">
        <f t="shared" si="8"/>
        <v>0</v>
      </c>
      <c r="J23" s="944">
        <f>+J10/$C$10</f>
        <v>7.3627524049694443E-2</v>
      </c>
      <c r="K23" s="944">
        <f t="shared" ref="K23:BK23" si="9">+K10/$C$10</f>
        <v>0</v>
      </c>
      <c r="L23" s="944">
        <f t="shared" si="9"/>
        <v>0</v>
      </c>
      <c r="M23" s="944">
        <f t="shared" si="9"/>
        <v>0</v>
      </c>
      <c r="N23" s="944">
        <f t="shared" si="9"/>
        <v>0.1840201944544515</v>
      </c>
      <c r="O23" s="944">
        <f t="shared" si="9"/>
        <v>1.2591623025880124E-2</v>
      </c>
      <c r="P23" s="944">
        <f t="shared" si="9"/>
        <v>1.2591623025880124E-2</v>
      </c>
      <c r="Q23" s="944">
        <f t="shared" si="9"/>
        <v>1.2591623025880124E-2</v>
      </c>
      <c r="R23" s="944">
        <f t="shared" si="9"/>
        <v>1.2591623025880124E-2</v>
      </c>
      <c r="S23" s="944">
        <f t="shared" si="9"/>
        <v>1.2591623025880124E-2</v>
      </c>
      <c r="T23" s="944">
        <f t="shared" si="9"/>
        <v>1.2591623025880124E-2</v>
      </c>
      <c r="U23" s="944">
        <f t="shared" si="9"/>
        <v>1.2591623025880124E-2</v>
      </c>
      <c r="V23" s="944">
        <f t="shared" si="9"/>
        <v>1.2591623025880124E-2</v>
      </c>
      <c r="W23" s="944">
        <f t="shared" si="9"/>
        <v>3.5924956359213452E-2</v>
      </c>
      <c r="X23" s="944">
        <f t="shared" si="9"/>
        <v>1.4496384930642028E-2</v>
      </c>
      <c r="Y23" s="944">
        <f t="shared" si="9"/>
        <v>1.4496384930642028E-2</v>
      </c>
      <c r="Z23" s="944">
        <f t="shared" si="9"/>
        <v>1.4496384930642028E-2</v>
      </c>
      <c r="AA23" s="944">
        <f t="shared" si="9"/>
        <v>1.4496384930642028E-2</v>
      </c>
      <c r="AB23" s="944">
        <f t="shared" si="9"/>
        <v>1.4496384930642028E-2</v>
      </c>
      <c r="AC23" s="944">
        <f t="shared" si="9"/>
        <v>3.9099559533816629E-2</v>
      </c>
      <c r="AD23" s="944">
        <f t="shared" si="9"/>
        <v>1.7670988105245203E-2</v>
      </c>
      <c r="AE23" s="944">
        <f t="shared" si="9"/>
        <v>1.7670988105245203E-2</v>
      </c>
      <c r="AF23" s="944">
        <f t="shared" si="9"/>
        <v>1.7670988105245203E-2</v>
      </c>
      <c r="AG23" s="944">
        <f t="shared" si="9"/>
        <v>1.7670988105245203E-2</v>
      </c>
      <c r="AH23" s="944">
        <f t="shared" si="9"/>
        <v>1.7670988105245203E-2</v>
      </c>
      <c r="AI23" s="944">
        <f t="shared" si="9"/>
        <v>6.5290035724292803E-2</v>
      </c>
      <c r="AJ23" s="944">
        <f t="shared" si="9"/>
        <v>6.5290035724292803E-2</v>
      </c>
      <c r="AK23" s="944">
        <f t="shared" si="9"/>
        <v>6.5290035724292803E-2</v>
      </c>
      <c r="AL23" s="944">
        <f t="shared" si="9"/>
        <v>0.20988780904346815</v>
      </c>
      <c r="AM23" s="944">
        <f t="shared" si="9"/>
        <v>0</v>
      </c>
      <c r="AN23" s="944">
        <f t="shared" si="9"/>
        <v>0</v>
      </c>
      <c r="AO23" s="944">
        <f t="shared" si="9"/>
        <v>0</v>
      </c>
      <c r="AP23" s="944">
        <f t="shared" si="9"/>
        <v>0</v>
      </c>
      <c r="AQ23" s="944">
        <f t="shared" si="9"/>
        <v>0</v>
      </c>
      <c r="AR23" s="944">
        <f t="shared" si="9"/>
        <v>0</v>
      </c>
      <c r="AS23" s="944">
        <f t="shared" si="9"/>
        <v>0</v>
      </c>
      <c r="AT23" s="944">
        <f t="shared" si="9"/>
        <v>0</v>
      </c>
      <c r="AU23" s="944">
        <f t="shared" si="9"/>
        <v>0</v>
      </c>
      <c r="AV23" s="944">
        <f t="shared" si="9"/>
        <v>0</v>
      </c>
      <c r="AW23" s="944">
        <f t="shared" si="9"/>
        <v>0</v>
      </c>
      <c r="AX23" s="944">
        <f t="shared" si="9"/>
        <v>0</v>
      </c>
      <c r="AY23" s="944">
        <f t="shared" si="9"/>
        <v>0</v>
      </c>
      <c r="AZ23" s="944">
        <f t="shared" si="9"/>
        <v>0</v>
      </c>
      <c r="BA23" s="944">
        <f t="shared" si="9"/>
        <v>0</v>
      </c>
      <c r="BB23" s="944">
        <f t="shared" si="9"/>
        <v>0</v>
      </c>
      <c r="BC23" s="944">
        <f t="shared" si="9"/>
        <v>0</v>
      </c>
      <c r="BD23" s="944">
        <f t="shared" si="9"/>
        <v>0</v>
      </c>
      <c r="BE23" s="944">
        <f t="shared" si="9"/>
        <v>0</v>
      </c>
      <c r="BF23" s="944">
        <f t="shared" si="9"/>
        <v>0</v>
      </c>
      <c r="BG23" s="944">
        <f t="shared" si="9"/>
        <v>0</v>
      </c>
      <c r="BH23" s="944">
        <f t="shared" si="9"/>
        <v>0</v>
      </c>
      <c r="BI23" s="944">
        <f t="shared" si="9"/>
        <v>0</v>
      </c>
      <c r="BJ23" s="944">
        <f t="shared" si="9"/>
        <v>0</v>
      </c>
      <c r="BK23" s="944">
        <f t="shared" si="9"/>
        <v>0</v>
      </c>
    </row>
    <row r="24" spans="2:63" s="944" customFormat="1">
      <c r="F24" s="944">
        <v>0</v>
      </c>
      <c r="G24" s="944">
        <v>0</v>
      </c>
      <c r="H24" s="944">
        <v>0</v>
      </c>
      <c r="I24" s="944">
        <v>0</v>
      </c>
      <c r="J24" s="944">
        <v>3.800868865108363E-2</v>
      </c>
      <c r="K24" s="944">
        <v>0</v>
      </c>
      <c r="L24" s="944">
        <v>0</v>
      </c>
      <c r="M24" s="944">
        <v>0</v>
      </c>
      <c r="N24" s="944">
        <v>4.8044300089509613E-2</v>
      </c>
      <c r="O24" s="944">
        <v>1.5836953604618179E-3</v>
      </c>
      <c r="P24" s="944">
        <v>4.1492818444099633E-2</v>
      </c>
      <c r="Q24" s="944">
        <v>1.5836953604618179E-3</v>
      </c>
      <c r="R24" s="944">
        <v>4.1492818444099633E-2</v>
      </c>
      <c r="S24" s="944">
        <v>3.864216679526836E-3</v>
      </c>
      <c r="T24" s="944">
        <v>3.864216679526836E-3</v>
      </c>
      <c r="U24" s="944">
        <v>3.864216679526836E-3</v>
      </c>
      <c r="V24" s="944">
        <v>3.864216679526836E-3</v>
      </c>
      <c r="W24" s="944">
        <v>3.864216679526836E-3</v>
      </c>
      <c r="X24" s="944">
        <v>5.8900797846295934E-2</v>
      </c>
      <c r="Y24" s="944">
        <v>8.7293288268655411E-3</v>
      </c>
      <c r="Z24" s="944">
        <v>8.7293288268655411E-3</v>
      </c>
      <c r="AA24" s="944">
        <v>8.7293288268655411E-3</v>
      </c>
      <c r="AB24" s="944">
        <v>8.7293288268655411E-3</v>
      </c>
      <c r="AC24" s="944">
        <v>8.7293288268655411E-3</v>
      </c>
      <c r="AD24" s="944">
        <v>5.9688422338898948E-2</v>
      </c>
      <c r="AE24" s="944">
        <v>1.6168473833408189E-2</v>
      </c>
      <c r="AF24" s="944">
        <v>1.6168473833408189E-2</v>
      </c>
      <c r="AG24" s="944">
        <v>1.6168473833408189E-2</v>
      </c>
      <c r="AH24" s="944">
        <v>2.5811447071693219E-3</v>
      </c>
      <c r="AI24" s="944">
        <v>3.4583683484858206E-2</v>
      </c>
      <c r="AJ24" s="944">
        <v>1.8905099416286208E-2</v>
      </c>
      <c r="AK24" s="944">
        <v>1.8905099416286208E-2</v>
      </c>
      <c r="AL24" s="944">
        <v>1.8905099416286208E-2</v>
      </c>
      <c r="AM24" s="944">
        <v>0.42672596314903904</v>
      </c>
      <c r="AN24" s="944">
        <v>7.7125524842977133E-2</v>
      </c>
      <c r="AO24" s="944">
        <v>0</v>
      </c>
      <c r="AP24" s="944">
        <v>0</v>
      </c>
      <c r="AQ24" s="944">
        <v>0</v>
      </c>
      <c r="AR24" s="944">
        <v>0</v>
      </c>
      <c r="AS24" s="944">
        <v>0</v>
      </c>
      <c r="AT24" s="944">
        <v>0</v>
      </c>
      <c r="AU24" s="944">
        <v>0</v>
      </c>
      <c r="AV24" s="944">
        <v>0</v>
      </c>
      <c r="AW24" s="944">
        <v>0</v>
      </c>
      <c r="AX24" s="944">
        <v>0</v>
      </c>
      <c r="AY24" s="944">
        <v>0</v>
      </c>
      <c r="AZ24" s="944">
        <v>0</v>
      </c>
      <c r="BA24" s="944">
        <v>0</v>
      </c>
      <c r="BB24" s="944">
        <v>0</v>
      </c>
      <c r="BC24" s="944">
        <v>0</v>
      </c>
      <c r="BD24" s="944">
        <v>0</v>
      </c>
      <c r="BE24" s="944">
        <v>0</v>
      </c>
      <c r="BF24" s="944">
        <v>0</v>
      </c>
      <c r="BG24" s="944">
        <v>0</v>
      </c>
      <c r="BH24" s="944">
        <v>0</v>
      </c>
      <c r="BI24" s="944">
        <v>0</v>
      </c>
      <c r="BJ24" s="944">
        <v>0</v>
      </c>
      <c r="BK24" s="944">
        <v>0</v>
      </c>
    </row>
    <row r="25" spans="2:63" s="944" customFormat="1">
      <c r="F25" s="944">
        <v>0</v>
      </c>
      <c r="G25" s="944">
        <v>0</v>
      </c>
      <c r="H25" s="944">
        <v>0</v>
      </c>
      <c r="I25" s="944">
        <v>0</v>
      </c>
      <c r="J25" s="944">
        <v>3.800868865108363E-2</v>
      </c>
      <c r="K25" s="944">
        <v>0</v>
      </c>
      <c r="L25" s="944">
        <v>0</v>
      </c>
      <c r="M25" s="944">
        <v>0</v>
      </c>
      <c r="N25" s="944">
        <v>4.8044300089509613E-2</v>
      </c>
      <c r="O25" s="944">
        <v>1.5836953604618179E-3</v>
      </c>
      <c r="P25" s="944">
        <v>4.1492818444099633E-2</v>
      </c>
      <c r="Q25" s="944">
        <v>1.5836953604618179E-3</v>
      </c>
      <c r="R25" s="944">
        <v>4.1492818444099633E-2</v>
      </c>
      <c r="S25" s="944">
        <v>3.864216679526836E-3</v>
      </c>
      <c r="T25" s="944">
        <v>3.864216679526836E-3</v>
      </c>
      <c r="U25" s="944">
        <v>3.864216679526836E-3</v>
      </c>
      <c r="V25" s="944">
        <v>3.864216679526836E-3</v>
      </c>
      <c r="W25" s="944">
        <v>3.864216679526836E-3</v>
      </c>
      <c r="X25" s="944">
        <v>5.8900797846295934E-2</v>
      </c>
      <c r="Y25" s="944">
        <v>8.7293288268655411E-3</v>
      </c>
      <c r="Z25" s="944">
        <v>8.7293288268655411E-3</v>
      </c>
      <c r="AA25" s="944">
        <v>8.7293288268655411E-3</v>
      </c>
      <c r="AB25" s="944">
        <v>8.7293288268655411E-3</v>
      </c>
      <c r="AC25" s="944">
        <v>8.7293288268655411E-3</v>
      </c>
      <c r="AD25" s="944">
        <v>5.9688422338898948E-2</v>
      </c>
      <c r="AE25" s="944">
        <v>1.6168473833408189E-2</v>
      </c>
      <c r="AF25" s="944">
        <v>1.6168473833408189E-2</v>
      </c>
      <c r="AG25" s="944">
        <v>1.6168473833408189E-2</v>
      </c>
      <c r="AH25" s="944">
        <v>2.5811447071693219E-3</v>
      </c>
      <c r="AI25" s="944">
        <v>3.4583683484858206E-2</v>
      </c>
      <c r="AJ25" s="944">
        <v>1.8905099416286208E-2</v>
      </c>
      <c r="AK25" s="944">
        <v>1.8905099416286208E-2</v>
      </c>
      <c r="AL25" s="944">
        <v>1.8905099416286208E-2</v>
      </c>
      <c r="AM25" s="944">
        <v>0.42672596314903904</v>
      </c>
      <c r="AN25" s="944">
        <v>7.7125524842977133E-2</v>
      </c>
      <c r="AO25" s="944">
        <v>0</v>
      </c>
      <c r="AP25" s="944">
        <v>0</v>
      </c>
      <c r="AQ25" s="944">
        <v>0</v>
      </c>
      <c r="AR25" s="944">
        <v>0</v>
      </c>
      <c r="AS25" s="944">
        <v>0</v>
      </c>
      <c r="AT25" s="944">
        <v>0</v>
      </c>
      <c r="AU25" s="944">
        <v>0</v>
      </c>
      <c r="AV25" s="944">
        <v>0</v>
      </c>
      <c r="AW25" s="944">
        <v>0</v>
      </c>
      <c r="AX25" s="944">
        <v>0</v>
      </c>
      <c r="AY25" s="944">
        <v>0</v>
      </c>
      <c r="AZ25" s="944">
        <v>0</v>
      </c>
      <c r="BA25" s="944">
        <v>0</v>
      </c>
      <c r="BB25" s="944">
        <v>0</v>
      </c>
      <c r="BC25" s="944">
        <v>0</v>
      </c>
      <c r="BD25" s="944">
        <v>0</v>
      </c>
      <c r="BE25" s="944">
        <v>0</v>
      </c>
      <c r="BF25" s="944">
        <v>0</v>
      </c>
      <c r="BG25" s="944">
        <v>0</v>
      </c>
      <c r="BH25" s="944">
        <v>0</v>
      </c>
      <c r="BI25" s="944">
        <v>0</v>
      </c>
      <c r="BJ25" s="944">
        <v>0</v>
      </c>
      <c r="BK25" s="944">
        <v>0</v>
      </c>
    </row>
  </sheetData>
  <pageMargins left="0.7" right="0.7" top="0.75" bottom="0.75" header="0.3" footer="0.3"/>
  <pageSetup orientation="portrait" horizontalDpi="90" verticalDpi="90" r:id="rId1"/>
  <headerFooter>
    <oddFooter>&amp;L&amp;1#&amp;"Calibri"&amp;10&amp;K000000Internal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0AA1A-ED1F-469F-A9C6-D643FDB79EB1}">
  <sheetPr codeName="Planilha6">
    <tabColor rgb="FF00B050"/>
  </sheetPr>
  <dimension ref="C2:H57"/>
  <sheetViews>
    <sheetView showGridLines="0" topLeftCell="A13" zoomScaleNormal="100" workbookViewId="0">
      <selection activeCell="F55" sqref="F55"/>
    </sheetView>
  </sheetViews>
  <sheetFormatPr baseColWidth="10" defaultColWidth="9.1640625" defaultRowHeight="15"/>
  <cols>
    <col min="1" max="1" width="3" style="18" customWidth="1"/>
    <col min="2" max="2" width="9.1640625" style="18"/>
    <col min="3" max="3" width="6.83203125" style="141" customWidth="1"/>
    <col min="4" max="4" width="44.83203125" style="18" bestFit="1" customWidth="1"/>
    <col min="5" max="5" width="14.33203125" style="18" bestFit="1" customWidth="1"/>
    <col min="6" max="6" width="20.5" style="18" bestFit="1" customWidth="1"/>
    <col min="7" max="7" width="10.83203125" style="18" bestFit="1" customWidth="1"/>
    <col min="8" max="8" width="61.33203125" style="18" customWidth="1"/>
    <col min="9" max="9" width="10.5" style="18" bestFit="1" customWidth="1"/>
    <col min="10" max="16384" width="9.1640625" style="18"/>
  </cols>
  <sheetData>
    <row r="2" spans="3:8" ht="29">
      <c r="C2" s="197" t="s">
        <v>692</v>
      </c>
      <c r="D2" s="198"/>
      <c r="E2" s="198"/>
      <c r="F2" s="198"/>
      <c r="G2" s="198"/>
      <c r="H2" s="685" t="s">
        <v>189</v>
      </c>
    </row>
    <row r="3" spans="3:8">
      <c r="C3" s="139" t="s">
        <v>190</v>
      </c>
      <c r="D3" s="140"/>
      <c r="E3" s="140"/>
      <c r="F3" s="140"/>
      <c r="G3" s="140"/>
      <c r="H3" s="140"/>
    </row>
    <row r="5" spans="3:8">
      <c r="D5" s="17" t="s">
        <v>11</v>
      </c>
    </row>
    <row r="6" spans="3:8">
      <c r="D6" s="19" t="s">
        <v>191</v>
      </c>
    </row>
    <row r="7" spans="3:8">
      <c r="D7" s="19" t="s">
        <v>1</v>
      </c>
    </row>
    <row r="8" spans="3:8">
      <c r="D8" s="19" t="s">
        <v>12</v>
      </c>
    </row>
    <row r="9" spans="3:8">
      <c r="D9" s="19" t="s">
        <v>136</v>
      </c>
    </row>
    <row r="10" spans="3:8">
      <c r="H10" s="199"/>
    </row>
    <row r="11" spans="3:8">
      <c r="C11" s="102" t="s">
        <v>192</v>
      </c>
      <c r="D11" s="102" t="s">
        <v>193</v>
      </c>
      <c r="E11" s="200"/>
      <c r="F11" s="201"/>
    </row>
    <row r="12" spans="3:8">
      <c r="D12" s="95" t="s">
        <v>194</v>
      </c>
      <c r="E12" s="202"/>
      <c r="F12" s="203">
        <f>Inputs!F13</f>
        <v>40000000</v>
      </c>
      <c r="H12" s="204" t="s">
        <v>195</v>
      </c>
    </row>
    <row r="13" spans="3:8">
      <c r="D13" s="95" t="s">
        <v>18</v>
      </c>
      <c r="E13" s="205">
        <v>0.03</v>
      </c>
      <c r="F13" s="199">
        <f>E13*F12</f>
        <v>1200000</v>
      </c>
      <c r="H13" s="204" t="s">
        <v>196</v>
      </c>
    </row>
    <row r="14" spans="3:8">
      <c r="D14" s="95" t="s">
        <v>835</v>
      </c>
      <c r="E14" s="205">
        <f>F14/F12</f>
        <v>9.5984868249999994E-2</v>
      </c>
      <c r="F14" s="203">
        <f>SUM(Inputs!Q17:Q18)+Inputs!Q14</f>
        <v>3839394.73</v>
      </c>
      <c r="H14" s="204" t="s">
        <v>197</v>
      </c>
    </row>
    <row r="15" spans="3:8">
      <c r="D15" s="95" t="s">
        <v>198</v>
      </c>
      <c r="E15" s="205">
        <f>F15/F12</f>
        <v>1.3887249999999999E-3</v>
      </c>
      <c r="F15" s="203">
        <f>Inputs!Q16</f>
        <v>55549</v>
      </c>
      <c r="H15" s="204" t="s">
        <v>199</v>
      </c>
    </row>
    <row r="16" spans="3:8">
      <c r="D16" s="95" t="s">
        <v>200</v>
      </c>
      <c r="E16" s="205">
        <v>0.01</v>
      </c>
      <c r="F16" s="203">
        <f>E16*F12</f>
        <v>400000</v>
      </c>
      <c r="H16" s="204" t="s">
        <v>201</v>
      </c>
    </row>
    <row r="17" spans="3:8" ht="16" thickBot="1">
      <c r="D17" s="206" t="s">
        <v>144</v>
      </c>
      <c r="E17" s="207"/>
      <c r="F17" s="208">
        <f>SUM(F12:F16)</f>
        <v>45494943.729999997</v>
      </c>
      <c r="H17" s="204"/>
    </row>
    <row r="19" spans="3:8">
      <c r="C19" s="102" t="s">
        <v>202</v>
      </c>
      <c r="D19" s="102" t="s">
        <v>203</v>
      </c>
      <c r="E19" s="200"/>
      <c r="F19" s="201"/>
    </row>
    <row r="20" spans="3:8">
      <c r="D20" s="18" t="s">
        <v>107</v>
      </c>
      <c r="E20" s="209"/>
      <c r="F20" s="210">
        <f>Inputs!F22</f>
        <v>7589</v>
      </c>
      <c r="H20" s="204" t="s">
        <v>204</v>
      </c>
    </row>
    <row r="21" spans="3:8">
      <c r="D21" s="18" t="s">
        <v>205</v>
      </c>
      <c r="E21" s="203">
        <v>400</v>
      </c>
      <c r="F21" s="199">
        <f>E21*F20</f>
        <v>3035600</v>
      </c>
      <c r="H21" s="204" t="s">
        <v>206</v>
      </c>
    </row>
    <row r="22" spans="3:8">
      <c r="D22" s="18" t="s">
        <v>856</v>
      </c>
      <c r="E22" s="209"/>
      <c r="F22" s="203">
        <v>6267.404576799755</v>
      </c>
      <c r="H22" s="204" t="s">
        <v>207</v>
      </c>
    </row>
    <row r="23" spans="3:8">
      <c r="D23" s="18" t="s">
        <v>208</v>
      </c>
      <c r="E23" s="202"/>
      <c r="F23" s="203">
        <v>250000</v>
      </c>
      <c r="H23" s="204" t="s">
        <v>209</v>
      </c>
    </row>
    <row r="24" spans="3:8">
      <c r="D24" s="18" t="s">
        <v>210</v>
      </c>
      <c r="F24" s="211">
        <v>0.27500000000000002</v>
      </c>
      <c r="H24" s="204" t="s">
        <v>211</v>
      </c>
    </row>
    <row r="25" spans="3:8" ht="16" thickBot="1">
      <c r="D25" s="212" t="s">
        <v>212</v>
      </c>
      <c r="E25" s="207"/>
      <c r="F25" s="208">
        <f>(F20*F22+F23)*(1+F24)+F21</f>
        <v>63997600.000000007</v>
      </c>
      <c r="H25" s="204"/>
    </row>
    <row r="26" spans="3:8">
      <c r="E26" s="209"/>
      <c r="F26" s="199"/>
      <c r="H26" s="204"/>
    </row>
    <row r="27" spans="3:8">
      <c r="C27" s="102" t="s">
        <v>213</v>
      </c>
      <c r="D27" s="102" t="s">
        <v>214</v>
      </c>
      <c r="E27" s="102"/>
      <c r="F27" s="102"/>
    </row>
    <row r="28" spans="3:8">
      <c r="D28" s="141" t="s">
        <v>215</v>
      </c>
      <c r="E28" s="141"/>
      <c r="F28" s="203">
        <f>Inputs!F43</f>
        <v>203728000</v>
      </c>
      <c r="H28" s="204" t="s">
        <v>216</v>
      </c>
    </row>
    <row r="29" spans="3:8">
      <c r="D29" s="95" t="s">
        <v>217</v>
      </c>
      <c r="E29" s="141"/>
      <c r="F29" s="203">
        <f>F28*1%</f>
        <v>2037280</v>
      </c>
      <c r="H29" s="204" t="s">
        <v>218</v>
      </c>
    </row>
    <row r="30" spans="3:8">
      <c r="D30" s="95" t="s">
        <v>219</v>
      </c>
      <c r="E30" s="205">
        <v>0.05</v>
      </c>
      <c r="F30" s="199">
        <f>E30*F28</f>
        <v>10186400</v>
      </c>
    </row>
    <row r="31" spans="3:8">
      <c r="D31" s="141" t="s">
        <v>220</v>
      </c>
      <c r="F31" s="205" t="s">
        <v>682</v>
      </c>
    </row>
    <row r="32" spans="3:8">
      <c r="D32" s="95" t="s">
        <v>221</v>
      </c>
      <c r="E32" s="213">
        <v>0.15</v>
      </c>
      <c r="F32" s="199">
        <f>(F28-F29-F30-F17-F25)*E32*((F28-F29-F30-F17-F25)&gt;0)</f>
        <v>12301766.4405</v>
      </c>
      <c r="H32" s="204" t="s">
        <v>222</v>
      </c>
    </row>
    <row r="33" spans="3:8">
      <c r="D33" s="95" t="s">
        <v>857</v>
      </c>
      <c r="E33" s="214">
        <f>0.04</f>
        <v>0.04</v>
      </c>
      <c r="F33" s="199">
        <f>E33*F28</f>
        <v>8149120</v>
      </c>
      <c r="H33" s="204" t="s">
        <v>223</v>
      </c>
    </row>
    <row r="35" spans="3:8">
      <c r="C35" s="102" t="s">
        <v>224</v>
      </c>
      <c r="D35" s="102" t="s">
        <v>225</v>
      </c>
      <c r="E35" s="102"/>
      <c r="F35" s="102"/>
    </row>
    <row r="36" spans="3:8">
      <c r="E36" s="215" t="s">
        <v>226</v>
      </c>
      <c r="F36" s="215" t="s">
        <v>227</v>
      </c>
    </row>
    <row r="37" spans="3:8">
      <c r="D37" s="141" t="s">
        <v>140</v>
      </c>
      <c r="E37" s="216">
        <f ca="1">EOMONTH(TODAY(),0)+45</f>
        <v>44910</v>
      </c>
      <c r="F37" s="217">
        <v>1</v>
      </c>
      <c r="G37" s="43">
        <f ca="1">EOMONTH(E37,0)</f>
        <v>44926</v>
      </c>
    </row>
    <row r="38" spans="3:8">
      <c r="D38" s="141" t="s">
        <v>127</v>
      </c>
      <c r="E38" s="216">
        <f ca="1">EOMONTH(E37,1)+365</f>
        <v>45322</v>
      </c>
      <c r="F38" s="217">
        <v>24</v>
      </c>
      <c r="G38" s="43">
        <f t="shared" ref="G38:G42" ca="1" si="0">EOMONTH(E38,0)</f>
        <v>45322</v>
      </c>
    </row>
    <row r="39" spans="3:8">
      <c r="D39" s="141" t="s">
        <v>214</v>
      </c>
    </row>
    <row r="40" spans="3:8">
      <c r="C40" s="205">
        <v>0.3</v>
      </c>
      <c r="D40" s="218" t="s">
        <v>33</v>
      </c>
      <c r="E40" s="216">
        <f ca="1">E38-30</f>
        <v>45292</v>
      </c>
      <c r="F40" s="217">
        <v>1</v>
      </c>
      <c r="G40" s="43">
        <f t="shared" ca="1" si="0"/>
        <v>45322</v>
      </c>
    </row>
    <row r="41" spans="3:8">
      <c r="C41" s="205">
        <v>0.6</v>
      </c>
      <c r="D41" s="218" t="s">
        <v>185</v>
      </c>
      <c r="E41" s="216">
        <f ca="1">E38</f>
        <v>45322</v>
      </c>
      <c r="F41" s="217">
        <f>F38</f>
        <v>24</v>
      </c>
      <c r="G41" s="43">
        <f t="shared" ca="1" si="0"/>
        <v>45322</v>
      </c>
    </row>
    <row r="42" spans="3:8">
      <c r="C42" s="213">
        <f>IF(1-C41-C40&lt;0,"Erro!",1-C41-C40)</f>
        <v>0.10000000000000003</v>
      </c>
      <c r="D42" s="218" t="s">
        <v>228</v>
      </c>
      <c r="E42" s="216">
        <f ca="1">EOMONTH(E41,F41)</f>
        <v>46053</v>
      </c>
      <c r="F42" s="217">
        <v>1</v>
      </c>
      <c r="G42" s="43">
        <f t="shared" ca="1" si="0"/>
        <v>46053</v>
      </c>
    </row>
    <row r="43" spans="3:8">
      <c r="C43" s="18"/>
    </row>
    <row r="44" spans="3:8">
      <c r="C44" s="102" t="s">
        <v>229</v>
      </c>
      <c r="D44" s="102" t="s">
        <v>230</v>
      </c>
      <c r="E44" s="102"/>
      <c r="F44" s="102"/>
    </row>
    <row r="45" spans="3:8">
      <c r="D45" s="141"/>
      <c r="E45" s="141"/>
      <c r="F45" s="141"/>
    </row>
    <row r="46" spans="3:8">
      <c r="D46" s="219" t="s">
        <v>231</v>
      </c>
      <c r="E46" s="219"/>
      <c r="F46" s="220">
        <f>F28</f>
        <v>203728000</v>
      </c>
    </row>
    <row r="47" spans="3:8">
      <c r="D47" s="221" t="s">
        <v>232</v>
      </c>
      <c r="E47" s="219"/>
      <c r="F47" s="220">
        <f>-(F29+F30+IF(F31="Pessoa física",F32,F33))</f>
        <v>-20372800</v>
      </c>
      <c r="H47" s="204"/>
    </row>
    <row r="48" spans="3:8">
      <c r="D48" s="222" t="s">
        <v>233</v>
      </c>
      <c r="E48" s="219"/>
      <c r="F48" s="220">
        <f>SUM(F46:F47)</f>
        <v>183355200</v>
      </c>
      <c r="H48" s="204"/>
    </row>
    <row r="49" spans="3:8">
      <c r="D49" s="221" t="s">
        <v>234</v>
      </c>
      <c r="E49" s="219"/>
      <c r="F49" s="220">
        <f>-(F17+F25)</f>
        <v>-109492543.73</v>
      </c>
    </row>
    <row r="50" spans="3:8" ht="16" thickBot="1">
      <c r="D50" s="223" t="s">
        <v>235</v>
      </c>
      <c r="E50" s="223"/>
      <c r="F50" s="224">
        <f>F48+F49</f>
        <v>73862656.269999996</v>
      </c>
      <c r="H50" s="204"/>
    </row>
    <row r="51" spans="3:8">
      <c r="D51" s="225" t="s">
        <v>236</v>
      </c>
      <c r="E51" s="225"/>
      <c r="F51" s="226">
        <f>F50/-F49</f>
        <v>0.67459074155898224</v>
      </c>
    </row>
    <row r="52" spans="3:8">
      <c r="D52" s="225" t="s">
        <v>237</v>
      </c>
      <c r="E52" s="225"/>
      <c r="F52" s="227">
        <f>F50/-F49+1</f>
        <v>1.6745907415589822</v>
      </c>
    </row>
    <row r="54" spans="3:8">
      <c r="C54" s="102" t="s">
        <v>238</v>
      </c>
      <c r="D54" s="102" t="s">
        <v>239</v>
      </c>
      <c r="E54" s="102"/>
      <c r="F54" s="102"/>
    </row>
    <row r="55" spans="3:8">
      <c r="D55" s="18" t="s">
        <v>240</v>
      </c>
      <c r="F55" s="220">
        <f ca="1">-MIN('Fluxo_de_Caixa Casas'!G13:BN13)</f>
        <v>45494943.729999997</v>
      </c>
      <c r="H55" s="204" t="s">
        <v>241</v>
      </c>
    </row>
    <row r="56" spans="3:8">
      <c r="D56" s="18" t="s">
        <v>242</v>
      </c>
      <c r="F56" s="228">
        <f ca="1">XIRR('Fluxo_de_Caixa Casas'!G12:AM12,'Fluxo_de_Caixa Casas'!G4:AM4,)</f>
        <v>0.99360209703445435</v>
      </c>
      <c r="H56" s="204" t="s">
        <v>243</v>
      </c>
    </row>
    <row r="57" spans="3:8">
      <c r="D57" s="18" t="s">
        <v>244</v>
      </c>
      <c r="F57" s="686">
        <f ca="1">IF('Fluxo_de_Caixa Casas'!G13&gt;=0,'Fluxo_de_Caixa Casas'!G3,IF('Fluxo_de_Caixa Casas'!H13&gt;=0,'Fluxo_de_Caixa Casas'!H3,IF('Fluxo_de_Caixa Casas'!I13&gt;=0,'Fluxo_de_Caixa Casas'!I3,IF('Fluxo_de_Caixa Casas'!J13&gt;=0,'Fluxo_de_Caixa Casas'!J3,IF('Fluxo_de_Caixa Casas'!K13&gt;=0,'Fluxo_de_Caixa Casas'!K3,IF('Fluxo_de_Caixa Casas'!L13&gt;=0,'Fluxo_de_Caixa Casas'!L3,IF('Fluxo_de_Caixa Casas'!M13&gt;=0,'Fluxo_de_Caixa Casas'!M3,IF('Fluxo_de_Caixa Casas'!N3&gt;=0,'Fluxo_de_Caixa Casas'!N3,IF('Fluxo_de_Caixa Casas'!O13&gt;=0,'Fluxo_de_Caixa Casas'!O3,IF('Fluxo_de_Caixa Casas'!P13&gt;=0,'Fluxo_de_Caixa Casas'!P3,IF('Fluxo_de_Caixa Casas'!Q13&gt;=0,'Fluxo_de_Caixa Casas'!Q3,IF('Fluxo_de_Caixa Casas'!R13&gt;=0,'Fluxo_de_Caixa Casas'!R3,IF('Fluxo_de_Caixa Casas'!S13&gt;=0,'Fluxo_de_Caixa Casas'!S3,"Erro")))))))))))))+10</f>
        <v>18</v>
      </c>
      <c r="H57" s="204" t="s">
        <v>245</v>
      </c>
    </row>
  </sheetData>
  <dataValidations count="1">
    <dataValidation type="list" allowBlank="1" showInputMessage="1" showErrorMessage="1" sqref="F31" xr:uid="{8F501604-2853-456B-A019-A9FF2CAC2D2B}">
      <formula1>"Pessoa física,Pessoa jurídica"</formula1>
    </dataValidation>
  </dataValidations>
  <pageMargins left="0.7" right="0.7" top="0.75" bottom="0.75" header="0.3" footer="0.3"/>
  <pageSetup orientation="portrait" horizontalDpi="90" verticalDpi="90" r:id="rId1"/>
  <headerFooter>
    <oddFooter>&amp;L&amp;1#&amp;"Calibri"&amp;10&amp;K000000Internal Use Only</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08111-65DB-4F39-84AB-49725FC3EFD5}">
  <sheetPr codeName="Planilha7">
    <tabColor rgb="FF00B050"/>
  </sheetPr>
  <dimension ref="A1:BN13"/>
  <sheetViews>
    <sheetView showGridLines="0" zoomScale="122" workbookViewId="0">
      <selection activeCell="C8" sqref="C8:C10"/>
    </sheetView>
  </sheetViews>
  <sheetFormatPr baseColWidth="10" defaultColWidth="9.1640625" defaultRowHeight="15" outlineLevelCol="1"/>
  <cols>
    <col min="1" max="1" width="9.1640625" style="18"/>
    <col min="2" max="2" width="24.5" style="18" bestFit="1" customWidth="1"/>
    <col min="3" max="3" width="11.83203125" style="18" bestFit="1" customWidth="1" outlineLevel="1"/>
    <col min="4" max="4" width="7.1640625" style="18" customWidth="1" outlineLevel="1"/>
    <col min="5" max="5" width="8.33203125" style="18" customWidth="1" outlineLevel="1"/>
    <col min="6" max="6" width="2.5" style="18" customWidth="1"/>
    <col min="7" max="66" width="11.6640625" style="18" bestFit="1" customWidth="1"/>
    <col min="67" max="16384" width="9.1640625" style="18"/>
  </cols>
  <sheetData>
    <row r="1" spans="1:66">
      <c r="A1" s="229"/>
      <c r="B1" s="229"/>
      <c r="C1" s="229"/>
      <c r="D1" s="229"/>
      <c r="E1" s="229"/>
      <c r="F1" s="229"/>
      <c r="G1" s="229"/>
      <c r="H1" s="229"/>
      <c r="I1" s="229"/>
      <c r="J1" s="229"/>
      <c r="K1" s="229"/>
      <c r="L1" s="229"/>
      <c r="M1" s="229"/>
      <c r="N1" s="229"/>
      <c r="O1" s="229"/>
      <c r="P1" s="229"/>
      <c r="Q1" s="229"/>
      <c r="R1" s="229"/>
      <c r="S1" s="229"/>
      <c r="T1" s="229"/>
      <c r="U1" s="229"/>
      <c r="V1" s="229"/>
      <c r="W1" s="229"/>
      <c r="X1" s="229"/>
      <c r="Y1" s="229"/>
      <c r="Z1" s="229"/>
      <c r="AA1" s="229"/>
      <c r="AB1" s="229"/>
      <c r="AC1" s="229"/>
      <c r="AD1" s="229"/>
      <c r="AE1" s="229"/>
      <c r="AF1" s="229"/>
      <c r="AG1" s="229"/>
      <c r="AH1" s="229"/>
      <c r="AI1" s="229"/>
      <c r="AJ1" s="229"/>
      <c r="AK1" s="229"/>
      <c r="AL1" s="229"/>
      <c r="AM1" s="229"/>
      <c r="AN1" s="229"/>
      <c r="AO1" s="229"/>
      <c r="AP1" s="229"/>
      <c r="AQ1" s="229"/>
      <c r="AR1" s="229"/>
      <c r="AS1" s="229"/>
      <c r="AT1" s="229"/>
      <c r="AU1" s="229"/>
      <c r="AV1" s="229"/>
      <c r="AW1" s="229"/>
      <c r="AX1" s="229"/>
      <c r="AY1" s="229"/>
      <c r="AZ1" s="229"/>
      <c r="BA1" s="229"/>
      <c r="BB1" s="229"/>
      <c r="BC1" s="229"/>
      <c r="BD1" s="229"/>
      <c r="BE1" s="229"/>
      <c r="BF1" s="229"/>
      <c r="BG1" s="229"/>
      <c r="BH1" s="229"/>
      <c r="BI1" s="229"/>
      <c r="BJ1" s="229"/>
      <c r="BK1" s="229"/>
      <c r="BL1" s="229"/>
      <c r="BM1" s="229"/>
      <c r="BN1" s="229"/>
    </row>
    <row r="2" spans="1:66" ht="16" thickBot="1"/>
    <row r="3" spans="1:66" ht="16" thickBot="1">
      <c r="B3" s="963" t="s">
        <v>852</v>
      </c>
      <c r="C3" s="983" t="s">
        <v>854</v>
      </c>
      <c r="D3" s="984"/>
      <c r="G3" s="230">
        <v>1</v>
      </c>
      <c r="H3" s="230">
        <v>2</v>
      </c>
      <c r="I3" s="230">
        <v>3</v>
      </c>
      <c r="J3" s="230">
        <v>4</v>
      </c>
      <c r="K3" s="230">
        <v>5</v>
      </c>
      <c r="L3" s="230">
        <v>6</v>
      </c>
      <c r="M3" s="230">
        <v>7</v>
      </c>
      <c r="N3" s="230">
        <v>8</v>
      </c>
      <c r="O3" s="230">
        <v>9</v>
      </c>
      <c r="P3" s="230">
        <v>10</v>
      </c>
      <c r="Q3" s="230">
        <v>11</v>
      </c>
      <c r="R3" s="230">
        <v>12</v>
      </c>
      <c r="S3" s="230">
        <v>13</v>
      </c>
      <c r="T3" s="230">
        <v>14</v>
      </c>
      <c r="U3" s="230">
        <v>15</v>
      </c>
      <c r="V3" s="230">
        <v>16</v>
      </c>
      <c r="W3" s="230">
        <v>17</v>
      </c>
      <c r="X3" s="230">
        <v>18</v>
      </c>
      <c r="Y3" s="230">
        <v>19</v>
      </c>
      <c r="Z3" s="230">
        <v>20</v>
      </c>
      <c r="AA3" s="230">
        <v>21</v>
      </c>
      <c r="AB3" s="230">
        <v>22</v>
      </c>
      <c r="AC3" s="230">
        <v>23</v>
      </c>
      <c r="AD3" s="230">
        <v>24</v>
      </c>
      <c r="AE3" s="230">
        <v>25</v>
      </c>
      <c r="AF3" s="230">
        <v>26</v>
      </c>
      <c r="AG3" s="230">
        <v>27</v>
      </c>
      <c r="AH3" s="230">
        <v>28</v>
      </c>
      <c r="AI3" s="230">
        <v>29</v>
      </c>
      <c r="AJ3" s="230">
        <v>30</v>
      </c>
      <c r="AK3" s="230">
        <v>31</v>
      </c>
      <c r="AL3" s="230">
        <v>32</v>
      </c>
      <c r="AM3" s="230">
        <v>33</v>
      </c>
      <c r="AN3" s="230">
        <v>34</v>
      </c>
      <c r="AO3" s="230">
        <v>35</v>
      </c>
      <c r="AP3" s="230">
        <v>36</v>
      </c>
      <c r="AQ3" s="230">
        <v>37</v>
      </c>
      <c r="AR3" s="230">
        <v>38</v>
      </c>
      <c r="AS3" s="230">
        <v>39</v>
      </c>
      <c r="AT3" s="230">
        <v>40</v>
      </c>
      <c r="AU3" s="230">
        <v>41</v>
      </c>
      <c r="AV3" s="230">
        <v>42</v>
      </c>
      <c r="AW3" s="230">
        <v>43</v>
      </c>
      <c r="AX3" s="230">
        <v>44</v>
      </c>
      <c r="AY3" s="230">
        <v>45</v>
      </c>
      <c r="AZ3" s="230">
        <v>46</v>
      </c>
      <c r="BA3" s="230">
        <v>47</v>
      </c>
      <c r="BB3" s="230">
        <v>48</v>
      </c>
      <c r="BC3" s="230">
        <v>49</v>
      </c>
      <c r="BD3" s="230">
        <v>50</v>
      </c>
      <c r="BE3" s="230">
        <v>51</v>
      </c>
      <c r="BF3" s="230">
        <v>52</v>
      </c>
      <c r="BG3" s="230">
        <v>53</v>
      </c>
      <c r="BH3" s="230">
        <v>54</v>
      </c>
      <c r="BI3" s="230">
        <v>55</v>
      </c>
      <c r="BJ3" s="230">
        <v>56</v>
      </c>
      <c r="BK3" s="230">
        <v>57</v>
      </c>
      <c r="BL3" s="230">
        <v>58</v>
      </c>
      <c r="BM3" s="230">
        <v>59</v>
      </c>
      <c r="BN3" s="230">
        <v>60</v>
      </c>
    </row>
    <row r="4" spans="1:66">
      <c r="C4" s="231" t="s">
        <v>246</v>
      </c>
      <c r="D4" s="231" t="s">
        <v>3</v>
      </c>
      <c r="E4" s="231" t="s">
        <v>227</v>
      </c>
      <c r="F4" s="231"/>
      <c r="G4" s="232">
        <f ca="1">MIN(Investimento_Casas!E37:E38,Investimento_Casas!E40:E42)</f>
        <v>44910</v>
      </c>
      <c r="H4" s="233">
        <f ca="1">EOMONTH(G4,1)</f>
        <v>44957</v>
      </c>
      <c r="I4" s="233">
        <f t="shared" ref="I4:BN4" ca="1" si="0">EOMONTH(H4,1)</f>
        <v>44985</v>
      </c>
      <c r="J4" s="233">
        <f t="shared" ca="1" si="0"/>
        <v>45016</v>
      </c>
      <c r="K4" s="233">
        <f t="shared" ca="1" si="0"/>
        <v>45046</v>
      </c>
      <c r="L4" s="233">
        <f t="shared" ca="1" si="0"/>
        <v>45077</v>
      </c>
      <c r="M4" s="233">
        <f t="shared" ca="1" si="0"/>
        <v>45107</v>
      </c>
      <c r="N4" s="233">
        <f t="shared" ca="1" si="0"/>
        <v>45138</v>
      </c>
      <c r="O4" s="233">
        <f t="shared" ca="1" si="0"/>
        <v>45169</v>
      </c>
      <c r="P4" s="233">
        <f t="shared" ca="1" si="0"/>
        <v>45199</v>
      </c>
      <c r="Q4" s="233">
        <f t="shared" ca="1" si="0"/>
        <v>45230</v>
      </c>
      <c r="R4" s="233">
        <f t="shared" ca="1" si="0"/>
        <v>45260</v>
      </c>
      <c r="S4" s="233">
        <f t="shared" ca="1" si="0"/>
        <v>45291</v>
      </c>
      <c r="T4" s="233">
        <f t="shared" ca="1" si="0"/>
        <v>45322</v>
      </c>
      <c r="U4" s="233">
        <f t="shared" ca="1" si="0"/>
        <v>45351</v>
      </c>
      <c r="V4" s="233">
        <f t="shared" ca="1" si="0"/>
        <v>45382</v>
      </c>
      <c r="W4" s="233">
        <f t="shared" ca="1" si="0"/>
        <v>45412</v>
      </c>
      <c r="X4" s="233">
        <f t="shared" ca="1" si="0"/>
        <v>45443</v>
      </c>
      <c r="Y4" s="233">
        <f t="shared" ca="1" si="0"/>
        <v>45473</v>
      </c>
      <c r="Z4" s="233">
        <f t="shared" ca="1" si="0"/>
        <v>45504</v>
      </c>
      <c r="AA4" s="233">
        <f t="shared" ca="1" si="0"/>
        <v>45535</v>
      </c>
      <c r="AB4" s="233">
        <f t="shared" ca="1" si="0"/>
        <v>45565</v>
      </c>
      <c r="AC4" s="233">
        <f t="shared" ca="1" si="0"/>
        <v>45596</v>
      </c>
      <c r="AD4" s="233">
        <f t="shared" ca="1" si="0"/>
        <v>45626</v>
      </c>
      <c r="AE4" s="233">
        <f t="shared" ca="1" si="0"/>
        <v>45657</v>
      </c>
      <c r="AF4" s="233">
        <f t="shared" ca="1" si="0"/>
        <v>45688</v>
      </c>
      <c r="AG4" s="233">
        <f t="shared" ca="1" si="0"/>
        <v>45716</v>
      </c>
      <c r="AH4" s="233">
        <f t="shared" ca="1" si="0"/>
        <v>45747</v>
      </c>
      <c r="AI4" s="233">
        <f t="shared" ca="1" si="0"/>
        <v>45777</v>
      </c>
      <c r="AJ4" s="233">
        <f t="shared" ca="1" si="0"/>
        <v>45808</v>
      </c>
      <c r="AK4" s="233">
        <f t="shared" ca="1" si="0"/>
        <v>45838</v>
      </c>
      <c r="AL4" s="233">
        <f t="shared" ca="1" si="0"/>
        <v>45869</v>
      </c>
      <c r="AM4" s="233">
        <f t="shared" ca="1" si="0"/>
        <v>45900</v>
      </c>
      <c r="AN4" s="233">
        <f t="shared" ca="1" si="0"/>
        <v>45930</v>
      </c>
      <c r="AO4" s="233">
        <f t="shared" ca="1" si="0"/>
        <v>45961</v>
      </c>
      <c r="AP4" s="233">
        <f t="shared" ca="1" si="0"/>
        <v>45991</v>
      </c>
      <c r="AQ4" s="233">
        <f t="shared" ca="1" si="0"/>
        <v>46022</v>
      </c>
      <c r="AR4" s="233">
        <f t="shared" ca="1" si="0"/>
        <v>46053</v>
      </c>
      <c r="AS4" s="233">
        <f t="shared" ca="1" si="0"/>
        <v>46081</v>
      </c>
      <c r="AT4" s="233">
        <f t="shared" ca="1" si="0"/>
        <v>46112</v>
      </c>
      <c r="AU4" s="233">
        <f t="shared" ca="1" si="0"/>
        <v>46142</v>
      </c>
      <c r="AV4" s="233">
        <f t="shared" ca="1" si="0"/>
        <v>46173</v>
      </c>
      <c r="AW4" s="233">
        <f t="shared" ca="1" si="0"/>
        <v>46203</v>
      </c>
      <c r="AX4" s="233">
        <f t="shared" ca="1" si="0"/>
        <v>46234</v>
      </c>
      <c r="AY4" s="233">
        <f t="shared" ca="1" si="0"/>
        <v>46265</v>
      </c>
      <c r="AZ4" s="233">
        <f t="shared" ca="1" si="0"/>
        <v>46295</v>
      </c>
      <c r="BA4" s="233">
        <f t="shared" ca="1" si="0"/>
        <v>46326</v>
      </c>
      <c r="BB4" s="233">
        <f t="shared" ca="1" si="0"/>
        <v>46356</v>
      </c>
      <c r="BC4" s="233">
        <f t="shared" ca="1" si="0"/>
        <v>46387</v>
      </c>
      <c r="BD4" s="233">
        <f t="shared" ca="1" si="0"/>
        <v>46418</v>
      </c>
      <c r="BE4" s="233">
        <f t="shared" ca="1" si="0"/>
        <v>46446</v>
      </c>
      <c r="BF4" s="233">
        <f t="shared" ca="1" si="0"/>
        <v>46477</v>
      </c>
      <c r="BG4" s="233">
        <f t="shared" ca="1" si="0"/>
        <v>46507</v>
      </c>
      <c r="BH4" s="233">
        <f t="shared" ca="1" si="0"/>
        <v>46538</v>
      </c>
      <c r="BI4" s="233">
        <f t="shared" ca="1" si="0"/>
        <v>46568</v>
      </c>
      <c r="BJ4" s="233">
        <f t="shared" ca="1" si="0"/>
        <v>46599</v>
      </c>
      <c r="BK4" s="233">
        <f t="shared" ca="1" si="0"/>
        <v>46630</v>
      </c>
      <c r="BL4" s="233">
        <f t="shared" ca="1" si="0"/>
        <v>46660</v>
      </c>
      <c r="BM4" s="233">
        <f t="shared" ca="1" si="0"/>
        <v>46691</v>
      </c>
      <c r="BN4" s="233">
        <f t="shared" ca="1" si="0"/>
        <v>46721</v>
      </c>
    </row>
    <row r="5" spans="1:66">
      <c r="B5" s="234" t="s">
        <v>140</v>
      </c>
      <c r="C5" s="235">
        <f>-Investimento_Casas!F17</f>
        <v>-45494943.729999997</v>
      </c>
      <c r="D5" s="236">
        <f ca="1">Investimento_Casas!E37</f>
        <v>44910</v>
      </c>
      <c r="E5" s="237">
        <f>Investimento_Casas!F37</f>
        <v>1</v>
      </c>
      <c r="F5" s="237"/>
      <c r="G5" s="238">
        <f>-Investimento_Casas!F17</f>
        <v>-45494943.729999997</v>
      </c>
      <c r="H5" s="238">
        <f t="shared" ref="G5:V6" ca="1" si="1">IF(AND(H$4&gt;=$D5,H$4&lt;EOMONTH($D5,$E5)),$C5/$E5,0)</f>
        <v>0</v>
      </c>
      <c r="I5" s="238">
        <f t="shared" ca="1" si="1"/>
        <v>0</v>
      </c>
      <c r="J5" s="238">
        <f t="shared" ca="1" si="1"/>
        <v>0</v>
      </c>
      <c r="K5" s="238">
        <f t="shared" ca="1" si="1"/>
        <v>0</v>
      </c>
      <c r="L5" s="238">
        <f t="shared" ca="1" si="1"/>
        <v>0</v>
      </c>
      <c r="M5" s="238">
        <f t="shared" ca="1" si="1"/>
        <v>0</v>
      </c>
      <c r="N5" s="238">
        <f t="shared" ca="1" si="1"/>
        <v>0</v>
      </c>
      <c r="O5" s="238">
        <f t="shared" ca="1" si="1"/>
        <v>0</v>
      </c>
      <c r="P5" s="238">
        <f t="shared" ca="1" si="1"/>
        <v>0</v>
      </c>
      <c r="Q5" s="238">
        <f t="shared" ca="1" si="1"/>
        <v>0</v>
      </c>
      <c r="R5" s="238">
        <f t="shared" ca="1" si="1"/>
        <v>0</v>
      </c>
      <c r="S5" s="238">
        <f t="shared" ca="1" si="1"/>
        <v>0</v>
      </c>
      <c r="T5" s="238">
        <f t="shared" ca="1" si="1"/>
        <v>0</v>
      </c>
      <c r="U5" s="238">
        <f t="shared" ca="1" si="1"/>
        <v>0</v>
      </c>
      <c r="V5" s="238">
        <f t="shared" ca="1" si="1"/>
        <v>0</v>
      </c>
      <c r="W5" s="238">
        <f t="shared" ref="W5:AL5" ca="1" si="2">IF(AND(W$4&gt;=$D5,W$4&lt;EOMONTH($D5,$E5)),$C5/$E5,0)</f>
        <v>0</v>
      </c>
      <c r="X5" s="238">
        <f t="shared" ca="1" si="2"/>
        <v>0</v>
      </c>
      <c r="Y5" s="238">
        <f t="shared" ca="1" si="2"/>
        <v>0</v>
      </c>
      <c r="Z5" s="238">
        <f t="shared" ca="1" si="2"/>
        <v>0</v>
      </c>
      <c r="AA5" s="238">
        <f t="shared" ca="1" si="2"/>
        <v>0</v>
      </c>
      <c r="AB5" s="238">
        <f t="shared" ca="1" si="2"/>
        <v>0</v>
      </c>
      <c r="AC5" s="238">
        <f t="shared" ca="1" si="2"/>
        <v>0</v>
      </c>
      <c r="AD5" s="238">
        <f t="shared" ca="1" si="2"/>
        <v>0</v>
      </c>
      <c r="AE5" s="238">
        <f t="shared" ca="1" si="2"/>
        <v>0</v>
      </c>
      <c r="AF5" s="238">
        <f t="shared" ca="1" si="2"/>
        <v>0</v>
      </c>
      <c r="AG5" s="238">
        <f t="shared" ca="1" si="2"/>
        <v>0</v>
      </c>
      <c r="AH5" s="238">
        <f t="shared" ca="1" si="2"/>
        <v>0</v>
      </c>
      <c r="AI5" s="238">
        <f t="shared" ca="1" si="2"/>
        <v>0</v>
      </c>
      <c r="AJ5" s="238">
        <f t="shared" ca="1" si="2"/>
        <v>0</v>
      </c>
      <c r="AK5" s="238">
        <f t="shared" ca="1" si="2"/>
        <v>0</v>
      </c>
      <c r="AL5" s="238">
        <f t="shared" ca="1" si="2"/>
        <v>0</v>
      </c>
      <c r="AM5" s="238">
        <f t="shared" ref="AM5:BB6" ca="1" si="3">IF(AND(AM$4&gt;=$D5,AM$4&lt;EOMONTH($D5,$E5)),$C5/$E5,0)</f>
        <v>0</v>
      </c>
      <c r="AN5" s="238">
        <f t="shared" ca="1" si="3"/>
        <v>0</v>
      </c>
      <c r="AO5" s="238">
        <f t="shared" ca="1" si="3"/>
        <v>0</v>
      </c>
      <c r="AP5" s="238">
        <f t="shared" ca="1" si="3"/>
        <v>0</v>
      </c>
      <c r="AQ5" s="238">
        <f t="shared" ca="1" si="3"/>
        <v>0</v>
      </c>
      <c r="AR5" s="238">
        <f t="shared" ca="1" si="3"/>
        <v>0</v>
      </c>
      <c r="AS5" s="238">
        <f t="shared" ca="1" si="3"/>
        <v>0</v>
      </c>
      <c r="AT5" s="238">
        <f t="shared" ca="1" si="3"/>
        <v>0</v>
      </c>
      <c r="AU5" s="238">
        <f t="shared" ca="1" si="3"/>
        <v>0</v>
      </c>
      <c r="AV5" s="238">
        <f t="shared" ca="1" si="3"/>
        <v>0</v>
      </c>
      <c r="AW5" s="238">
        <f t="shared" ca="1" si="3"/>
        <v>0</v>
      </c>
      <c r="AX5" s="238">
        <f t="shared" ca="1" si="3"/>
        <v>0</v>
      </c>
      <c r="AY5" s="238">
        <f t="shared" ca="1" si="3"/>
        <v>0</v>
      </c>
      <c r="AZ5" s="238">
        <f t="shared" ca="1" si="3"/>
        <v>0</v>
      </c>
      <c r="BA5" s="238">
        <f t="shared" ca="1" si="3"/>
        <v>0</v>
      </c>
      <c r="BB5" s="238">
        <f t="shared" ca="1" si="3"/>
        <v>0</v>
      </c>
      <c r="BC5" s="238">
        <f t="shared" ref="BC5:BN6" ca="1" si="4">IF(AND(BC$4&gt;=$D5,BC$4&lt;EOMONTH($D5,$E5)),$C5/$E5,0)</f>
        <v>0</v>
      </c>
      <c r="BD5" s="238">
        <f t="shared" ca="1" si="4"/>
        <v>0</v>
      </c>
      <c r="BE5" s="238">
        <f t="shared" ca="1" si="4"/>
        <v>0</v>
      </c>
      <c r="BF5" s="238">
        <f t="shared" ca="1" si="4"/>
        <v>0</v>
      </c>
      <c r="BG5" s="238">
        <f t="shared" ca="1" si="4"/>
        <v>0</v>
      </c>
      <c r="BH5" s="238">
        <f t="shared" ca="1" si="4"/>
        <v>0</v>
      </c>
      <c r="BI5" s="238">
        <f t="shared" ca="1" si="4"/>
        <v>0</v>
      </c>
      <c r="BJ5" s="238">
        <f t="shared" ca="1" si="4"/>
        <v>0</v>
      </c>
      <c r="BK5" s="238">
        <f t="shared" ca="1" si="4"/>
        <v>0</v>
      </c>
      <c r="BL5" s="238">
        <f t="shared" ca="1" si="4"/>
        <v>0</v>
      </c>
      <c r="BM5" s="238">
        <f t="shared" ca="1" si="4"/>
        <v>0</v>
      </c>
      <c r="BN5" s="238">
        <f t="shared" ca="1" si="4"/>
        <v>0</v>
      </c>
    </row>
    <row r="6" spans="1:66">
      <c r="B6" s="239" t="s">
        <v>127</v>
      </c>
      <c r="C6" s="240">
        <f>-Investimento_Casas!F25</f>
        <v>-63997600.000000007</v>
      </c>
      <c r="D6" s="241">
        <f ca="1">Investimento_Casas!E38</f>
        <v>45322</v>
      </c>
      <c r="E6" s="242">
        <f>Investimento_Casas!F38</f>
        <v>24</v>
      </c>
      <c r="F6" s="242"/>
      <c r="G6" s="243">
        <f t="shared" ca="1" si="1"/>
        <v>0</v>
      </c>
      <c r="H6" s="243">
        <f t="shared" ca="1" si="1"/>
        <v>0</v>
      </c>
      <c r="I6" s="243">
        <f t="shared" ca="1" si="1"/>
        <v>0</v>
      </c>
      <c r="J6" s="243">
        <f t="shared" ca="1" si="1"/>
        <v>0</v>
      </c>
      <c r="K6" s="243">
        <f t="shared" ca="1" si="1"/>
        <v>0</v>
      </c>
      <c r="L6" s="243">
        <f t="shared" ca="1" si="1"/>
        <v>0</v>
      </c>
      <c r="M6" s="243">
        <f t="shared" ca="1" si="1"/>
        <v>0</v>
      </c>
      <c r="N6" s="243">
        <f t="shared" ca="1" si="1"/>
        <v>0</v>
      </c>
      <c r="O6" s="243">
        <f ca="1">-VLOOKUP(O4,'Desembolso - LV'!$A$5:$E$28,2,FALSE)</f>
        <v>-1589576.8577699165</v>
      </c>
      <c r="P6" s="243">
        <f ca="1">-VLOOKUP(P4,'Desembolso - LV'!$A$5:$E$28,2,FALSE)</f>
        <v>-2078878.0091780585</v>
      </c>
      <c r="Q6" s="243">
        <f ca="1">-VLOOKUP(Q4,'Desembolso - LV'!$A$5:$E$28,2,FALSE)</f>
        <v>-1914089.6860240409</v>
      </c>
      <c r="R6" s="243">
        <f ca="1">-VLOOKUP(R4,'Desembolso - LV'!$A$5:$E$28,2,FALSE)</f>
        <v>-3867367.2195742936</v>
      </c>
      <c r="S6" s="243">
        <f ca="1">-VLOOKUP(S4,'Desembolso - LV'!$A$5:$E$28,2,FALSE)</f>
        <v>-5927495.3209424857</v>
      </c>
      <c r="T6" s="243">
        <f ca="1">-VLOOKUP(T4,'Desembolso - LV'!$A$5:$E$28,2,FALSE)</f>
        <v>-6679081.7009011954</v>
      </c>
      <c r="U6" s="243">
        <f ca="1">-VLOOKUP(U4,'Desembolso - LV'!$A$5:$E$28,2,FALSE)</f>
        <v>-7850398.9042964</v>
      </c>
      <c r="V6" s="243">
        <f ca="1">-VLOOKUP(V4,'Desembolso - LV'!$A$5:$E$28,2,FALSE)</f>
        <v>-9116291.0492415186</v>
      </c>
      <c r="W6" s="243">
        <f ca="1">-VLOOKUP(W4,'Desembolso - LV'!$A$5:$E$28,2,FALSE)</f>
        <v>-6699461.3081104234</v>
      </c>
      <c r="X6" s="243">
        <f ca="1">-VLOOKUP(X4,'Desembolso - LV'!$A$5:$E$28,2,FALSE)</f>
        <v>-5102216.0552959908</v>
      </c>
      <c r="Y6" s="243">
        <f ca="1">-VLOOKUP(Y4,'Desembolso - LV'!$A$5:$E$28,2,FALSE)</f>
        <v>-3487869.1998127974</v>
      </c>
      <c r="Z6" s="243">
        <f ca="1">-VLOOKUP(Z4,'Desembolso - LV'!$A$5:$E$28,2,FALSE)</f>
        <v>-2393510.2398715345</v>
      </c>
      <c r="AA6" s="243">
        <f ca="1">-VLOOKUP(AA4,'Desembolso - LV'!$A$5:$E$28,2,FALSE)</f>
        <v>-1139157.2799388587</v>
      </c>
      <c r="AB6" s="243">
        <f ca="1">-VLOOKUP(AB4,'Desembolso - LV'!$A$5:$E$28,2,FALSE)</f>
        <v>-575978.3999690857</v>
      </c>
      <c r="AC6" s="243">
        <f ca="1">-VLOOKUP(AC4,'Desembolso - LV'!$A$5:$E$28,2,FALSE)</f>
        <v>-383985.59997939056</v>
      </c>
      <c r="AD6" s="243">
        <f ca="1">-VLOOKUP(AD4,'Desembolso - LV'!$A$5:$E$28,2,FALSE)</f>
        <v>-255990.39998626037</v>
      </c>
      <c r="AE6" s="243">
        <f ca="1">-VLOOKUP(AE4,'Desembolso - LV'!$A$5:$E$28,2,FALSE)</f>
        <v>-204792.31998900831</v>
      </c>
      <c r="AF6" s="243">
        <f ca="1">-VLOOKUP(AF4,'Desembolso - LV'!$A$5:$E$28,2,FALSE)</f>
        <v>-153594.23999175619</v>
      </c>
      <c r="AG6" s="243">
        <f ca="1">-VLOOKUP(AG4,'Desembolso - LV'!$A$5:$E$28,2,FALSE)</f>
        <v>-95996.399994847641</v>
      </c>
      <c r="AH6" s="243">
        <f ca="1">-VLOOKUP(AH4,'Desembolso - LV'!$A$5:$E$28,2,FALSE)</f>
        <v>-89596.63999519113</v>
      </c>
      <c r="AI6" s="243">
        <f ca="1">-VLOOKUP(AI4,'Desembolso - LV'!$A$5:$E$28,2,FALSE)</f>
        <v>-44798.319997595565</v>
      </c>
      <c r="AJ6" s="243">
        <v>0</v>
      </c>
      <c r="AK6" s="243">
        <v>0</v>
      </c>
      <c r="AL6" s="243">
        <v>0</v>
      </c>
      <c r="AM6" s="243">
        <v>0</v>
      </c>
      <c r="AN6" s="243">
        <v>0</v>
      </c>
      <c r="AO6" s="243">
        <v>0</v>
      </c>
      <c r="AP6" s="243">
        <v>0</v>
      </c>
      <c r="AQ6" s="243">
        <v>0</v>
      </c>
      <c r="AR6" s="243">
        <f t="shared" ca="1" si="3"/>
        <v>0</v>
      </c>
      <c r="AS6" s="243">
        <f t="shared" ca="1" si="3"/>
        <v>0</v>
      </c>
      <c r="AT6" s="243">
        <f t="shared" ca="1" si="3"/>
        <v>0</v>
      </c>
      <c r="AU6" s="243">
        <f t="shared" ca="1" si="3"/>
        <v>0</v>
      </c>
      <c r="AV6" s="243">
        <f t="shared" ca="1" si="3"/>
        <v>0</v>
      </c>
      <c r="AW6" s="243">
        <f t="shared" ca="1" si="3"/>
        <v>0</v>
      </c>
      <c r="AX6" s="243">
        <f t="shared" ca="1" si="3"/>
        <v>0</v>
      </c>
      <c r="AY6" s="243">
        <f t="shared" ca="1" si="3"/>
        <v>0</v>
      </c>
      <c r="AZ6" s="243">
        <f t="shared" ca="1" si="3"/>
        <v>0</v>
      </c>
      <c r="BA6" s="243">
        <f t="shared" ca="1" si="3"/>
        <v>0</v>
      </c>
      <c r="BB6" s="243">
        <f t="shared" ca="1" si="3"/>
        <v>0</v>
      </c>
      <c r="BC6" s="243">
        <f t="shared" ca="1" si="4"/>
        <v>0</v>
      </c>
      <c r="BD6" s="243">
        <f t="shared" ca="1" si="4"/>
        <v>0</v>
      </c>
      <c r="BE6" s="243">
        <f t="shared" ca="1" si="4"/>
        <v>0</v>
      </c>
      <c r="BF6" s="243">
        <f t="shared" ca="1" si="4"/>
        <v>0</v>
      </c>
      <c r="BG6" s="243">
        <f t="shared" ca="1" si="4"/>
        <v>0</v>
      </c>
      <c r="BH6" s="243">
        <f t="shared" ca="1" si="4"/>
        <v>0</v>
      </c>
      <c r="BI6" s="243">
        <f t="shared" ca="1" si="4"/>
        <v>0</v>
      </c>
      <c r="BJ6" s="243">
        <f t="shared" ca="1" si="4"/>
        <v>0</v>
      </c>
      <c r="BK6" s="243">
        <f t="shared" ca="1" si="4"/>
        <v>0</v>
      </c>
      <c r="BL6" s="243">
        <f t="shared" ca="1" si="4"/>
        <v>0</v>
      </c>
      <c r="BM6" s="243">
        <f t="shared" ca="1" si="4"/>
        <v>0</v>
      </c>
      <c r="BN6" s="243">
        <f t="shared" ca="1" si="4"/>
        <v>0</v>
      </c>
    </row>
    <row r="7" spans="1:66">
      <c r="B7" s="141" t="s">
        <v>214</v>
      </c>
      <c r="C7" s="244"/>
      <c r="D7" s="245"/>
      <c r="E7" s="246"/>
      <c r="F7" s="246"/>
      <c r="G7" s="247"/>
      <c r="H7" s="247"/>
      <c r="I7" s="247"/>
      <c r="J7" s="247"/>
      <c r="K7" s="247"/>
      <c r="L7" s="247"/>
      <c r="M7" s="247"/>
      <c r="N7" s="247"/>
      <c r="O7" s="247"/>
      <c r="P7" s="247"/>
      <c r="Q7" s="247"/>
      <c r="R7" s="247"/>
      <c r="S7" s="247"/>
      <c r="T7" s="247"/>
      <c r="U7" s="247"/>
      <c r="V7" s="247"/>
      <c r="W7" s="247"/>
      <c r="X7" s="247"/>
      <c r="Y7" s="247"/>
      <c r="Z7" s="247"/>
      <c r="AA7" s="247"/>
      <c r="AB7" s="247"/>
      <c r="AC7" s="247"/>
      <c r="AD7" s="247"/>
      <c r="AE7" s="247"/>
      <c r="AF7" s="247"/>
      <c r="AG7" s="247"/>
      <c r="AH7" s="247"/>
      <c r="AI7" s="247"/>
      <c r="AJ7" s="247"/>
      <c r="AK7" s="247"/>
      <c r="AL7" s="247"/>
      <c r="AM7" s="247"/>
      <c r="AN7" s="247"/>
      <c r="AO7" s="247"/>
      <c r="AP7" s="247"/>
      <c r="AQ7" s="247"/>
      <c r="AR7" s="247"/>
      <c r="AS7" s="247"/>
      <c r="AT7" s="247"/>
      <c r="AU7" s="247"/>
      <c r="AV7" s="247"/>
      <c r="AW7" s="247"/>
      <c r="AX7" s="247"/>
      <c r="AY7" s="247"/>
      <c r="AZ7" s="247"/>
      <c r="BA7" s="247"/>
      <c r="BB7" s="247"/>
      <c r="BC7" s="247"/>
      <c r="BD7" s="247"/>
      <c r="BE7" s="247"/>
      <c r="BF7" s="247"/>
      <c r="BG7" s="247"/>
      <c r="BH7" s="247"/>
      <c r="BI7" s="247"/>
      <c r="BJ7" s="247"/>
      <c r="BK7" s="247"/>
      <c r="BL7" s="247"/>
      <c r="BM7" s="247"/>
      <c r="BN7" s="247"/>
    </row>
    <row r="8" spans="1:66">
      <c r="A8" s="946">
        <f ca="1">+C8/SUM($C$8:$C$10)</f>
        <v>0.28791323833540872</v>
      </c>
      <c r="B8" s="248" t="s">
        <v>33</v>
      </c>
      <c r="C8" s="235">
        <f ca="1">SUM(G8:AM8)</f>
        <v>58656034.285714276</v>
      </c>
      <c r="D8" s="236">
        <f ca="1">Investimento_Casas!E40</f>
        <v>45292</v>
      </c>
      <c r="E8" s="237">
        <f>Investimento_Casas!F40</f>
        <v>1</v>
      </c>
      <c r="F8" s="237"/>
      <c r="G8" s="238">
        <f t="shared" ref="G8:I10" ca="1" si="5">IF(AND(G$4&gt;=$D8,G$4&lt;EOMONTH($D8,$E8)),$C8/$E8,0)</f>
        <v>0</v>
      </c>
      <c r="H8" s="238">
        <f t="shared" ca="1" si="5"/>
        <v>0</v>
      </c>
      <c r="I8" s="238">
        <f t="shared" ca="1" si="5"/>
        <v>0</v>
      </c>
      <c r="J8" s="238">
        <v>0</v>
      </c>
      <c r="K8" s="238">
        <v>15000000</v>
      </c>
      <c r="L8" s="238">
        <v>0</v>
      </c>
      <c r="M8" s="238">
        <v>0</v>
      </c>
      <c r="N8" s="238">
        <v>0</v>
      </c>
      <c r="O8" s="238">
        <f>ROUND((60%*'Cidade Jardim III'!O11),0)*'Cidade Jardim III'!K11*30%</f>
        <v>34924827.428571425</v>
      </c>
      <c r="P8" s="238">
        <v>0</v>
      </c>
      <c r="Q8" s="238">
        <v>0</v>
      </c>
      <c r="R8" s="238">
        <v>0</v>
      </c>
      <c r="S8" s="238">
        <v>0</v>
      </c>
      <c r="T8" s="238">
        <v>0</v>
      </c>
      <c r="U8" s="238">
        <v>0</v>
      </c>
      <c r="V8" s="238">
        <v>0</v>
      </c>
      <c r="W8" s="238">
        <v>0</v>
      </c>
      <c r="X8" s="238">
        <f>ROUND('Cidade Jardim III'!O11*10%,0)*'Cidade Jardim III'!K11*30%</f>
        <v>4365603.4285714282</v>
      </c>
      <c r="Y8" s="238">
        <v>0</v>
      </c>
      <c r="Z8" s="238">
        <v>0</v>
      </c>
      <c r="AA8" s="238">
        <v>0</v>
      </c>
      <c r="AB8" s="238">
        <v>0</v>
      </c>
      <c r="AC8" s="238">
        <v>0</v>
      </c>
      <c r="AD8" s="238">
        <f>'Cidade Jardim III'!K11*30%</f>
        <v>4365603.4285714282</v>
      </c>
      <c r="AE8" s="238">
        <v>0</v>
      </c>
      <c r="AF8" s="238">
        <v>0</v>
      </c>
      <c r="AG8" s="238">
        <v>0</v>
      </c>
      <c r="AH8" s="238">
        <v>0</v>
      </c>
      <c r="AI8" s="238">
        <v>0</v>
      </c>
      <c r="AJ8" s="238">
        <v>0</v>
      </c>
      <c r="AK8" s="238">
        <v>0</v>
      </c>
      <c r="AL8" s="238">
        <v>0</v>
      </c>
      <c r="AM8" s="238">
        <v>0</v>
      </c>
      <c r="AN8" s="238">
        <v>0</v>
      </c>
      <c r="AO8" s="238">
        <f t="shared" ref="AO8:BB10" ca="1" si="6">IF(AND(AO$4&gt;=$D8,AO$4&lt;EOMONTH($D8,$E8)),$C8/$E8,0)</f>
        <v>0</v>
      </c>
      <c r="AP8" s="238">
        <f t="shared" ca="1" si="6"/>
        <v>0</v>
      </c>
      <c r="AQ8" s="238">
        <f t="shared" ca="1" si="6"/>
        <v>0</v>
      </c>
      <c r="AR8" s="238">
        <f t="shared" ca="1" si="6"/>
        <v>0</v>
      </c>
      <c r="AS8" s="238">
        <f t="shared" ca="1" si="6"/>
        <v>0</v>
      </c>
      <c r="AT8" s="238">
        <f t="shared" ca="1" si="6"/>
        <v>0</v>
      </c>
      <c r="AU8" s="238">
        <f t="shared" ca="1" si="6"/>
        <v>0</v>
      </c>
      <c r="AV8" s="238">
        <f t="shared" ca="1" si="6"/>
        <v>0</v>
      </c>
      <c r="AW8" s="238">
        <f t="shared" ca="1" si="6"/>
        <v>0</v>
      </c>
      <c r="AX8" s="238">
        <f t="shared" ca="1" si="6"/>
        <v>0</v>
      </c>
      <c r="AY8" s="238">
        <f t="shared" ca="1" si="6"/>
        <v>0</v>
      </c>
      <c r="AZ8" s="238">
        <f t="shared" ca="1" si="6"/>
        <v>0</v>
      </c>
      <c r="BA8" s="238">
        <f t="shared" ca="1" si="6"/>
        <v>0</v>
      </c>
      <c r="BB8" s="238">
        <f t="shared" ca="1" si="6"/>
        <v>0</v>
      </c>
      <c r="BC8" s="238">
        <f t="shared" ref="BC8:BN10" ca="1" si="7">IF(AND(BC$4&gt;=$D8,BC$4&lt;EOMONTH($D8,$E8)),$C8/$E8,0)</f>
        <v>0</v>
      </c>
      <c r="BD8" s="238">
        <f t="shared" ca="1" si="7"/>
        <v>0</v>
      </c>
      <c r="BE8" s="238">
        <f t="shared" ca="1" si="7"/>
        <v>0</v>
      </c>
      <c r="BF8" s="238">
        <f t="shared" ca="1" si="7"/>
        <v>0</v>
      </c>
      <c r="BG8" s="238">
        <f t="shared" ca="1" si="7"/>
        <v>0</v>
      </c>
      <c r="BH8" s="238">
        <f t="shared" ca="1" si="7"/>
        <v>0</v>
      </c>
      <c r="BI8" s="238">
        <f t="shared" ca="1" si="7"/>
        <v>0</v>
      </c>
      <c r="BJ8" s="238">
        <f t="shared" ca="1" si="7"/>
        <v>0</v>
      </c>
      <c r="BK8" s="238">
        <f t="shared" ca="1" si="7"/>
        <v>0</v>
      </c>
      <c r="BL8" s="238">
        <f t="shared" ca="1" si="7"/>
        <v>0</v>
      </c>
      <c r="BM8" s="238">
        <f t="shared" ca="1" si="7"/>
        <v>0</v>
      </c>
      <c r="BN8" s="238">
        <f t="shared" ca="1" si="7"/>
        <v>0</v>
      </c>
    </row>
    <row r="9" spans="1:66">
      <c r="A9" s="946">
        <f t="shared" ref="A9:A10" ca="1" si="8">+C9/SUM($C$8:$C$10)</f>
        <v>0.50219895262112302</v>
      </c>
      <c r="B9" s="249" t="s">
        <v>185</v>
      </c>
      <c r="C9" s="240">
        <f ca="1">SUM(G9:AM9)</f>
        <v>102312068.57142855</v>
      </c>
      <c r="D9" s="241">
        <f ca="1">Investimento_Casas!E41</f>
        <v>45322</v>
      </c>
      <c r="E9" s="242">
        <f>Investimento_Casas!F41</f>
        <v>24</v>
      </c>
      <c r="F9" s="242"/>
      <c r="G9" s="243">
        <f t="shared" ca="1" si="5"/>
        <v>0</v>
      </c>
      <c r="H9" s="243">
        <f t="shared" ca="1" si="5"/>
        <v>0</v>
      </c>
      <c r="I9" s="243">
        <f t="shared" ca="1" si="5"/>
        <v>0</v>
      </c>
      <c r="J9" s="243">
        <v>0</v>
      </c>
      <c r="K9" s="243">
        <v>0</v>
      </c>
      <c r="L9" s="243">
        <v>0</v>
      </c>
      <c r="M9" s="243">
        <v>0</v>
      </c>
      <c r="N9" s="243">
        <v>0</v>
      </c>
      <c r="O9" s="243">
        <f>(8*'Cidade Jardim III'!$K$11*40%)/24+15000000/24</f>
        <v>2565268.1904761903</v>
      </c>
      <c r="P9" s="243">
        <f>O9</f>
        <v>2565268.1904761903</v>
      </c>
      <c r="Q9" s="243">
        <f t="shared" ref="Q9:AK9" si="9">P9</f>
        <v>2565268.1904761903</v>
      </c>
      <c r="R9" s="243">
        <f t="shared" si="9"/>
        <v>2565268.1904761903</v>
      </c>
      <c r="S9" s="243">
        <f t="shared" si="9"/>
        <v>2565268.1904761903</v>
      </c>
      <c r="T9" s="243">
        <f>S9</f>
        <v>2565268.1904761903</v>
      </c>
      <c r="U9" s="243">
        <f t="shared" si="9"/>
        <v>2565268.1904761903</v>
      </c>
      <c r="V9" s="243">
        <f t="shared" si="9"/>
        <v>2565268.1904761903</v>
      </c>
      <c r="W9" s="243">
        <f t="shared" si="9"/>
        <v>2565268.1904761903</v>
      </c>
      <c r="X9" s="243">
        <f>W9+1*'Cidade Jardim III'!K11*40%/15</f>
        <v>2953321.8285714285</v>
      </c>
      <c r="Y9" s="243">
        <f t="shared" si="9"/>
        <v>2953321.8285714285</v>
      </c>
      <c r="Z9" s="243">
        <f t="shared" si="9"/>
        <v>2953321.8285714285</v>
      </c>
      <c r="AA9" s="243">
        <f t="shared" si="9"/>
        <v>2953321.8285714285</v>
      </c>
      <c r="AB9" s="243">
        <f t="shared" si="9"/>
        <v>2953321.8285714285</v>
      </c>
      <c r="AC9" s="243">
        <f t="shared" si="9"/>
        <v>2953321.8285714285</v>
      </c>
      <c r="AD9" s="243">
        <f>AC9+1*'Cidade Jardim III'!K11*40%/9</f>
        <v>3600077.892063492</v>
      </c>
      <c r="AE9" s="243">
        <f t="shared" si="9"/>
        <v>3600077.892063492</v>
      </c>
      <c r="AF9" s="243">
        <f t="shared" si="9"/>
        <v>3600077.892063492</v>
      </c>
      <c r="AG9" s="243">
        <f>AF9</f>
        <v>3600077.892063492</v>
      </c>
      <c r="AH9" s="243">
        <f t="shared" si="9"/>
        <v>3600077.892063492</v>
      </c>
      <c r="AI9" s="243">
        <f t="shared" si="9"/>
        <v>3600077.892063492</v>
      </c>
      <c r="AJ9" s="243">
        <f>AI9+2*'Cidade Jardim III'!K11/3</f>
        <v>13301418.844444443</v>
      </c>
      <c r="AK9" s="243">
        <f t="shared" si="9"/>
        <v>13301418.844444443</v>
      </c>
      <c r="AL9" s="243">
        <f>AK9</f>
        <v>13301418.844444443</v>
      </c>
      <c r="AM9" s="243">
        <v>0</v>
      </c>
      <c r="AN9" s="243">
        <v>0</v>
      </c>
      <c r="AO9" s="243">
        <v>0</v>
      </c>
      <c r="AP9" s="243">
        <v>0</v>
      </c>
      <c r="AQ9" s="243">
        <v>0</v>
      </c>
      <c r="AR9" s="243">
        <v>0</v>
      </c>
      <c r="AS9" s="243">
        <f t="shared" ca="1" si="6"/>
        <v>0</v>
      </c>
      <c r="AT9" s="243">
        <f t="shared" ca="1" si="6"/>
        <v>0</v>
      </c>
      <c r="AU9" s="243">
        <f t="shared" ca="1" si="6"/>
        <v>0</v>
      </c>
      <c r="AV9" s="243">
        <f t="shared" ca="1" si="6"/>
        <v>0</v>
      </c>
      <c r="AW9" s="243">
        <f t="shared" ca="1" si="6"/>
        <v>0</v>
      </c>
      <c r="AX9" s="243">
        <f t="shared" ca="1" si="6"/>
        <v>0</v>
      </c>
      <c r="AY9" s="243">
        <f t="shared" ca="1" si="6"/>
        <v>0</v>
      </c>
      <c r="AZ9" s="243">
        <f t="shared" ca="1" si="6"/>
        <v>0</v>
      </c>
      <c r="BA9" s="243">
        <f t="shared" ca="1" si="6"/>
        <v>0</v>
      </c>
      <c r="BB9" s="243">
        <f t="shared" ca="1" si="6"/>
        <v>0</v>
      </c>
      <c r="BC9" s="243">
        <f t="shared" ca="1" si="7"/>
        <v>0</v>
      </c>
      <c r="BD9" s="243">
        <f t="shared" ca="1" si="7"/>
        <v>0</v>
      </c>
      <c r="BE9" s="243">
        <f t="shared" ca="1" si="7"/>
        <v>0</v>
      </c>
      <c r="BF9" s="243">
        <f t="shared" ca="1" si="7"/>
        <v>0</v>
      </c>
      <c r="BG9" s="243">
        <f t="shared" ca="1" si="7"/>
        <v>0</v>
      </c>
      <c r="BH9" s="243">
        <f t="shared" ca="1" si="7"/>
        <v>0</v>
      </c>
      <c r="BI9" s="243">
        <f t="shared" ca="1" si="7"/>
        <v>0</v>
      </c>
      <c r="BJ9" s="243">
        <f t="shared" ca="1" si="7"/>
        <v>0</v>
      </c>
      <c r="BK9" s="243">
        <f t="shared" ca="1" si="7"/>
        <v>0</v>
      </c>
      <c r="BL9" s="243">
        <f t="shared" ca="1" si="7"/>
        <v>0</v>
      </c>
      <c r="BM9" s="243">
        <f t="shared" ca="1" si="7"/>
        <v>0</v>
      </c>
      <c r="BN9" s="243">
        <f t="shared" ca="1" si="7"/>
        <v>0</v>
      </c>
    </row>
    <row r="10" spans="1:66">
      <c r="A10" s="946">
        <f t="shared" ca="1" si="8"/>
        <v>0.20988780904346821</v>
      </c>
      <c r="B10" s="249" t="s">
        <v>228</v>
      </c>
      <c r="C10" s="240">
        <f>SUM(N10:AM10)</f>
        <v>42760057.142857134</v>
      </c>
      <c r="D10" s="241">
        <f ca="1">Investimento_Casas!E42</f>
        <v>46053</v>
      </c>
      <c r="E10" s="242">
        <f>Investimento_Casas!F42</f>
        <v>1</v>
      </c>
      <c r="F10" s="242"/>
      <c r="G10" s="243">
        <f t="shared" ca="1" si="5"/>
        <v>0</v>
      </c>
      <c r="H10" s="243">
        <f t="shared" ca="1" si="5"/>
        <v>0</v>
      </c>
      <c r="I10" s="243">
        <f t="shared" ca="1" si="5"/>
        <v>0</v>
      </c>
      <c r="J10" s="243">
        <v>0</v>
      </c>
      <c r="K10" s="243">
        <v>0</v>
      </c>
      <c r="L10" s="243">
        <v>0</v>
      </c>
      <c r="M10" s="243">
        <v>0</v>
      </c>
      <c r="N10" s="243">
        <v>0</v>
      </c>
      <c r="O10" s="243">
        <v>0</v>
      </c>
      <c r="P10" s="243">
        <v>0</v>
      </c>
      <c r="Q10" s="243">
        <v>0</v>
      </c>
      <c r="R10" s="243">
        <v>0</v>
      </c>
      <c r="S10" s="243">
        <v>0</v>
      </c>
      <c r="T10" s="243">
        <v>0</v>
      </c>
      <c r="U10" s="243">
        <v>0</v>
      </c>
      <c r="V10" s="243">
        <v>0</v>
      </c>
      <c r="W10" s="243">
        <v>0</v>
      </c>
      <c r="X10" s="243">
        <v>0</v>
      </c>
      <c r="Y10" s="243">
        <v>0</v>
      </c>
      <c r="Z10" s="243">
        <v>0</v>
      </c>
      <c r="AA10" s="243">
        <v>0</v>
      </c>
      <c r="AB10" s="243">
        <v>0</v>
      </c>
      <c r="AC10" s="243">
        <v>0</v>
      </c>
      <c r="AD10" s="243">
        <v>0</v>
      </c>
      <c r="AE10" s="243">
        <v>0</v>
      </c>
      <c r="AF10" s="243">
        <v>0</v>
      </c>
      <c r="AG10" s="243">
        <v>0</v>
      </c>
      <c r="AH10" s="243">
        <v>0</v>
      </c>
      <c r="AI10" s="243">
        <v>0</v>
      </c>
      <c r="AJ10" s="243">
        <v>0</v>
      </c>
      <c r="AK10" s="243">
        <v>0</v>
      </c>
      <c r="AL10" s="243">
        <v>0</v>
      </c>
      <c r="AM10" s="243">
        <v>42760057.142857134</v>
      </c>
      <c r="AN10" s="243">
        <v>0</v>
      </c>
      <c r="AO10" s="243">
        <v>0</v>
      </c>
      <c r="AP10" s="243">
        <v>0</v>
      </c>
      <c r="AQ10" s="243">
        <v>0</v>
      </c>
      <c r="AR10" s="243">
        <v>0</v>
      </c>
      <c r="AS10" s="243">
        <f t="shared" ca="1" si="6"/>
        <v>0</v>
      </c>
      <c r="AT10" s="243">
        <f t="shared" ca="1" si="6"/>
        <v>0</v>
      </c>
      <c r="AU10" s="243">
        <f t="shared" ca="1" si="6"/>
        <v>0</v>
      </c>
      <c r="AV10" s="243">
        <f t="shared" ca="1" si="6"/>
        <v>0</v>
      </c>
      <c r="AW10" s="243">
        <f t="shared" ca="1" si="6"/>
        <v>0</v>
      </c>
      <c r="AX10" s="243">
        <f t="shared" ca="1" si="6"/>
        <v>0</v>
      </c>
      <c r="AY10" s="243">
        <f t="shared" ca="1" si="6"/>
        <v>0</v>
      </c>
      <c r="AZ10" s="243">
        <f t="shared" ca="1" si="6"/>
        <v>0</v>
      </c>
      <c r="BA10" s="243">
        <f t="shared" ca="1" si="6"/>
        <v>0</v>
      </c>
      <c r="BB10" s="243">
        <f t="shared" ca="1" si="6"/>
        <v>0</v>
      </c>
      <c r="BC10" s="243">
        <f t="shared" ca="1" si="7"/>
        <v>0</v>
      </c>
      <c r="BD10" s="243">
        <f t="shared" ca="1" si="7"/>
        <v>0</v>
      </c>
      <c r="BE10" s="243">
        <f t="shared" ca="1" si="7"/>
        <v>0</v>
      </c>
      <c r="BF10" s="243">
        <f t="shared" ca="1" si="7"/>
        <v>0</v>
      </c>
      <c r="BG10" s="243">
        <f t="shared" ca="1" si="7"/>
        <v>0</v>
      </c>
      <c r="BH10" s="243">
        <f t="shared" ca="1" si="7"/>
        <v>0</v>
      </c>
      <c r="BI10" s="243">
        <f t="shared" ca="1" si="7"/>
        <v>0</v>
      </c>
      <c r="BJ10" s="243">
        <f t="shared" ca="1" si="7"/>
        <v>0</v>
      </c>
      <c r="BK10" s="243">
        <f t="shared" ca="1" si="7"/>
        <v>0</v>
      </c>
      <c r="BL10" s="243">
        <f t="shared" ca="1" si="7"/>
        <v>0</v>
      </c>
      <c r="BM10" s="243">
        <f t="shared" ca="1" si="7"/>
        <v>0</v>
      </c>
      <c r="BN10" s="243">
        <f t="shared" ca="1" si="7"/>
        <v>0</v>
      </c>
    </row>
    <row r="12" spans="1:66" ht="16" thickBot="1">
      <c r="B12" s="250" t="s">
        <v>4</v>
      </c>
      <c r="C12" s="251"/>
      <c r="D12" s="251"/>
      <c r="E12" s="251"/>
      <c r="F12" s="251"/>
      <c r="G12" s="252">
        <f ca="1">SUM(G5:G10)</f>
        <v>-45494943.729999997</v>
      </c>
      <c r="H12" s="252">
        <f t="shared" ref="H12:BN12" ca="1" si="10">SUM(H5:H10)</f>
        <v>0</v>
      </c>
      <c r="I12" s="252">
        <f t="shared" ca="1" si="10"/>
        <v>0</v>
      </c>
      <c r="J12" s="252">
        <f t="shared" ca="1" si="10"/>
        <v>0</v>
      </c>
      <c r="K12" s="252">
        <f t="shared" ca="1" si="10"/>
        <v>15000000</v>
      </c>
      <c r="L12" s="252">
        <f t="shared" ca="1" si="10"/>
        <v>0</v>
      </c>
      <c r="M12" s="252">
        <f t="shared" ca="1" si="10"/>
        <v>0</v>
      </c>
      <c r="N12" s="252">
        <f t="shared" ca="1" si="10"/>
        <v>0</v>
      </c>
      <c r="O12" s="252">
        <f t="shared" ca="1" si="10"/>
        <v>35900518.761277698</v>
      </c>
      <c r="P12" s="252">
        <f t="shared" ca="1" si="10"/>
        <v>486390.18129813182</v>
      </c>
      <c r="Q12" s="252">
        <f t="shared" ca="1" si="10"/>
        <v>651178.50445214938</v>
      </c>
      <c r="R12" s="252">
        <f t="shared" ca="1" si="10"/>
        <v>-1302099.0290981033</v>
      </c>
      <c r="S12" s="252">
        <f t="shared" ca="1" si="10"/>
        <v>-3362227.1304662954</v>
      </c>
      <c r="T12" s="252">
        <f t="shared" ca="1" si="10"/>
        <v>-4113813.5104250051</v>
      </c>
      <c r="U12" s="252">
        <f t="shared" ca="1" si="10"/>
        <v>-5285130.7138202097</v>
      </c>
      <c r="V12" s="252">
        <f t="shared" ca="1" si="10"/>
        <v>-6551022.8587653283</v>
      </c>
      <c r="W12" s="252">
        <f t="shared" ca="1" si="10"/>
        <v>-4134193.1176342331</v>
      </c>
      <c r="X12" s="252">
        <f t="shared" ca="1" si="10"/>
        <v>2216709.2018468659</v>
      </c>
      <c r="Y12" s="252">
        <f t="shared" ca="1" si="10"/>
        <v>-534547.37124136882</v>
      </c>
      <c r="Z12" s="252">
        <f t="shared" ca="1" si="10"/>
        <v>559811.58869989403</v>
      </c>
      <c r="AA12" s="252">
        <f t="shared" ca="1" si="10"/>
        <v>1814164.5486325698</v>
      </c>
      <c r="AB12" s="252">
        <f t="shared" ca="1" si="10"/>
        <v>2377343.428602343</v>
      </c>
      <c r="AC12" s="252">
        <f t="shared" ca="1" si="10"/>
        <v>2569336.2285920382</v>
      </c>
      <c r="AD12" s="252">
        <f t="shared" ca="1" si="10"/>
        <v>7709690.9206486596</v>
      </c>
      <c r="AE12" s="252">
        <f t="shared" ca="1" si="10"/>
        <v>3395285.5720744836</v>
      </c>
      <c r="AF12" s="252">
        <f t="shared" ca="1" si="10"/>
        <v>3446483.6520717358</v>
      </c>
      <c r="AG12" s="252">
        <f t="shared" ca="1" si="10"/>
        <v>3504081.4920686441</v>
      </c>
      <c r="AH12" s="252">
        <f t="shared" ca="1" si="10"/>
        <v>3510481.2520683007</v>
      </c>
      <c r="AI12" s="252">
        <f t="shared" ca="1" si="10"/>
        <v>3555279.5720658964</v>
      </c>
      <c r="AJ12" s="252">
        <f t="shared" ca="1" si="10"/>
        <v>13301418.844444443</v>
      </c>
      <c r="AK12" s="252">
        <f t="shared" ca="1" si="10"/>
        <v>13301418.844444443</v>
      </c>
      <c r="AL12" s="252">
        <f t="shared" ca="1" si="10"/>
        <v>13301418.844444443</v>
      </c>
      <c r="AM12" s="252">
        <f t="shared" ca="1" si="10"/>
        <v>42760057.142857134</v>
      </c>
      <c r="AN12" s="252">
        <f t="shared" ca="1" si="10"/>
        <v>0</v>
      </c>
      <c r="AO12" s="252">
        <f t="shared" ca="1" si="10"/>
        <v>0</v>
      </c>
      <c r="AP12" s="252">
        <f t="shared" ca="1" si="10"/>
        <v>0</v>
      </c>
      <c r="AQ12" s="252">
        <f t="shared" ca="1" si="10"/>
        <v>0</v>
      </c>
      <c r="AR12" s="252">
        <f t="shared" ca="1" si="10"/>
        <v>0</v>
      </c>
      <c r="AS12" s="252">
        <f t="shared" ca="1" si="10"/>
        <v>0</v>
      </c>
      <c r="AT12" s="252">
        <f t="shared" ca="1" si="10"/>
        <v>0</v>
      </c>
      <c r="AU12" s="252">
        <f t="shared" ca="1" si="10"/>
        <v>0</v>
      </c>
      <c r="AV12" s="252">
        <f t="shared" ca="1" si="10"/>
        <v>0</v>
      </c>
      <c r="AW12" s="252">
        <f t="shared" ca="1" si="10"/>
        <v>0</v>
      </c>
      <c r="AX12" s="252">
        <f t="shared" ca="1" si="10"/>
        <v>0</v>
      </c>
      <c r="AY12" s="252">
        <f t="shared" ca="1" si="10"/>
        <v>0</v>
      </c>
      <c r="AZ12" s="252">
        <f t="shared" ca="1" si="10"/>
        <v>0</v>
      </c>
      <c r="BA12" s="252">
        <f t="shared" ca="1" si="10"/>
        <v>0</v>
      </c>
      <c r="BB12" s="252">
        <f t="shared" ca="1" si="10"/>
        <v>0</v>
      </c>
      <c r="BC12" s="252">
        <f t="shared" ca="1" si="10"/>
        <v>0</v>
      </c>
      <c r="BD12" s="252">
        <f t="shared" ca="1" si="10"/>
        <v>0</v>
      </c>
      <c r="BE12" s="252">
        <f t="shared" ca="1" si="10"/>
        <v>0</v>
      </c>
      <c r="BF12" s="252">
        <f t="shared" ca="1" si="10"/>
        <v>0</v>
      </c>
      <c r="BG12" s="252">
        <f t="shared" ca="1" si="10"/>
        <v>0</v>
      </c>
      <c r="BH12" s="252">
        <f t="shared" ca="1" si="10"/>
        <v>0</v>
      </c>
      <c r="BI12" s="252">
        <f t="shared" ca="1" si="10"/>
        <v>0</v>
      </c>
      <c r="BJ12" s="252">
        <f t="shared" ca="1" si="10"/>
        <v>0</v>
      </c>
      <c r="BK12" s="252">
        <f t="shared" ca="1" si="10"/>
        <v>0</v>
      </c>
      <c r="BL12" s="252">
        <f t="shared" ca="1" si="10"/>
        <v>0</v>
      </c>
      <c r="BM12" s="252">
        <f t="shared" ca="1" si="10"/>
        <v>0</v>
      </c>
      <c r="BN12" s="252">
        <f t="shared" ca="1" si="10"/>
        <v>0</v>
      </c>
    </row>
    <row r="13" spans="1:66" ht="16" thickBot="1">
      <c r="B13" s="250" t="s">
        <v>247</v>
      </c>
      <c r="C13" s="251"/>
      <c r="D13" s="251"/>
      <c r="E13" s="251"/>
      <c r="F13" s="251"/>
      <c r="G13" s="252">
        <f ca="1">G12</f>
        <v>-45494943.729999997</v>
      </c>
      <c r="H13" s="252">
        <f ca="1">G13+H12</f>
        <v>-45494943.729999997</v>
      </c>
      <c r="I13" s="252">
        <f t="shared" ref="I13:BN13" ca="1" si="11">H13+I12</f>
        <v>-45494943.729999997</v>
      </c>
      <c r="J13" s="252">
        <f t="shared" ca="1" si="11"/>
        <v>-45494943.729999997</v>
      </c>
      <c r="K13" s="252">
        <f t="shared" ca="1" si="11"/>
        <v>-30494943.729999997</v>
      </c>
      <c r="L13" s="252">
        <f t="shared" ca="1" si="11"/>
        <v>-30494943.729999997</v>
      </c>
      <c r="M13" s="252">
        <f t="shared" ca="1" si="11"/>
        <v>-30494943.729999997</v>
      </c>
      <c r="N13" s="252">
        <f t="shared" ca="1" si="11"/>
        <v>-30494943.729999997</v>
      </c>
      <c r="O13" s="252">
        <f t="shared" ca="1" si="11"/>
        <v>5405575.0312777013</v>
      </c>
      <c r="P13" s="252">
        <f t="shared" ca="1" si="11"/>
        <v>5891965.2125758333</v>
      </c>
      <c r="Q13" s="252">
        <f t="shared" ca="1" si="11"/>
        <v>6543143.7170279827</v>
      </c>
      <c r="R13" s="252">
        <f t="shared" ca="1" si="11"/>
        <v>5241044.6879298799</v>
      </c>
      <c r="S13" s="252">
        <f t="shared" ca="1" si="11"/>
        <v>1878817.5574635845</v>
      </c>
      <c r="T13" s="252">
        <f t="shared" ca="1" si="11"/>
        <v>-2234995.9529614206</v>
      </c>
      <c r="U13" s="252">
        <f t="shared" ca="1" si="11"/>
        <v>-7520126.6667816304</v>
      </c>
      <c r="V13" s="252">
        <f t="shared" ca="1" si="11"/>
        <v>-14071149.525546959</v>
      </c>
      <c r="W13" s="252">
        <f t="shared" ca="1" si="11"/>
        <v>-18205342.64318119</v>
      </c>
      <c r="X13" s="252">
        <f t="shared" ca="1" si="11"/>
        <v>-15988633.441334324</v>
      </c>
      <c r="Y13" s="252">
        <f t="shared" ca="1" si="11"/>
        <v>-16523180.812575692</v>
      </c>
      <c r="Z13" s="252">
        <f t="shared" ca="1" si="11"/>
        <v>-15963369.223875798</v>
      </c>
      <c r="AA13" s="252">
        <f t="shared" ca="1" si="11"/>
        <v>-14149204.675243229</v>
      </c>
      <c r="AB13" s="252">
        <f t="shared" ca="1" si="11"/>
        <v>-11771861.246640885</v>
      </c>
      <c r="AC13" s="252">
        <f t="shared" ca="1" si="11"/>
        <v>-9202525.0180488471</v>
      </c>
      <c r="AD13" s="252">
        <f t="shared" ca="1" si="11"/>
        <v>-1492834.0974001875</v>
      </c>
      <c r="AE13" s="252">
        <f t="shared" ca="1" si="11"/>
        <v>1902451.4746742961</v>
      </c>
      <c r="AF13" s="252">
        <f t="shared" ca="1" si="11"/>
        <v>5348935.1267460324</v>
      </c>
      <c r="AG13" s="252">
        <f t="shared" ca="1" si="11"/>
        <v>8853016.618814677</v>
      </c>
      <c r="AH13" s="252">
        <f t="shared" ca="1" si="11"/>
        <v>12363497.870882977</v>
      </c>
      <c r="AI13" s="252">
        <f t="shared" ca="1" si="11"/>
        <v>15918777.442948874</v>
      </c>
      <c r="AJ13" s="252">
        <f t="shared" ca="1" si="11"/>
        <v>29220196.287393317</v>
      </c>
      <c r="AK13" s="252">
        <f t="shared" ca="1" si="11"/>
        <v>42521615.131837755</v>
      </c>
      <c r="AL13" s="252">
        <f t="shared" ca="1" si="11"/>
        <v>55823033.976282194</v>
      </c>
      <c r="AM13" s="252">
        <f t="shared" ca="1" si="11"/>
        <v>98583091.119139329</v>
      </c>
      <c r="AN13" s="252">
        <f t="shared" ca="1" si="11"/>
        <v>98583091.119139329</v>
      </c>
      <c r="AO13" s="252">
        <f t="shared" ca="1" si="11"/>
        <v>98583091.119139329</v>
      </c>
      <c r="AP13" s="252">
        <f t="shared" ca="1" si="11"/>
        <v>98583091.119139329</v>
      </c>
      <c r="AQ13" s="252">
        <f t="shared" ca="1" si="11"/>
        <v>98583091.119139329</v>
      </c>
      <c r="AR13" s="252">
        <f t="shared" ca="1" si="11"/>
        <v>98583091.119139329</v>
      </c>
      <c r="AS13" s="252">
        <f t="shared" ca="1" si="11"/>
        <v>98583091.119139329</v>
      </c>
      <c r="AT13" s="252">
        <f t="shared" ca="1" si="11"/>
        <v>98583091.119139329</v>
      </c>
      <c r="AU13" s="252">
        <f t="shared" ca="1" si="11"/>
        <v>98583091.119139329</v>
      </c>
      <c r="AV13" s="252">
        <f t="shared" ca="1" si="11"/>
        <v>98583091.119139329</v>
      </c>
      <c r="AW13" s="252">
        <f t="shared" ca="1" si="11"/>
        <v>98583091.119139329</v>
      </c>
      <c r="AX13" s="252">
        <f t="shared" ca="1" si="11"/>
        <v>98583091.119139329</v>
      </c>
      <c r="AY13" s="252">
        <f t="shared" ca="1" si="11"/>
        <v>98583091.119139329</v>
      </c>
      <c r="AZ13" s="252">
        <f t="shared" ca="1" si="11"/>
        <v>98583091.119139329</v>
      </c>
      <c r="BA13" s="252">
        <f t="shared" ca="1" si="11"/>
        <v>98583091.119139329</v>
      </c>
      <c r="BB13" s="252">
        <f t="shared" ca="1" si="11"/>
        <v>98583091.119139329</v>
      </c>
      <c r="BC13" s="252">
        <f t="shared" ca="1" si="11"/>
        <v>98583091.119139329</v>
      </c>
      <c r="BD13" s="252">
        <f t="shared" ca="1" si="11"/>
        <v>98583091.119139329</v>
      </c>
      <c r="BE13" s="252">
        <f t="shared" ca="1" si="11"/>
        <v>98583091.119139329</v>
      </c>
      <c r="BF13" s="252">
        <f t="shared" ca="1" si="11"/>
        <v>98583091.119139329</v>
      </c>
      <c r="BG13" s="252">
        <f t="shared" ca="1" si="11"/>
        <v>98583091.119139329</v>
      </c>
      <c r="BH13" s="252">
        <f t="shared" ca="1" si="11"/>
        <v>98583091.119139329</v>
      </c>
      <c r="BI13" s="252">
        <f t="shared" ca="1" si="11"/>
        <v>98583091.119139329</v>
      </c>
      <c r="BJ13" s="252">
        <f t="shared" ca="1" si="11"/>
        <v>98583091.119139329</v>
      </c>
      <c r="BK13" s="252">
        <f t="shared" ca="1" si="11"/>
        <v>98583091.119139329</v>
      </c>
      <c r="BL13" s="252">
        <f t="shared" ca="1" si="11"/>
        <v>98583091.119139329</v>
      </c>
      <c r="BM13" s="252">
        <f t="shared" ca="1" si="11"/>
        <v>98583091.119139329</v>
      </c>
      <c r="BN13" s="252">
        <f t="shared" ca="1" si="11"/>
        <v>98583091.119139329</v>
      </c>
    </row>
  </sheetData>
  <mergeCells count="1">
    <mergeCell ref="C3:D3"/>
  </mergeCells>
  <pageMargins left="0.7" right="0.7" top="0.75" bottom="0.75" header="0.3" footer="0.3"/>
  <pageSetup orientation="portrait" horizontalDpi="90" verticalDpi="90" r:id="rId1"/>
  <headerFooter>
    <oddFooter>&amp;L&amp;1#&amp;"Calibri"&amp;10&amp;K000000Internal Use Only</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241835-CEF8-4B80-B270-342590EFBAB0}">
  <sheetPr codeName="Planilha15">
    <tabColor rgb="FF0070C0"/>
  </sheetPr>
  <dimension ref="C3:U55"/>
  <sheetViews>
    <sheetView zoomScaleNormal="85" workbookViewId="0">
      <selection activeCell="E55" sqref="E55"/>
    </sheetView>
  </sheetViews>
  <sheetFormatPr baseColWidth="10" defaultColWidth="8.83203125" defaultRowHeight="13"/>
  <cols>
    <col min="1" max="2" width="2.33203125" style="776" customWidth="1"/>
    <col min="3" max="3" width="24.33203125" style="776" customWidth="1"/>
    <col min="4" max="4" width="26.33203125" style="775" bestFit="1" customWidth="1"/>
    <col min="5" max="10" width="17.6640625" style="775" customWidth="1"/>
    <col min="11" max="11" width="2.5" style="775" customWidth="1"/>
    <col min="12" max="14" width="17.6640625" style="776" customWidth="1"/>
    <col min="15" max="15" width="2.6640625" style="776" customWidth="1"/>
    <col min="16" max="17" width="13.33203125" style="776" bestFit="1" customWidth="1"/>
    <col min="18" max="18" width="14.6640625" style="776" bestFit="1" customWidth="1"/>
    <col min="19" max="19" width="2.6640625" style="776" customWidth="1"/>
    <col min="20" max="20" width="8.83203125" style="776"/>
    <col min="21" max="21" width="13.33203125" style="776" bestFit="1" customWidth="1"/>
    <col min="22" max="16384" width="8.83203125" style="776"/>
  </cols>
  <sheetData>
    <row r="3" spans="4:18">
      <c r="D3" s="773" t="s">
        <v>736</v>
      </c>
      <c r="E3" s="774">
        <v>0.35</v>
      </c>
    </row>
    <row r="4" spans="4:18">
      <c r="D4" s="773" t="s">
        <v>737</v>
      </c>
      <c r="E4" s="774">
        <v>6.7299999999999999E-2</v>
      </c>
    </row>
    <row r="5" spans="4:18">
      <c r="D5" s="773" t="s">
        <v>148</v>
      </c>
      <c r="E5" s="777">
        <v>0</v>
      </c>
      <c r="F5" s="778" t="s">
        <v>738</v>
      </c>
    </row>
    <row r="6" spans="4:18">
      <c r="D6" s="773" t="s">
        <v>739</v>
      </c>
      <c r="E6" s="774">
        <v>0.01</v>
      </c>
    </row>
    <row r="7" spans="4:18">
      <c r="D7" s="773" t="s">
        <v>740</v>
      </c>
      <c r="E7" s="779">
        <f>0.4*'Cidade Jardim III'!O38*1000*-1</f>
        <v>25499040.000000004</v>
      </c>
      <c r="F7" s="778"/>
    </row>
    <row r="8" spans="4:18">
      <c r="D8" s="773" t="s">
        <v>741</v>
      </c>
      <c r="E8" s="780">
        <f ca="1">MAX(F20:F44)</f>
        <v>98900739.470476165</v>
      </c>
    </row>
    <row r="9" spans="4:18">
      <c r="D9" s="773" t="s">
        <v>742</v>
      </c>
      <c r="E9" s="780">
        <f ca="1">E8-E7</f>
        <v>73401699.470476165</v>
      </c>
      <c r="L9" s="781" t="s">
        <v>743</v>
      </c>
      <c r="M9" s="781"/>
      <c r="N9" s="782" t="s">
        <v>744</v>
      </c>
    </row>
    <row r="10" spans="4:18">
      <c r="D10" s="783" t="s">
        <v>836</v>
      </c>
      <c r="E10" s="784">
        <f ca="1">((1+IRR($J$20:$J$44,0))^12)-1</f>
        <v>0.15437218456475721</v>
      </c>
      <c r="F10" s="778" t="s">
        <v>745</v>
      </c>
      <c r="J10" s="785"/>
      <c r="L10" s="786">
        <f ca="1">L17-Projeto!G6</f>
        <v>-2.5337000479445844</v>
      </c>
      <c r="N10" s="787" t="s">
        <v>746</v>
      </c>
    </row>
    <row r="11" spans="4:18">
      <c r="D11" s="773" t="s">
        <v>837</v>
      </c>
      <c r="E11" s="779">
        <v>4350922.84</v>
      </c>
      <c r="F11" s="778" t="s">
        <v>747</v>
      </c>
      <c r="L11" s="788" t="s">
        <v>95</v>
      </c>
      <c r="N11" s="788" t="s">
        <v>95</v>
      </c>
    </row>
    <row r="12" spans="4:18">
      <c r="D12" s="773" t="s">
        <v>748</v>
      </c>
      <c r="E12" s="780">
        <f ca="1">IF((E9-E11)&lt;0,0,(E9-E11))</f>
        <v>69050776.630476162</v>
      </c>
      <c r="L12" s="789">
        <f ca="1">NPV((1+L17)^(1/12)-1,L$20:L$44)</f>
        <v>65026413.681723706</v>
      </c>
      <c r="N12" s="790">
        <f ca="1">NPV((1+N17)^(1/12)-1,N$20:N$44)</f>
        <v>-1.4092993870685989E-7</v>
      </c>
    </row>
    <row r="13" spans="4:18">
      <c r="D13" s="773" t="s">
        <v>749</v>
      </c>
      <c r="E13" s="774">
        <v>0.1</v>
      </c>
      <c r="L13" s="788" t="s">
        <v>750</v>
      </c>
      <c r="N13" s="788" t="s">
        <v>750</v>
      </c>
      <c r="O13" s="791"/>
    </row>
    <row r="14" spans="4:18">
      <c r="D14" s="773" t="s">
        <v>751</v>
      </c>
      <c r="E14" s="792">
        <f ca="1">(E12*E13)-((E12*E13)*$E$4+(E12*E13)*$E$5)</f>
        <v>6440365.9363245117</v>
      </c>
      <c r="L14" s="793">
        <f ca="1">SUM(L20:L44)/Projeto!$G$3</f>
        <v>0.3359813219099293</v>
      </c>
      <c r="N14" s="793">
        <f ca="1">SUM(N20:N44)/Projeto!$G$3</f>
        <v>0.21514388763191897</v>
      </c>
      <c r="O14" s="791"/>
    </row>
    <row r="15" spans="4:18" ht="14">
      <c r="J15" s="794" t="s">
        <v>752</v>
      </c>
      <c r="L15" s="795" t="s">
        <v>330</v>
      </c>
      <c r="N15" s="795" t="s">
        <v>330</v>
      </c>
      <c r="O15" s="773"/>
      <c r="R15" s="788" t="s">
        <v>743</v>
      </c>
    </row>
    <row r="16" spans="4:18">
      <c r="D16" s="796"/>
      <c r="E16" s="796"/>
      <c r="F16" s="796"/>
      <c r="G16" s="796"/>
      <c r="H16" s="796"/>
      <c r="I16" s="796"/>
      <c r="J16" s="797" t="s">
        <v>96</v>
      </c>
      <c r="K16" s="796"/>
      <c r="L16" s="797" t="s">
        <v>96</v>
      </c>
      <c r="M16" s="797"/>
      <c r="N16" s="797" t="s">
        <v>96</v>
      </c>
      <c r="R16" s="786">
        <f ca="1">SUM(R19:R45)</f>
        <v>1.862645149230957E-9</v>
      </c>
    </row>
    <row r="17" spans="3:21">
      <c r="D17" s="796"/>
      <c r="E17" s="796"/>
      <c r="F17" s="796"/>
      <c r="G17" s="796"/>
      <c r="H17" s="796"/>
      <c r="I17" s="798" t="s">
        <v>753</v>
      </c>
      <c r="J17" s="799">
        <f ca="1">IFERROR((1+IRR(J$20:J$45,0))^12-1,0)</f>
        <v>0.15437218456475721</v>
      </c>
      <c r="K17" s="796"/>
      <c r="L17" s="799">
        <f ca="1">IFERROR((1+IRR(L$20:L$45,0))^12-1,0)</f>
        <v>0</v>
      </c>
      <c r="M17" s="799"/>
      <c r="N17" s="799">
        <f ca="1">IFERROR((1+IRR(N$20:N$45,0))^12-1,0)</f>
        <v>-0.44854216742034503</v>
      </c>
      <c r="U17" s="799"/>
    </row>
    <row r="18" spans="3:21" s="800" customFormat="1" ht="52.25" customHeight="1">
      <c r="D18" s="801" t="s">
        <v>522</v>
      </c>
      <c r="E18" s="801" t="s">
        <v>754</v>
      </c>
      <c r="F18" s="801" t="s">
        <v>755</v>
      </c>
      <c r="G18" s="801" t="s">
        <v>756</v>
      </c>
      <c r="H18" s="801" t="s">
        <v>737</v>
      </c>
      <c r="I18" s="801" t="s">
        <v>148</v>
      </c>
      <c r="J18" s="801" t="s">
        <v>757</v>
      </c>
      <c r="K18" s="796"/>
      <c r="L18" s="801" t="s">
        <v>758</v>
      </c>
      <c r="M18" s="801" t="s">
        <v>759</v>
      </c>
      <c r="N18" s="801" t="s">
        <v>760</v>
      </c>
      <c r="P18" s="801" t="s">
        <v>761</v>
      </c>
      <c r="Q18" s="801" t="s">
        <v>762</v>
      </c>
      <c r="R18" s="801" t="s">
        <v>763</v>
      </c>
    </row>
    <row r="19" spans="3:21" ht="7.5" customHeight="1">
      <c r="D19" s="796"/>
      <c r="E19" s="796"/>
      <c r="F19" s="796"/>
      <c r="G19" s="796"/>
      <c r="H19" s="796"/>
      <c r="I19" s="796"/>
      <c r="J19" s="796"/>
      <c r="K19" s="796"/>
      <c r="L19" s="802"/>
      <c r="M19" s="802"/>
      <c r="N19" s="802"/>
    </row>
    <row r="20" spans="3:21">
      <c r="D20" s="803">
        <f ca="1">'Fluxo_de_Caixa Casas'!O4</f>
        <v>45169</v>
      </c>
      <c r="E20" s="804">
        <f ca="1">SUMIFS(Projeto!$B:$B,Projeto!$A:$A,EOMONTH(D20,-1))</f>
        <v>2437004.7809523805</v>
      </c>
      <c r="F20" s="804">
        <f ca="1">E20</f>
        <v>2437004.7809523805</v>
      </c>
      <c r="G20" s="804">
        <f ca="1">F20*$E$3</f>
        <v>852951.67333333311</v>
      </c>
      <c r="H20" s="804">
        <f ca="1">G20*-$E$4</f>
        <v>-57403.647615333321</v>
      </c>
      <c r="I20" s="804">
        <f ca="1">G20*-$E$5</f>
        <v>0</v>
      </c>
      <c r="J20" s="804">
        <v>0</v>
      </c>
      <c r="K20" s="804"/>
      <c r="L20" s="805">
        <f ca="1">SUMIFS(Projeto!$C:$C,Projeto!$A:$A,D20)+15000000</f>
        <v>22444488.910224229</v>
      </c>
      <c r="M20" s="805">
        <v>0</v>
      </c>
      <c r="N20" s="804">
        <f ca="1">SUM(L20,-G20,SUM(G20*4%,H20))+M20</f>
        <v>21568251.656208899</v>
      </c>
      <c r="U20" s="806"/>
    </row>
    <row r="21" spans="3:21">
      <c r="D21" s="807">
        <f ca="1">EDATE(D20,1)</f>
        <v>45199</v>
      </c>
      <c r="E21" s="804">
        <f ca="1">SUMIFS(Projeto!$B:$B,Projeto!$A:$A,EOMONTH(D21,-1))</f>
        <v>2437004.7809523805</v>
      </c>
      <c r="F21" s="804">
        <f t="shared" ref="F21:F39" ca="1" si="0">E21</f>
        <v>2437004.7809523805</v>
      </c>
      <c r="G21" s="804">
        <f t="shared" ref="G21:G43" ca="1" si="1">F21*$E$3</f>
        <v>852951.67333333311</v>
      </c>
      <c r="H21" s="804">
        <f t="shared" ref="H21:H44" ca="1" si="2">G21*-$E$4</f>
        <v>-57403.647615333321</v>
      </c>
      <c r="I21" s="804">
        <f t="shared" ref="I21:I44" ca="1" si="3">G21*-$E$5</f>
        <v>0</v>
      </c>
      <c r="J21" s="804">
        <v>0</v>
      </c>
      <c r="K21" s="804"/>
      <c r="L21" s="805">
        <f ca="1">SUMIFS(Projeto!$C:$C,Projeto!$A:$A,D21)</f>
        <v>7930879.0915223621</v>
      </c>
      <c r="M21" s="805">
        <v>0</v>
      </c>
      <c r="N21" s="804">
        <f ca="1">SUM(L21,-G21,SUM(G21*4%,H21))+M21</f>
        <v>7054641.8375070291</v>
      </c>
      <c r="P21" s="806"/>
      <c r="Q21" s="806"/>
      <c r="R21" s="806"/>
      <c r="U21" s="806"/>
    </row>
    <row r="22" spans="3:21">
      <c r="D22" s="807">
        <f t="shared" ref="D22:D44" ca="1" si="4">EDATE(D21,1)</f>
        <v>45229</v>
      </c>
      <c r="E22" s="804">
        <f ca="1">SUMIFS(Projeto!$B:$B,Projeto!$A:$A,EOMONTH(D22,-1))</f>
        <v>2437004.7809523805</v>
      </c>
      <c r="F22" s="804">
        <f t="shared" ca="1" si="0"/>
        <v>2437004.7809523805</v>
      </c>
      <c r="G22" s="804">
        <f t="shared" ca="1" si="1"/>
        <v>852951.67333333311</v>
      </c>
      <c r="H22" s="804">
        <f t="shared" ca="1" si="2"/>
        <v>-57403.647615333321</v>
      </c>
      <c r="I22" s="804">
        <f t="shared" ca="1" si="3"/>
        <v>0</v>
      </c>
      <c r="J22" s="804">
        <v>0</v>
      </c>
      <c r="K22" s="804"/>
      <c r="L22" s="805">
        <f ca="1">SUMIFS(Projeto!$C:$C,Projeto!$A:$A,D22)</f>
        <v>0</v>
      </c>
      <c r="M22" s="805">
        <v>0</v>
      </c>
      <c r="N22" s="804">
        <f ca="1">SUM(L22,-G22,SUM(G22*4%,H22))+M22</f>
        <v>-876237.25401533314</v>
      </c>
      <c r="P22" s="806"/>
      <c r="Q22" s="806"/>
      <c r="R22" s="806"/>
      <c r="U22" s="806"/>
    </row>
    <row r="23" spans="3:21">
      <c r="D23" s="807">
        <f t="shared" ca="1" si="4"/>
        <v>45260</v>
      </c>
      <c r="E23" s="804">
        <f ca="1">SUMIFS(Projeto!$B:$B,Projeto!$A:$A,EOMONTH(D23,-1))</f>
        <v>2437004.7809523805</v>
      </c>
      <c r="F23" s="804">
        <f t="shared" ca="1" si="0"/>
        <v>2437004.7809523805</v>
      </c>
      <c r="G23" s="804">
        <f t="shared" ca="1" si="1"/>
        <v>852951.67333333311</v>
      </c>
      <c r="H23" s="804">
        <f t="shared" ca="1" si="2"/>
        <v>-57403.647615333321</v>
      </c>
      <c r="I23" s="804">
        <f t="shared" ca="1" si="3"/>
        <v>0</v>
      </c>
      <c r="J23" s="808">
        <f>('Cidade Jardim III'!O36+'Cidade Jardim III'!O29)*1000</f>
        <v>-45494943.729999997</v>
      </c>
      <c r="K23" s="804"/>
      <c r="L23" s="805">
        <f ca="1">SUMIFS(Projeto!$C:$C,Projeto!$A:$A,D23)</f>
        <v>7279958.5668764096</v>
      </c>
      <c r="M23" s="805">
        <f>-167000+J23*$E$6</f>
        <v>-621949.43729999999</v>
      </c>
      <c r="N23" s="809">
        <f ca="1">-J23+L23+M23</f>
        <v>52152952.859576412</v>
      </c>
      <c r="P23" s="806"/>
      <c r="Q23" s="806"/>
      <c r="R23" s="806"/>
      <c r="U23" s="806"/>
    </row>
    <row r="24" spans="3:21">
      <c r="C24" s="810"/>
      <c r="D24" s="807">
        <f t="shared" ca="1" si="4"/>
        <v>45290</v>
      </c>
      <c r="E24" s="804">
        <f ca="1">SUMIFS(Projeto!$B:$B,Projeto!$A:$A,EOMONTH(D24,-1))</f>
        <v>2437004.7809523805</v>
      </c>
      <c r="F24" s="804">
        <f t="shared" ca="1" si="0"/>
        <v>2437004.7809523805</v>
      </c>
      <c r="G24" s="804">
        <f t="shared" ca="1" si="1"/>
        <v>852951.67333333311</v>
      </c>
      <c r="H24" s="804">
        <f t="shared" ca="1" si="2"/>
        <v>-57403.647615333321</v>
      </c>
      <c r="I24" s="804">
        <f t="shared" ca="1" si="3"/>
        <v>0</v>
      </c>
      <c r="J24" s="804">
        <f t="shared" ref="J24:J43" ca="1" si="5">SUM(G24:I24)</f>
        <v>795548.02571799979</v>
      </c>
      <c r="K24" s="804"/>
      <c r="L24" s="805">
        <f ca="1">SUMIFS(Projeto!$C:$C,Projeto!$A:$A,D24)</f>
        <v>0</v>
      </c>
      <c r="M24" s="805">
        <v>-7000</v>
      </c>
      <c r="N24" s="804">
        <f t="shared" ref="N24:N43" ca="1" si="6">SUM(L24,-G24,SUM(G24*4%,H24))+M24</f>
        <v>-883237.25401533314</v>
      </c>
      <c r="P24" s="806">
        <f t="shared" ref="P24:P38" ca="1" si="7">-L24+N24</f>
        <v>-883237.25401533314</v>
      </c>
      <c r="Q24" s="806">
        <f t="shared" ref="Q24:Q43" ca="1" si="8">G24-SUM(G24*4%,H24)-M24</f>
        <v>883237.25401533314</v>
      </c>
      <c r="R24" s="806">
        <f t="shared" ref="R24:R44" ca="1" si="9">SUM(P24:Q24)</f>
        <v>0</v>
      </c>
      <c r="U24" s="806"/>
    </row>
    <row r="25" spans="3:21">
      <c r="C25" s="810"/>
      <c r="D25" s="807">
        <f t="shared" ca="1" si="4"/>
        <v>45321</v>
      </c>
      <c r="E25" s="804">
        <f ca="1">SUMIFS(Projeto!$B:$B,Projeto!$A:$A,EOMONTH(D25,-1))</f>
        <v>2437004.7809523805</v>
      </c>
      <c r="F25" s="804">
        <f t="shared" ca="1" si="0"/>
        <v>2437004.7809523805</v>
      </c>
      <c r="G25" s="804">
        <f t="shared" ca="1" si="1"/>
        <v>852951.67333333311</v>
      </c>
      <c r="H25" s="804">
        <f t="shared" ca="1" si="2"/>
        <v>-57403.647615333321</v>
      </c>
      <c r="I25" s="804">
        <f t="shared" ca="1" si="3"/>
        <v>0</v>
      </c>
      <c r="J25" s="804">
        <f t="shared" ca="1" si="5"/>
        <v>795548.02571799979</v>
      </c>
      <c r="K25" s="804"/>
      <c r="L25" s="805">
        <f ca="1">SUMIFS(Projeto!$C:$C,Projeto!$A:$A,D25)</f>
        <v>0</v>
      </c>
      <c r="M25" s="805">
        <v>-7000</v>
      </c>
      <c r="N25" s="804">
        <f t="shared" ca="1" si="6"/>
        <v>-883237.25401533314</v>
      </c>
      <c r="P25" s="806">
        <f t="shared" ca="1" si="7"/>
        <v>-883237.25401533314</v>
      </c>
      <c r="Q25" s="806">
        <f t="shared" ca="1" si="8"/>
        <v>883237.25401533314</v>
      </c>
      <c r="R25" s="806">
        <f t="shared" ca="1" si="9"/>
        <v>0</v>
      </c>
      <c r="U25" s="806"/>
    </row>
    <row r="26" spans="3:21">
      <c r="C26" s="810"/>
      <c r="D26" s="807">
        <f t="shared" ca="1" si="4"/>
        <v>45351</v>
      </c>
      <c r="E26" s="804">
        <f ca="1">SUMIFS(Projeto!$B:$B,Projeto!$A:$A,EOMONTH(D26,-1))</f>
        <v>2437004.7809523805</v>
      </c>
      <c r="F26" s="804">
        <f t="shared" ca="1" si="0"/>
        <v>2437004.7809523805</v>
      </c>
      <c r="G26" s="804">
        <f t="shared" ca="1" si="1"/>
        <v>852951.67333333311</v>
      </c>
      <c r="H26" s="804">
        <f t="shared" ca="1" si="2"/>
        <v>-57403.647615333321</v>
      </c>
      <c r="I26" s="804">
        <f t="shared" ca="1" si="3"/>
        <v>0</v>
      </c>
      <c r="J26" s="804">
        <f t="shared" ca="1" si="5"/>
        <v>795548.02571799979</v>
      </c>
      <c r="K26" s="804"/>
      <c r="L26" s="805">
        <f ca="1">SUMIFS(Projeto!$C:$C,Projeto!$A:$A,D26)</f>
        <v>-5481212.7878351007</v>
      </c>
      <c r="M26" s="805">
        <v>-7000</v>
      </c>
      <c r="N26" s="804">
        <f t="shared" ca="1" si="6"/>
        <v>-6364450.0418504337</v>
      </c>
      <c r="P26" s="806">
        <f t="shared" ca="1" si="7"/>
        <v>-883237.25401533302</v>
      </c>
      <c r="Q26" s="806">
        <f t="shared" ca="1" si="8"/>
        <v>883237.25401533314</v>
      </c>
      <c r="R26" s="806">
        <f t="shared" ca="1" si="9"/>
        <v>0</v>
      </c>
      <c r="U26" s="806"/>
    </row>
    <row r="27" spans="3:21">
      <c r="C27" s="810"/>
      <c r="D27" s="807">
        <f t="shared" ca="1" si="4"/>
        <v>45380</v>
      </c>
      <c r="E27" s="804">
        <f ca="1">SUMIFS(Projeto!$B:$B,Projeto!$A:$A,EOMONTH(D27,-1))</f>
        <v>6952978.9942857139</v>
      </c>
      <c r="F27" s="804">
        <f t="shared" ca="1" si="0"/>
        <v>6952978.9942857139</v>
      </c>
      <c r="G27" s="804">
        <f t="shared" ca="1" si="1"/>
        <v>2433542.6479999996</v>
      </c>
      <c r="H27" s="804">
        <f t="shared" ca="1" si="2"/>
        <v>-163777.42021039996</v>
      </c>
      <c r="I27" s="804">
        <f t="shared" ca="1" si="3"/>
        <v>0</v>
      </c>
      <c r="J27" s="804">
        <f t="shared" ca="1" si="5"/>
        <v>2269765.2277895994</v>
      </c>
      <c r="K27" s="804"/>
      <c r="L27" s="805">
        <f ca="1">SUMIFS(Projeto!$C:$C,Projeto!$A:$A,D27)</f>
        <v>0</v>
      </c>
      <c r="M27" s="805">
        <v>-7000</v>
      </c>
      <c r="N27" s="804">
        <f t="shared" ca="1" si="6"/>
        <v>-2506978.3622903996</v>
      </c>
      <c r="P27" s="806">
        <f t="shared" ca="1" si="7"/>
        <v>-2506978.3622903996</v>
      </c>
      <c r="Q27" s="806">
        <f t="shared" ca="1" si="8"/>
        <v>2506978.3622903996</v>
      </c>
      <c r="R27" s="806">
        <f t="shared" ca="1" si="9"/>
        <v>0</v>
      </c>
      <c r="U27" s="806"/>
    </row>
    <row r="28" spans="3:21">
      <c r="C28" s="810"/>
      <c r="D28" s="807">
        <f t="shared" ca="1" si="4"/>
        <v>45411</v>
      </c>
      <c r="E28" s="804">
        <f ca="1">SUMIFS(Projeto!$B:$B,Projeto!$A:$A,EOMONTH(D28,-1))</f>
        <v>2805655.7371428572</v>
      </c>
      <c r="F28" s="804">
        <f t="shared" ca="1" si="0"/>
        <v>2805655.7371428572</v>
      </c>
      <c r="G28" s="804">
        <f t="shared" ca="1" si="1"/>
        <v>981979.50799999991</v>
      </c>
      <c r="H28" s="804">
        <f t="shared" ca="1" si="2"/>
        <v>-66087.220888399999</v>
      </c>
      <c r="I28" s="804">
        <f t="shared" ca="1" si="3"/>
        <v>0</v>
      </c>
      <c r="J28" s="804">
        <f t="shared" ca="1" si="5"/>
        <v>915892.28711159993</v>
      </c>
      <c r="K28" s="804"/>
      <c r="L28" s="805">
        <f ca="1">SUMIFS(Projeto!$C:$C,Projeto!$A:$A,D28)</f>
        <v>0</v>
      </c>
      <c r="M28" s="805">
        <v>-7000</v>
      </c>
      <c r="N28" s="804">
        <f t="shared" ca="1" si="6"/>
        <v>-1015787.5485683999</v>
      </c>
      <c r="P28" s="806">
        <f t="shared" ca="1" si="7"/>
        <v>-1015787.5485683999</v>
      </c>
      <c r="Q28" s="806">
        <f t="shared" ca="1" si="8"/>
        <v>1015787.5485683999</v>
      </c>
      <c r="R28" s="806">
        <f t="shared" ca="1" si="9"/>
        <v>0</v>
      </c>
      <c r="U28" s="806"/>
    </row>
    <row r="29" spans="3:21">
      <c r="C29" s="810"/>
      <c r="D29" s="807">
        <f t="shared" ca="1" si="4"/>
        <v>45441</v>
      </c>
      <c r="E29" s="804">
        <f ca="1">SUMIFS(Projeto!$B:$B,Projeto!$A:$A,EOMONTH(D29,-1))</f>
        <v>2805655.7371428572</v>
      </c>
      <c r="F29" s="804">
        <f t="shared" ca="1" si="0"/>
        <v>2805655.7371428572</v>
      </c>
      <c r="G29" s="804">
        <f t="shared" ca="1" si="1"/>
        <v>981979.50799999991</v>
      </c>
      <c r="H29" s="804">
        <f t="shared" ca="1" si="2"/>
        <v>-66087.220888399999</v>
      </c>
      <c r="I29" s="804">
        <f t="shared" ca="1" si="3"/>
        <v>0</v>
      </c>
      <c r="J29" s="804">
        <f t="shared" ca="1" si="5"/>
        <v>915892.28711159993</v>
      </c>
      <c r="K29" s="804"/>
      <c r="L29" s="805">
        <f ca="1">SUMIFS(Projeto!$C:$C,Projeto!$A:$A,D29)</f>
        <v>0</v>
      </c>
      <c r="M29" s="805">
        <v>-7000</v>
      </c>
      <c r="N29" s="804">
        <f t="shared" ca="1" si="6"/>
        <v>-1015787.5485683999</v>
      </c>
      <c r="P29" s="806">
        <f t="shared" ca="1" si="7"/>
        <v>-1015787.5485683999</v>
      </c>
      <c r="Q29" s="806">
        <f t="shared" ca="1" si="8"/>
        <v>1015787.5485683999</v>
      </c>
      <c r="R29" s="806">
        <f t="shared" ca="1" si="9"/>
        <v>0</v>
      </c>
      <c r="U29" s="806"/>
    </row>
    <row r="30" spans="3:21">
      <c r="C30" s="810"/>
      <c r="D30" s="807">
        <f t="shared" ca="1" si="4"/>
        <v>45472</v>
      </c>
      <c r="E30" s="804">
        <f ca="1">SUMIFS(Projeto!$B:$B,Projeto!$A:$A,EOMONTH(D30,-1))</f>
        <v>2805655.7371428572</v>
      </c>
      <c r="F30" s="804">
        <f t="shared" ca="1" si="0"/>
        <v>2805655.7371428572</v>
      </c>
      <c r="G30" s="804">
        <f t="shared" ca="1" si="1"/>
        <v>981979.50799999991</v>
      </c>
      <c r="H30" s="804">
        <f t="shared" ca="1" si="2"/>
        <v>-66087.220888399999</v>
      </c>
      <c r="I30" s="804">
        <f t="shared" ca="1" si="3"/>
        <v>0</v>
      </c>
      <c r="J30" s="804">
        <f t="shared" ca="1" si="5"/>
        <v>915892.28711159993</v>
      </c>
      <c r="K30" s="804"/>
      <c r="L30" s="805">
        <f ca="1">SUMIFS(Projeto!$C:$C,Projeto!$A:$A,D30)</f>
        <v>0</v>
      </c>
      <c r="M30" s="805">
        <v>-7000</v>
      </c>
      <c r="N30" s="804">
        <f t="shared" ca="1" si="6"/>
        <v>-1015787.5485683999</v>
      </c>
      <c r="P30" s="806">
        <f t="shared" ca="1" si="7"/>
        <v>-1015787.5485683999</v>
      </c>
      <c r="Q30" s="806">
        <f t="shared" ca="1" si="8"/>
        <v>1015787.5485683999</v>
      </c>
      <c r="R30" s="806">
        <f t="shared" ca="1" si="9"/>
        <v>0</v>
      </c>
      <c r="U30" s="806"/>
    </row>
    <row r="31" spans="3:21">
      <c r="C31" s="810"/>
      <c r="D31" s="807">
        <f t="shared" ca="1" si="4"/>
        <v>45502</v>
      </c>
      <c r="E31" s="804">
        <f ca="1">SUMIFS(Projeto!$B:$B,Projeto!$A:$A,EOMONTH(D31,-1))</f>
        <v>2805655.7371428572</v>
      </c>
      <c r="F31" s="804">
        <f t="shared" ca="1" si="0"/>
        <v>2805655.7371428572</v>
      </c>
      <c r="G31" s="804">
        <f t="shared" ca="1" si="1"/>
        <v>981979.50799999991</v>
      </c>
      <c r="H31" s="804">
        <f t="shared" ca="1" si="2"/>
        <v>-66087.220888399999</v>
      </c>
      <c r="I31" s="804">
        <f t="shared" ca="1" si="3"/>
        <v>0</v>
      </c>
      <c r="J31" s="804">
        <f t="shared" ca="1" si="5"/>
        <v>915892.28711159993</v>
      </c>
      <c r="K31" s="804"/>
      <c r="L31" s="805">
        <f ca="1">SUMIFS(Projeto!$C:$C,Projeto!$A:$A,D31)</f>
        <v>0</v>
      </c>
      <c r="M31" s="805">
        <v>-7000</v>
      </c>
      <c r="N31" s="804">
        <f t="shared" ca="1" si="6"/>
        <v>-1015787.5485683999</v>
      </c>
      <c r="P31" s="806">
        <f t="shared" ca="1" si="7"/>
        <v>-1015787.5485683999</v>
      </c>
      <c r="Q31" s="806">
        <f t="shared" ca="1" si="8"/>
        <v>1015787.5485683999</v>
      </c>
      <c r="R31" s="806">
        <f t="shared" ca="1" si="9"/>
        <v>0</v>
      </c>
      <c r="U31" s="806"/>
    </row>
    <row r="32" spans="3:21">
      <c r="C32" s="810"/>
      <c r="D32" s="807">
        <f t="shared" ca="1" si="4"/>
        <v>45533</v>
      </c>
      <c r="E32" s="804">
        <f ca="1">SUMIFS(Projeto!$B:$B,Projeto!$A:$A,EOMONTH(D32,-1))</f>
        <v>2805655.7371428572</v>
      </c>
      <c r="F32" s="804">
        <f t="shared" ca="1" si="0"/>
        <v>2805655.7371428572</v>
      </c>
      <c r="G32" s="804">
        <f t="shared" ca="1" si="1"/>
        <v>981979.50799999991</v>
      </c>
      <c r="H32" s="804">
        <f t="shared" ca="1" si="2"/>
        <v>-66087.220888399999</v>
      </c>
      <c r="I32" s="804">
        <f t="shared" ca="1" si="3"/>
        <v>0</v>
      </c>
      <c r="J32" s="804">
        <f t="shared" ca="1" si="5"/>
        <v>915892.28711159993</v>
      </c>
      <c r="K32" s="804"/>
      <c r="L32" s="805">
        <f ca="1">SUMIFS(Projeto!$C:$C,Projeto!$A:$A,D32)</f>
        <v>0</v>
      </c>
      <c r="M32" s="805">
        <v>-7000</v>
      </c>
      <c r="N32" s="804">
        <f t="shared" ca="1" si="6"/>
        <v>-1015787.5485683999</v>
      </c>
      <c r="P32" s="806">
        <f t="shared" ca="1" si="7"/>
        <v>-1015787.5485683999</v>
      </c>
      <c r="Q32" s="806">
        <f t="shared" ca="1" si="8"/>
        <v>1015787.5485683999</v>
      </c>
      <c r="R32" s="806">
        <f t="shared" ca="1" si="9"/>
        <v>0</v>
      </c>
      <c r="U32" s="806"/>
    </row>
    <row r="33" spans="3:21">
      <c r="C33" s="810"/>
      <c r="D33" s="807">
        <f t="shared" ca="1" si="4"/>
        <v>45564</v>
      </c>
      <c r="E33" s="804">
        <f ca="1">SUMIFS(Projeto!$B:$B,Projeto!$A:$A,EOMONTH(D33,-1))</f>
        <v>7567397.2546031736</v>
      </c>
      <c r="F33" s="804">
        <f t="shared" ca="1" si="0"/>
        <v>7567397.2546031736</v>
      </c>
      <c r="G33" s="804">
        <f t="shared" ca="1" si="1"/>
        <v>2648589.0391111104</v>
      </c>
      <c r="H33" s="804">
        <f t="shared" ca="1" si="2"/>
        <v>-178250.04233217772</v>
      </c>
      <c r="I33" s="804">
        <f t="shared" ca="1" si="3"/>
        <v>0</v>
      </c>
      <c r="J33" s="804">
        <f t="shared" ca="1" si="5"/>
        <v>2470338.9967789329</v>
      </c>
      <c r="K33" s="804"/>
      <c r="L33" s="805">
        <f ca="1">SUMIFS(Projeto!$C:$C,Projeto!$A:$A,D33)</f>
        <v>0</v>
      </c>
      <c r="M33" s="805">
        <v>-7000</v>
      </c>
      <c r="N33" s="804">
        <f t="shared" ca="1" si="6"/>
        <v>-2727895.5198788438</v>
      </c>
      <c r="P33" s="806">
        <f t="shared" ca="1" si="7"/>
        <v>-2727895.5198788438</v>
      </c>
      <c r="Q33" s="806">
        <f t="shared" ca="1" si="8"/>
        <v>2727895.5198788438</v>
      </c>
      <c r="R33" s="806">
        <f t="shared" ca="1" si="9"/>
        <v>0</v>
      </c>
      <c r="U33" s="806"/>
    </row>
    <row r="34" spans="3:21">
      <c r="C34" s="810"/>
      <c r="D34" s="807">
        <f t="shared" ca="1" si="4"/>
        <v>45594</v>
      </c>
      <c r="E34" s="804">
        <f ca="1">SUMIFS(Projeto!$B:$B,Projeto!$A:$A,EOMONTH(D34,-1))</f>
        <v>3420073.9974603173</v>
      </c>
      <c r="F34" s="804">
        <f t="shared" ca="1" si="0"/>
        <v>3420073.9974603173</v>
      </c>
      <c r="G34" s="804">
        <f t="shared" ca="1" si="1"/>
        <v>1197025.8991111109</v>
      </c>
      <c r="H34" s="804">
        <f t="shared" ca="1" si="2"/>
        <v>-80559.843010177763</v>
      </c>
      <c r="I34" s="804">
        <f t="shared" ca="1" si="3"/>
        <v>0</v>
      </c>
      <c r="J34" s="804">
        <f t="shared" ca="1" si="5"/>
        <v>1116466.0561009331</v>
      </c>
      <c r="K34" s="804"/>
      <c r="L34" s="805">
        <f ca="1">SUMIFS(Projeto!$C:$C,Projeto!$A:$A,D34)</f>
        <v>0</v>
      </c>
      <c r="M34" s="805">
        <v>-7000</v>
      </c>
      <c r="N34" s="804">
        <f t="shared" ca="1" si="6"/>
        <v>-1236704.7061568443</v>
      </c>
      <c r="P34" s="806">
        <f t="shared" ca="1" si="7"/>
        <v>-1236704.7061568443</v>
      </c>
      <c r="Q34" s="806">
        <f t="shared" ca="1" si="8"/>
        <v>1236704.7061568443</v>
      </c>
      <c r="R34" s="806">
        <f t="shared" ca="1" si="9"/>
        <v>0</v>
      </c>
      <c r="U34" s="806"/>
    </row>
    <row r="35" spans="3:21">
      <c r="C35" s="810"/>
      <c r="D35" s="807">
        <f t="shared" ca="1" si="4"/>
        <v>45625</v>
      </c>
      <c r="E35" s="804">
        <f ca="1">SUMIFS(Projeto!$B:$B,Projeto!$A:$A,EOMONTH(D35,-1))</f>
        <v>3420073.9974603173</v>
      </c>
      <c r="F35" s="804">
        <f t="shared" ca="1" si="0"/>
        <v>3420073.9974603173</v>
      </c>
      <c r="G35" s="804">
        <f t="shared" ca="1" si="1"/>
        <v>1197025.8991111109</v>
      </c>
      <c r="H35" s="804">
        <f t="shared" ca="1" si="2"/>
        <v>-80559.843010177763</v>
      </c>
      <c r="I35" s="804">
        <f t="shared" ca="1" si="3"/>
        <v>0</v>
      </c>
      <c r="J35" s="804">
        <f t="shared" ca="1" si="5"/>
        <v>1116466.0561009331</v>
      </c>
      <c r="K35" s="804"/>
      <c r="L35" s="805">
        <f ca="1">SUMIFS(Projeto!$C:$C,Projeto!$A:$A,D35)</f>
        <v>0</v>
      </c>
      <c r="M35" s="805">
        <v>-7000</v>
      </c>
      <c r="N35" s="804">
        <f t="shared" ca="1" si="6"/>
        <v>-1236704.7061568443</v>
      </c>
      <c r="P35" s="806">
        <f t="shared" ca="1" si="7"/>
        <v>-1236704.7061568443</v>
      </c>
      <c r="Q35" s="806">
        <f t="shared" ca="1" si="8"/>
        <v>1236704.7061568443</v>
      </c>
      <c r="R35" s="806">
        <f t="shared" ca="1" si="9"/>
        <v>0</v>
      </c>
      <c r="U35" s="806"/>
    </row>
    <row r="36" spans="3:21">
      <c r="C36" s="810"/>
      <c r="D36" s="807">
        <f t="shared" ca="1" si="4"/>
        <v>45655</v>
      </c>
      <c r="E36" s="804">
        <f ca="1">SUMIFS(Projeto!$B:$B,Projeto!$A:$A,EOMONTH(D36,-1))</f>
        <v>3420073.9974603173</v>
      </c>
      <c r="F36" s="804">
        <f t="shared" ca="1" si="0"/>
        <v>3420073.9974603173</v>
      </c>
      <c r="G36" s="804">
        <f t="shared" ca="1" si="1"/>
        <v>1197025.8991111109</v>
      </c>
      <c r="H36" s="804">
        <f t="shared" ca="1" si="2"/>
        <v>-80559.843010177763</v>
      </c>
      <c r="I36" s="804">
        <f t="shared" ca="1" si="3"/>
        <v>0</v>
      </c>
      <c r="J36" s="804">
        <f t="shared" ca="1" si="5"/>
        <v>1116466.0561009331</v>
      </c>
      <c r="K36" s="804"/>
      <c r="L36" s="805">
        <f ca="1">SUMIFS(Projeto!$C:$C,Projeto!$A:$A,D36)</f>
        <v>0</v>
      </c>
      <c r="M36" s="805">
        <v>-7000</v>
      </c>
      <c r="N36" s="804">
        <f t="shared" ca="1" si="6"/>
        <v>-1236704.7061568443</v>
      </c>
      <c r="P36" s="806">
        <f t="shared" ca="1" si="7"/>
        <v>-1236704.7061568443</v>
      </c>
      <c r="Q36" s="806">
        <f t="shared" ca="1" si="8"/>
        <v>1236704.7061568443</v>
      </c>
      <c r="R36" s="806">
        <f t="shared" ca="1" si="9"/>
        <v>0</v>
      </c>
      <c r="U36" s="806"/>
    </row>
    <row r="37" spans="3:21">
      <c r="D37" s="807">
        <f t="shared" ca="1" si="4"/>
        <v>45686</v>
      </c>
      <c r="E37" s="804">
        <f ca="1">SUMIFS(Projeto!$B:$B,Projeto!$A:$A,EOMONTH(D37,-1))</f>
        <v>3420073.9974603173</v>
      </c>
      <c r="F37" s="804">
        <f t="shared" ca="1" si="0"/>
        <v>3420073.9974603173</v>
      </c>
      <c r="G37" s="804">
        <f t="shared" ca="1" si="1"/>
        <v>1197025.8991111109</v>
      </c>
      <c r="H37" s="804">
        <f t="shared" ca="1" si="2"/>
        <v>-80559.843010177763</v>
      </c>
      <c r="I37" s="804">
        <f t="shared" ca="1" si="3"/>
        <v>0</v>
      </c>
      <c r="J37" s="804">
        <f t="shared" ca="1" si="5"/>
        <v>1116466.0561009331</v>
      </c>
      <c r="K37" s="804"/>
      <c r="L37" s="805">
        <f ca="1">SUMIFS(Projeto!$C:$C,Projeto!$A:$A,D37)</f>
        <v>0</v>
      </c>
      <c r="M37" s="805">
        <v>-7000</v>
      </c>
      <c r="N37" s="804">
        <f t="shared" ca="1" si="6"/>
        <v>-1236704.7061568443</v>
      </c>
      <c r="P37" s="806">
        <f t="shared" ca="1" si="7"/>
        <v>-1236704.7061568443</v>
      </c>
      <c r="Q37" s="806">
        <f t="shared" ca="1" si="8"/>
        <v>1236704.7061568443</v>
      </c>
      <c r="R37" s="806">
        <f t="shared" ca="1" si="9"/>
        <v>0</v>
      </c>
      <c r="U37" s="806"/>
    </row>
    <row r="38" spans="3:21">
      <c r="C38" s="811" t="s">
        <v>764</v>
      </c>
      <c r="D38" s="812">
        <f t="shared" ca="1" si="4"/>
        <v>45716</v>
      </c>
      <c r="E38" s="804">
        <f ca="1">SUMIFS(Projeto!$B:$B,Projeto!$A:$A,EOMONTH(D38,-1))</f>
        <v>3420073.9974603173</v>
      </c>
      <c r="F38" s="813">
        <f t="shared" ca="1" si="0"/>
        <v>3420073.9974603173</v>
      </c>
      <c r="G38" s="813">
        <f t="shared" ca="1" si="1"/>
        <v>1197025.8991111109</v>
      </c>
      <c r="H38" s="813">
        <f t="shared" ca="1" si="2"/>
        <v>-80559.843010177763</v>
      </c>
      <c r="I38" s="813">
        <f t="shared" ca="1" si="3"/>
        <v>0</v>
      </c>
      <c r="J38" s="813">
        <f t="shared" ca="1" si="5"/>
        <v>1116466.0561009331</v>
      </c>
      <c r="K38" s="813"/>
      <c r="L38" s="814">
        <f ca="1">SUMIFS(Projeto!$C:$C,Projeto!$A:$A,D38)+19890750</f>
        <v>32852299.900935806</v>
      </c>
      <c r="M38" s="814">
        <v>-7000</v>
      </c>
      <c r="N38" s="814">
        <f t="shared" ca="1" si="6"/>
        <v>31615595.194778964</v>
      </c>
      <c r="O38" s="815"/>
      <c r="P38" s="816">
        <f t="shared" ca="1" si="7"/>
        <v>-1236704.7061568424</v>
      </c>
      <c r="Q38" s="816">
        <f t="shared" ca="1" si="8"/>
        <v>1236704.7061568443</v>
      </c>
      <c r="R38" s="816">
        <f t="shared" ca="1" si="9"/>
        <v>1.862645149230957E-9</v>
      </c>
      <c r="S38" s="815"/>
      <c r="U38" s="806"/>
    </row>
    <row r="39" spans="3:21">
      <c r="C39" s="817" t="s">
        <v>765</v>
      </c>
      <c r="D39" s="807">
        <f t="shared" ca="1" si="4"/>
        <v>45744</v>
      </c>
      <c r="E39" s="804">
        <f ca="1">SUMIFS(Projeto!$B:$B,Projeto!$A:$A,EOMONTH(D39,-1))+SUM('Fluxo_de_Caixa Casas'!AI9:AM10)</f>
        <v>98900739.470476165</v>
      </c>
      <c r="F39" s="804">
        <f t="shared" ca="1" si="0"/>
        <v>98900739.470476165</v>
      </c>
      <c r="G39" s="804">
        <f t="shared" ca="1" si="1"/>
        <v>34615258.814666659</v>
      </c>
      <c r="H39" s="804">
        <f t="shared" ca="1" si="2"/>
        <v>-2329606.9182270663</v>
      </c>
      <c r="I39" s="804">
        <f t="shared" ca="1" si="3"/>
        <v>0</v>
      </c>
      <c r="J39" s="804">
        <f t="shared" ca="1" si="5"/>
        <v>32285651.896439593</v>
      </c>
      <c r="K39" s="804"/>
      <c r="L39" s="805">
        <f ca="1">SUMIFS(Projeto!$C:$C,Projeto!$A:$A,D39)</f>
        <v>0</v>
      </c>
      <c r="M39" s="805">
        <v>-7000</v>
      </c>
      <c r="N39" s="804">
        <f t="shared" ca="1" si="6"/>
        <v>-35567255.380307056</v>
      </c>
      <c r="P39" s="806">
        <f ca="1">-L39+N39</f>
        <v>-35567255.380307056</v>
      </c>
      <c r="Q39" s="806">
        <f t="shared" ca="1" si="8"/>
        <v>35567255.380307056</v>
      </c>
      <c r="R39" s="806">
        <f t="shared" ca="1" si="9"/>
        <v>0</v>
      </c>
      <c r="U39" s="806"/>
    </row>
    <row r="40" spans="3:21">
      <c r="C40" s="817" t="s">
        <v>765</v>
      </c>
      <c r="D40" s="807">
        <f t="shared" ca="1" si="4"/>
        <v>45775</v>
      </c>
      <c r="E40" s="804">
        <v>0</v>
      </c>
      <c r="F40" s="804">
        <v>0</v>
      </c>
      <c r="G40" s="804">
        <f t="shared" si="1"/>
        <v>0</v>
      </c>
      <c r="H40" s="804">
        <f t="shared" si="2"/>
        <v>0</v>
      </c>
      <c r="I40" s="804">
        <f t="shared" si="3"/>
        <v>0</v>
      </c>
      <c r="J40" s="804">
        <f t="shared" si="5"/>
        <v>0</v>
      </c>
      <c r="K40" s="804"/>
      <c r="L40" s="805">
        <f ca="1">SUMIFS(Projeto!$C:$C,Projeto!$A:$A,D40)</f>
        <v>0</v>
      </c>
      <c r="M40" s="805">
        <v>-7000</v>
      </c>
      <c r="N40" s="804">
        <f t="shared" ca="1" si="6"/>
        <v>-7000</v>
      </c>
      <c r="P40" s="806">
        <f t="shared" ref="P40:P44" ca="1" si="10">-L40+N40</f>
        <v>-7000</v>
      </c>
      <c r="Q40" s="806">
        <f t="shared" si="8"/>
        <v>7000</v>
      </c>
      <c r="R40" s="806">
        <f t="shared" ca="1" si="9"/>
        <v>0</v>
      </c>
      <c r="U40" s="806"/>
    </row>
    <row r="41" spans="3:21">
      <c r="C41" s="817" t="s">
        <v>765</v>
      </c>
      <c r="D41" s="807">
        <f t="shared" ca="1" si="4"/>
        <v>45805</v>
      </c>
      <c r="E41" s="804">
        <v>0</v>
      </c>
      <c r="F41" s="804">
        <v>0</v>
      </c>
      <c r="G41" s="804">
        <f t="shared" si="1"/>
        <v>0</v>
      </c>
      <c r="H41" s="804">
        <f t="shared" si="2"/>
        <v>0</v>
      </c>
      <c r="I41" s="804">
        <f t="shared" si="3"/>
        <v>0</v>
      </c>
      <c r="J41" s="804">
        <f t="shared" si="5"/>
        <v>0</v>
      </c>
      <c r="K41" s="804"/>
      <c r="L41" s="805">
        <f ca="1">SUMIFS(Projeto!$C:$C,Projeto!$A:$A,D41)</f>
        <v>0</v>
      </c>
      <c r="M41" s="805">
        <v>0</v>
      </c>
      <c r="N41" s="804">
        <f t="shared" ca="1" si="6"/>
        <v>0</v>
      </c>
      <c r="P41" s="806">
        <f t="shared" ca="1" si="10"/>
        <v>0</v>
      </c>
      <c r="Q41" s="806">
        <f t="shared" si="8"/>
        <v>0</v>
      </c>
      <c r="R41" s="806">
        <f t="shared" ca="1" si="9"/>
        <v>0</v>
      </c>
      <c r="U41" s="806"/>
    </row>
    <row r="42" spans="3:21">
      <c r="C42" s="817" t="s">
        <v>765</v>
      </c>
      <c r="D42" s="807">
        <f t="shared" ca="1" si="4"/>
        <v>45836</v>
      </c>
      <c r="E42" s="804">
        <v>0</v>
      </c>
      <c r="F42" s="804">
        <v>0</v>
      </c>
      <c r="G42" s="804">
        <f t="shared" si="1"/>
        <v>0</v>
      </c>
      <c r="H42" s="804">
        <f t="shared" si="2"/>
        <v>0</v>
      </c>
      <c r="I42" s="804">
        <f t="shared" si="3"/>
        <v>0</v>
      </c>
      <c r="J42" s="804">
        <f t="shared" si="5"/>
        <v>0</v>
      </c>
      <c r="K42" s="804"/>
      <c r="L42" s="805">
        <f ca="1">SUMIFS(Projeto!$C:$C,Projeto!$A:$A,D42)</f>
        <v>0</v>
      </c>
      <c r="M42" s="805">
        <v>0</v>
      </c>
      <c r="N42" s="804">
        <f t="shared" ca="1" si="6"/>
        <v>0</v>
      </c>
      <c r="P42" s="806">
        <f t="shared" ca="1" si="10"/>
        <v>0</v>
      </c>
      <c r="Q42" s="806">
        <f t="shared" si="8"/>
        <v>0</v>
      </c>
      <c r="R42" s="806">
        <f t="shared" ca="1" si="9"/>
        <v>0</v>
      </c>
      <c r="U42" s="806"/>
    </row>
    <row r="43" spans="3:21">
      <c r="C43" s="817" t="s">
        <v>765</v>
      </c>
      <c r="D43" s="807">
        <f t="shared" ca="1" si="4"/>
        <v>45866</v>
      </c>
      <c r="E43" s="804">
        <v>0</v>
      </c>
      <c r="F43" s="804">
        <v>0</v>
      </c>
      <c r="G43" s="804">
        <f t="shared" si="1"/>
        <v>0</v>
      </c>
      <c r="H43" s="804">
        <f t="shared" si="2"/>
        <v>0</v>
      </c>
      <c r="I43" s="804">
        <f t="shared" si="3"/>
        <v>0</v>
      </c>
      <c r="J43" s="804">
        <f t="shared" si="5"/>
        <v>0</v>
      </c>
      <c r="K43" s="804"/>
      <c r="L43" s="805">
        <f ca="1">SUMIFS(Projeto!$C:$C,Projeto!$A:$A,D43)</f>
        <v>0</v>
      </c>
      <c r="M43" s="805">
        <v>0</v>
      </c>
      <c r="N43" s="804">
        <f t="shared" ca="1" si="6"/>
        <v>0</v>
      </c>
      <c r="P43" s="806">
        <f t="shared" ca="1" si="10"/>
        <v>0</v>
      </c>
      <c r="Q43" s="806">
        <f t="shared" si="8"/>
        <v>0</v>
      </c>
      <c r="R43" s="806">
        <f t="shared" ca="1" si="9"/>
        <v>0</v>
      </c>
      <c r="U43" s="806"/>
    </row>
    <row r="44" spans="3:21">
      <c r="C44" s="817" t="s">
        <v>765</v>
      </c>
      <c r="D44" s="807">
        <f t="shared" ca="1" si="4"/>
        <v>45897</v>
      </c>
      <c r="E44" s="804">
        <v>0</v>
      </c>
      <c r="F44" s="809">
        <f ca="1">SUM(E20:E44)-SUM(F20:F43)</f>
        <v>0</v>
      </c>
      <c r="G44" s="809">
        <f>+E11</f>
        <v>4350922.84</v>
      </c>
      <c r="H44" s="804">
        <f t="shared" si="2"/>
        <v>-292817.10713199998</v>
      </c>
      <c r="I44" s="804">
        <f t="shared" si="3"/>
        <v>0</v>
      </c>
      <c r="J44" s="809">
        <f>SUM(G44:I44)</f>
        <v>4058105.7328679999</v>
      </c>
      <c r="K44" s="804"/>
      <c r="L44" s="805">
        <f ca="1">SUMIFS(Projeto!$C:$C,Projeto!$A:$A,D44)</f>
        <v>0</v>
      </c>
      <c r="M44" s="805">
        <v>0</v>
      </c>
      <c r="N44" s="804">
        <f ca="1">SUM(L44,-G44,SUM(G44*4%,H44))+M44-E14</f>
        <v>-10910068.969856512</v>
      </c>
      <c r="P44" s="806">
        <f t="shared" ca="1" si="10"/>
        <v>-10910068.969856512</v>
      </c>
      <c r="Q44" s="806">
        <f ca="1">G44-SUM(G44*4%,H44)-M44+E14</f>
        <v>10910068.969856512</v>
      </c>
      <c r="R44" s="806">
        <f t="shared" ca="1" si="9"/>
        <v>0</v>
      </c>
      <c r="U44" s="806"/>
    </row>
    <row r="45" spans="3:21">
      <c r="E45" s="818" t="b">
        <f ca="1">SUM(E20:E44)=SUM(F20:F44)</f>
        <v>1</v>
      </c>
      <c r="F45" s="819">
        <f ca="1">F44/SUM(E20:E44)</f>
        <v>0</v>
      </c>
      <c r="L45" s="820"/>
      <c r="M45" s="820"/>
      <c r="N45" s="820"/>
    </row>
    <row r="46" spans="3:21">
      <c r="L46" s="820"/>
    </row>
    <row r="48" spans="3:21">
      <c r="D48" s="821" t="s">
        <v>52</v>
      </c>
      <c r="E48" s="822"/>
    </row>
    <row r="49" spans="4:6">
      <c r="D49" s="823" t="s">
        <v>766</v>
      </c>
      <c r="E49" s="824">
        <f>-J23</f>
        <v>45494943.729999997</v>
      </c>
    </row>
    <row r="50" spans="4:6">
      <c r="D50" s="823" t="s">
        <v>767</v>
      </c>
      <c r="E50" s="825">
        <f ca="1">E49/E54</f>
        <v>0.28151279096624371</v>
      </c>
    </row>
    <row r="51" spans="4:6">
      <c r="D51" s="823" t="s">
        <v>768</v>
      </c>
      <c r="E51" s="824">
        <f ca="1">SUM(G20:G44)-E49</f>
        <v>15419058.360666655</v>
      </c>
    </row>
    <row r="52" spans="4:6">
      <c r="D52" s="823" t="s">
        <v>769</v>
      </c>
      <c r="E52" s="824">
        <f ca="1">E14</f>
        <v>6440365.9363245117</v>
      </c>
    </row>
    <row r="53" spans="4:6">
      <c r="D53" s="823" t="s">
        <v>770</v>
      </c>
      <c r="E53" s="824">
        <f ca="1">SUM(E51:E52,E49)</f>
        <v>67354368.026991159</v>
      </c>
    </row>
    <row r="54" spans="4:6">
      <c r="D54" s="823" t="s">
        <v>446</v>
      </c>
      <c r="E54" s="824">
        <f ca="1">SUM(E20:E44)</f>
        <v>161608797.85904759</v>
      </c>
      <c r="F54" s="826"/>
    </row>
    <row r="55" spans="4:6">
      <c r="D55" s="827" t="s">
        <v>771</v>
      </c>
      <c r="E55" s="828">
        <f ca="1">E53/E54</f>
        <v>0.4167741417502312</v>
      </c>
    </row>
  </sheetData>
  <pageMargins left="0.511811024" right="0.511811024" top="0.78740157499999996" bottom="0.78740157499999996" header="0.31496062000000002" footer="0.31496062000000002"/>
  <pageSetup orientation="portrait" r:id="rId1"/>
  <headerFooter>
    <oddFooter>&amp;L&amp;1#&amp;"Calibri"&amp;10&amp;K000000Internal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16EBE-F82B-4BD0-9605-B276313BE560}">
  <sheetPr codeName="Planilha8">
    <tabColor rgb="FF00B050"/>
  </sheetPr>
  <dimension ref="A1:AP83"/>
  <sheetViews>
    <sheetView showGridLines="0" tabSelected="1" topLeftCell="B20" zoomScale="103" zoomScaleNormal="70" zoomScaleSheetLayoutView="70" workbookViewId="0">
      <selection activeCell="AH58" sqref="AH58:AI58"/>
    </sheetView>
  </sheetViews>
  <sheetFormatPr baseColWidth="10" defaultColWidth="14.33203125" defaultRowHeight="15" customHeight="1"/>
  <cols>
    <col min="1" max="1" width="2.83203125" style="254" customWidth="1"/>
    <col min="2" max="2" width="4.33203125" style="254" customWidth="1"/>
    <col min="3" max="5" width="7.33203125" style="254" customWidth="1"/>
    <col min="6" max="7" width="5.6640625" style="254" customWidth="1"/>
    <col min="8" max="8" width="9" style="254" customWidth="1"/>
    <col min="9" max="9" width="15.5" style="254" customWidth="1"/>
    <col min="10" max="10" width="5.6640625" style="254" customWidth="1"/>
    <col min="11" max="11" width="7.33203125" style="254" customWidth="1"/>
    <col min="12" max="12" width="5.6640625" style="254" customWidth="1"/>
    <col min="13" max="13" width="7.33203125" style="254" customWidth="1"/>
    <col min="14" max="14" width="7.1640625" style="254" customWidth="1"/>
    <col min="15" max="15" width="7.33203125" style="254" customWidth="1"/>
    <col min="16" max="16" width="6.5" style="254" customWidth="1"/>
    <col min="17" max="26" width="7.33203125" style="254" customWidth="1"/>
    <col min="27" max="27" width="2.83203125" style="254" customWidth="1"/>
    <col min="28" max="31" width="7.33203125" style="378" customWidth="1"/>
    <col min="32" max="32" width="4.33203125" style="378" customWidth="1"/>
    <col min="33" max="33" width="9.5" style="378" customWidth="1"/>
    <col min="34" max="34" width="7.1640625" style="378" customWidth="1"/>
    <col min="35" max="35" width="10.1640625" style="378" customWidth="1"/>
    <col min="36" max="36" width="3.5" style="378" customWidth="1"/>
    <col min="37" max="37" width="4.33203125" style="254" customWidth="1"/>
    <col min="38" max="38" width="4.6640625" style="254" customWidth="1"/>
    <col min="39" max="16384" width="14.33203125" style="254"/>
  </cols>
  <sheetData>
    <row r="1" spans="1:37" ht="15" customHeight="1">
      <c r="A1" s="253"/>
      <c r="AB1" s="254"/>
      <c r="AC1" s="254"/>
      <c r="AD1" s="254"/>
      <c r="AE1" s="254"/>
      <c r="AF1" s="254"/>
      <c r="AG1" s="254"/>
      <c r="AH1" s="254"/>
      <c r="AI1" s="254"/>
      <c r="AJ1" s="254"/>
    </row>
    <row r="2" spans="1:37" ht="15" customHeight="1">
      <c r="B2" s="985"/>
      <c r="C2" s="985"/>
      <c r="D2" s="985"/>
      <c r="E2" s="985"/>
      <c r="F2" s="255"/>
      <c r="G2" s="255"/>
      <c r="H2" s="255"/>
      <c r="I2" s="255"/>
      <c r="J2" s="255"/>
      <c r="K2" s="255"/>
      <c r="L2" s="255"/>
      <c r="M2" s="255"/>
      <c r="N2" s="255"/>
      <c r="O2" s="255"/>
      <c r="P2" s="255"/>
      <c r="Q2" s="255"/>
      <c r="R2" s="255"/>
      <c r="S2" s="255"/>
      <c r="T2" s="255"/>
      <c r="U2" s="255"/>
      <c r="V2" s="255"/>
      <c r="W2" s="255"/>
      <c r="X2" s="255"/>
      <c r="Y2" s="255"/>
      <c r="Z2" s="255"/>
      <c r="AA2" s="255"/>
      <c r="AB2" s="255"/>
      <c r="AC2" s="255"/>
      <c r="AD2" s="255"/>
      <c r="AE2" s="255"/>
      <c r="AF2" s="255"/>
      <c r="AG2" s="986"/>
      <c r="AH2" s="987"/>
      <c r="AI2" s="987"/>
      <c r="AJ2" s="987"/>
      <c r="AK2" s="988"/>
    </row>
    <row r="3" spans="1:37" ht="22.5" customHeight="1">
      <c r="B3" s="985"/>
      <c r="C3" s="985"/>
      <c r="D3" s="985"/>
      <c r="E3" s="985"/>
      <c r="F3" s="256" t="s">
        <v>778</v>
      </c>
      <c r="G3" s="257"/>
      <c r="H3" s="258"/>
      <c r="I3" s="258"/>
      <c r="J3" s="258"/>
      <c r="K3" s="258"/>
      <c r="L3" s="258"/>
      <c r="M3" s="258"/>
      <c r="N3" s="258"/>
      <c r="O3" s="258"/>
      <c r="P3" s="258"/>
      <c r="Q3" s="258"/>
      <c r="R3" s="258"/>
      <c r="S3" s="258"/>
      <c r="T3" s="258"/>
      <c r="U3" s="992"/>
      <c r="V3" s="992"/>
      <c r="W3" s="992"/>
      <c r="X3" s="992"/>
      <c r="Y3" s="258"/>
      <c r="Z3" s="258"/>
      <c r="AA3" s="258"/>
      <c r="AB3" s="258"/>
      <c r="AC3" s="258"/>
      <c r="AD3" s="258"/>
      <c r="AE3" s="258"/>
      <c r="AF3" s="258"/>
      <c r="AG3" s="989"/>
      <c r="AH3" s="990"/>
      <c r="AI3" s="990"/>
      <c r="AJ3" s="990"/>
      <c r="AK3" s="991"/>
    </row>
    <row r="4" spans="1:37" ht="15" customHeight="1">
      <c r="B4" s="985"/>
      <c r="C4" s="985"/>
      <c r="D4" s="985"/>
      <c r="E4" s="985"/>
      <c r="F4" s="993"/>
      <c r="G4" s="994"/>
      <c r="H4" s="994"/>
      <c r="I4" s="994"/>
      <c r="J4" s="994"/>
      <c r="K4" s="994"/>
      <c r="L4" s="994"/>
      <c r="M4" s="994"/>
      <c r="N4" s="994"/>
      <c r="O4" s="994"/>
      <c r="P4" s="994"/>
      <c r="Q4" s="994"/>
      <c r="R4" s="994"/>
      <c r="S4" s="994"/>
      <c r="T4" s="994"/>
      <c r="U4" s="994"/>
      <c r="V4" s="994"/>
      <c r="W4" s="994"/>
      <c r="X4" s="994"/>
      <c r="Y4" s="994"/>
      <c r="Z4" s="994"/>
      <c r="AA4" s="994"/>
      <c r="AB4" s="994"/>
      <c r="AC4" s="994"/>
      <c r="AD4" s="994"/>
      <c r="AE4" s="994"/>
      <c r="AF4" s="995"/>
      <c r="AG4" s="989"/>
      <c r="AH4" s="990"/>
      <c r="AI4" s="990"/>
      <c r="AJ4" s="990"/>
      <c r="AK4" s="991"/>
    </row>
    <row r="5" spans="1:37" ht="15" customHeight="1">
      <c r="B5" s="985"/>
      <c r="C5" s="985"/>
      <c r="D5" s="985"/>
      <c r="E5" s="985"/>
      <c r="F5" s="993"/>
      <c r="G5" s="994"/>
      <c r="H5" s="994"/>
      <c r="I5" s="994"/>
      <c r="J5" s="994"/>
      <c r="K5" s="994"/>
      <c r="L5" s="994"/>
      <c r="M5" s="994"/>
      <c r="N5" s="994"/>
      <c r="O5" s="994"/>
      <c r="P5" s="994"/>
      <c r="Q5" s="994"/>
      <c r="R5" s="994"/>
      <c r="S5" s="994"/>
      <c r="T5" s="994"/>
      <c r="U5" s="994"/>
      <c r="V5" s="994"/>
      <c r="W5" s="994"/>
      <c r="X5" s="994"/>
      <c r="Y5" s="994"/>
      <c r="Z5" s="994"/>
      <c r="AA5" s="994"/>
      <c r="AB5" s="994"/>
      <c r="AC5" s="994"/>
      <c r="AD5" s="994"/>
      <c r="AE5" s="994"/>
      <c r="AF5" s="995"/>
      <c r="AG5" s="989"/>
      <c r="AH5" s="990"/>
      <c r="AI5" s="990"/>
      <c r="AJ5" s="990"/>
      <c r="AK5" s="991"/>
    </row>
    <row r="6" spans="1:37" ht="30" customHeight="1">
      <c r="B6" s="996" t="s">
        <v>248</v>
      </c>
      <c r="C6" s="997"/>
      <c r="D6" s="997"/>
      <c r="E6" s="997"/>
      <c r="F6" s="998"/>
      <c r="G6" s="998"/>
      <c r="H6" s="998"/>
      <c r="I6" s="998"/>
      <c r="J6" s="998"/>
      <c r="K6" s="998"/>
      <c r="L6" s="998"/>
      <c r="M6" s="998"/>
      <c r="N6" s="998"/>
      <c r="O6" s="998"/>
      <c r="P6" s="998"/>
      <c r="Q6" s="998"/>
      <c r="R6" s="998"/>
      <c r="S6" s="998"/>
      <c r="T6" s="998"/>
      <c r="U6" s="998"/>
      <c r="V6" s="998"/>
      <c r="W6" s="998"/>
      <c r="X6" s="998"/>
      <c r="Y6" s="998"/>
      <c r="Z6" s="998"/>
      <c r="AA6" s="998"/>
      <c r="AB6" s="998"/>
      <c r="AC6" s="998"/>
      <c r="AD6" s="998"/>
      <c r="AE6" s="998"/>
      <c r="AF6" s="998"/>
      <c r="AG6" s="998"/>
      <c r="AH6" s="998"/>
      <c r="AI6" s="998"/>
      <c r="AJ6" s="998"/>
      <c r="AK6" s="999"/>
    </row>
    <row r="7" spans="1:37" ht="15" customHeight="1">
      <c r="AB7" s="254"/>
      <c r="AC7" s="254"/>
      <c r="AD7" s="254"/>
      <c r="AE7" s="254"/>
      <c r="AF7" s="254"/>
      <c r="AG7" s="254"/>
      <c r="AH7" s="254"/>
      <c r="AI7" s="254"/>
      <c r="AJ7" s="254"/>
    </row>
    <row r="8" spans="1:37" ht="15" customHeight="1">
      <c r="B8" s="259"/>
      <c r="X8" s="260"/>
      <c r="Y8" s="1000"/>
      <c r="Z8" s="1001"/>
      <c r="AB8" s="254"/>
      <c r="AC8" s="254"/>
      <c r="AD8" s="254"/>
      <c r="AE8" s="254"/>
      <c r="AF8" s="254"/>
      <c r="AG8" s="254"/>
      <c r="AH8" s="254"/>
      <c r="AI8" s="254"/>
      <c r="AJ8" s="254"/>
    </row>
    <row r="9" spans="1:37" s="261" customFormat="1" ht="18.75" customHeight="1">
      <c r="B9" s="1002" t="s">
        <v>249</v>
      </c>
      <c r="C9" s="1003"/>
      <c r="D9" s="1003"/>
      <c r="E9" s="1003"/>
      <c r="F9" s="1003"/>
      <c r="G9" s="1003"/>
      <c r="H9" s="1003"/>
      <c r="I9" s="1003"/>
      <c r="J9" s="1003"/>
      <c r="K9" s="1003"/>
      <c r="L9" s="1003"/>
      <c r="M9" s="1003"/>
      <c r="N9" s="1003"/>
      <c r="O9" s="1003"/>
      <c r="P9" s="1003"/>
      <c r="Q9" s="1003"/>
      <c r="R9" s="1003"/>
      <c r="S9" s="1003"/>
      <c r="T9" s="1003"/>
      <c r="U9" s="1003"/>
      <c r="V9" s="1003"/>
      <c r="W9" s="1003"/>
      <c r="X9" s="1003"/>
      <c r="Y9" s="1003"/>
      <c r="Z9" s="262"/>
      <c r="AB9" s="1004" t="s">
        <v>250</v>
      </c>
      <c r="AC9" s="1005"/>
      <c r="AD9" s="1005"/>
      <c r="AE9" s="1005"/>
      <c r="AF9" s="1005"/>
      <c r="AG9" s="1005"/>
      <c r="AH9" s="1005"/>
      <c r="AI9" s="1005"/>
      <c r="AJ9" s="1005"/>
      <c r="AK9" s="1006"/>
    </row>
    <row r="10" spans="1:37" s="261" customFormat="1" ht="15" customHeight="1">
      <c r="B10" s="263"/>
      <c r="C10" s="1008" t="s">
        <v>251</v>
      </c>
      <c r="D10" s="1008"/>
      <c r="E10" s="1008"/>
      <c r="F10" s="1009" t="s">
        <v>252</v>
      </c>
      <c r="G10" s="1008" t="s">
        <v>253</v>
      </c>
      <c r="H10" s="1008"/>
      <c r="I10" s="1008"/>
      <c r="J10" s="1009" t="s">
        <v>254</v>
      </c>
      <c r="K10" s="1012" t="s">
        <v>255</v>
      </c>
      <c r="L10" s="1012"/>
      <c r="M10" s="1012"/>
      <c r="N10" s="1009" t="s">
        <v>252</v>
      </c>
      <c r="O10" s="1012" t="s">
        <v>256</v>
      </c>
      <c r="P10" s="1012"/>
      <c r="Q10" s="1009" t="s">
        <v>257</v>
      </c>
      <c r="R10" s="1012" t="s">
        <v>258</v>
      </c>
      <c r="S10" s="1012"/>
      <c r="T10" s="1012"/>
      <c r="U10" s="1009" t="s">
        <v>254</v>
      </c>
      <c r="V10" s="1013" t="s">
        <v>259</v>
      </c>
      <c r="W10" s="1013"/>
      <c r="X10" s="1013"/>
      <c r="Y10" s="1013"/>
      <c r="Z10" s="1014"/>
      <c r="AB10" s="264"/>
      <c r="AG10" s="265"/>
      <c r="AH10" s="265"/>
      <c r="AK10" s="266"/>
    </row>
    <row r="11" spans="1:37" s="261" customFormat="1" ht="15" customHeight="1">
      <c r="B11" s="267"/>
      <c r="C11" s="1015">
        <f>G15/O11</f>
        <v>909.50071428571425</v>
      </c>
      <c r="D11" s="1015"/>
      <c r="E11" s="1015"/>
      <c r="F11" s="1010"/>
      <c r="G11" s="1016">
        <v>16000</v>
      </c>
      <c r="H11" s="1016"/>
      <c r="I11" s="1016"/>
      <c r="J11" s="1011"/>
      <c r="K11" s="1017">
        <f>C11*G11</f>
        <v>14552011.428571427</v>
      </c>
      <c r="L11" s="1017"/>
      <c r="M11" s="1017"/>
      <c r="N11" s="1011"/>
      <c r="O11" s="1018">
        <v>14</v>
      </c>
      <c r="P11" s="1018"/>
      <c r="Q11" s="1011"/>
      <c r="R11" s="1019">
        <v>0</v>
      </c>
      <c r="S11" s="1019"/>
      <c r="T11" s="1019"/>
      <c r="U11" s="1011"/>
      <c r="V11" s="268"/>
      <c r="W11" s="1020">
        <f>K11*O11</f>
        <v>203728159.99999997</v>
      </c>
      <c r="X11" s="1020"/>
      <c r="Y11" s="1020"/>
      <c r="Z11" s="269"/>
      <c r="AB11" s="264"/>
      <c r="AC11" s="270"/>
      <c r="AD11" s="270"/>
      <c r="AE11" s="270"/>
      <c r="AG11" s="271"/>
      <c r="AH11" s="271"/>
      <c r="AI11" s="270"/>
      <c r="AK11" s="266"/>
    </row>
    <row r="12" spans="1:37" s="261" customFormat="1" ht="15" customHeight="1">
      <c r="B12" s="1026" t="s">
        <v>260</v>
      </c>
      <c r="C12" s="1008"/>
      <c r="D12" s="1008"/>
      <c r="E12" s="1027"/>
      <c r="F12" s="272"/>
      <c r="G12" s="1028" t="s">
        <v>261</v>
      </c>
      <c r="H12" s="1028"/>
      <c r="I12" s="1028"/>
      <c r="J12" s="1009" t="s">
        <v>252</v>
      </c>
      <c r="K12" s="1012" t="s">
        <v>262</v>
      </c>
      <c r="L12" s="1012"/>
      <c r="M12" s="1012"/>
      <c r="N12" s="1009" t="s">
        <v>254</v>
      </c>
      <c r="O12" s="1009"/>
      <c r="P12" s="1009"/>
      <c r="Q12" s="1009"/>
      <c r="R12" s="273"/>
      <c r="S12" s="1047" t="s">
        <v>263</v>
      </c>
      <c r="T12" s="1023"/>
      <c r="U12" s="1023"/>
      <c r="V12" s="273"/>
      <c r="W12" s="273"/>
      <c r="X12" s="273"/>
      <c r="Y12" s="273"/>
      <c r="Z12" s="274"/>
      <c r="AB12" s="264"/>
      <c r="AC12" s="1007" t="s">
        <v>264</v>
      </c>
      <c r="AD12" s="1007"/>
      <c r="AE12" s="1007"/>
      <c r="AG12" s="1007" t="s">
        <v>265</v>
      </c>
      <c r="AH12" s="1007"/>
      <c r="AI12" s="1007"/>
      <c r="AJ12" s="275"/>
      <c r="AK12" s="266"/>
    </row>
    <row r="13" spans="1:37" s="261" customFormat="1" ht="15" customHeight="1">
      <c r="B13" s="1040" t="s">
        <v>266</v>
      </c>
      <c r="C13" s="1041"/>
      <c r="D13" s="1041"/>
      <c r="E13" s="1042"/>
      <c r="F13" s="276"/>
      <c r="G13" s="1021">
        <v>7589</v>
      </c>
      <c r="H13" s="1021"/>
      <c r="I13" s="1021"/>
      <c r="J13" s="1010"/>
      <c r="K13" s="1022">
        <f>O14/G13</f>
        <v>7500.0000000000009</v>
      </c>
      <c r="L13" s="1022"/>
      <c r="M13" s="1022"/>
      <c r="N13" s="1010"/>
      <c r="O13" s="1023" t="s">
        <v>267</v>
      </c>
      <c r="P13" s="1023"/>
      <c r="Q13" s="1023"/>
      <c r="R13" s="1024" t="s">
        <v>257</v>
      </c>
      <c r="S13" s="1025">
        <v>0.1</v>
      </c>
      <c r="T13" s="1025"/>
      <c r="U13" s="1025"/>
      <c r="V13" s="1024" t="s">
        <v>254</v>
      </c>
      <c r="W13" s="277" t="s">
        <v>268</v>
      </c>
      <c r="X13" s="277"/>
      <c r="Y13" s="277"/>
      <c r="Z13" s="274"/>
      <c r="AB13" s="264"/>
      <c r="AG13" s="265"/>
      <c r="AH13" s="265"/>
      <c r="AK13" s="266"/>
    </row>
    <row r="14" spans="1:37" s="261" customFormat="1" ht="15" customHeight="1">
      <c r="B14" s="1040" t="s">
        <v>269</v>
      </c>
      <c r="C14" s="1041"/>
      <c r="D14" s="1041"/>
      <c r="E14" s="1042"/>
      <c r="F14" s="276"/>
      <c r="G14" s="1046" t="s">
        <v>260</v>
      </c>
      <c r="H14" s="1046"/>
      <c r="I14" s="1046"/>
      <c r="J14" s="1010"/>
      <c r="K14" s="1023" t="s">
        <v>270</v>
      </c>
      <c r="L14" s="1023"/>
      <c r="M14" s="1023"/>
      <c r="N14" s="1010"/>
      <c r="O14" s="1029">
        <f>G15*K15</f>
        <v>56917500.000000007</v>
      </c>
      <c r="P14" s="1029"/>
      <c r="Q14" s="1029"/>
      <c r="R14" s="1024"/>
      <c r="S14" s="1023" t="s">
        <v>271</v>
      </c>
      <c r="T14" s="1023"/>
      <c r="U14" s="1023"/>
      <c r="V14" s="1024"/>
      <c r="W14" s="1029">
        <f>O14*(1+S13+S15)</f>
        <v>63747600.000000015</v>
      </c>
      <c r="X14" s="1029"/>
      <c r="Y14" s="1029"/>
      <c r="Z14" s="274"/>
      <c r="AB14" s="264"/>
      <c r="AC14" s="270"/>
      <c r="AD14" s="270"/>
      <c r="AE14" s="270"/>
      <c r="AG14" s="271"/>
      <c r="AH14" s="271"/>
      <c r="AI14" s="270"/>
      <c r="AK14" s="266"/>
    </row>
    <row r="15" spans="1:37" s="261" customFormat="1" ht="15" customHeight="1">
      <c r="B15" s="1030">
        <f>G13/O17</f>
        <v>1.2035868124060318</v>
      </c>
      <c r="C15" s="1031"/>
      <c r="D15" s="1031"/>
      <c r="E15" s="1032"/>
      <c r="F15" s="278"/>
      <c r="G15" s="1033">
        <v>12733.01</v>
      </c>
      <c r="H15" s="1033"/>
      <c r="I15" s="1033"/>
      <c r="J15" s="1011"/>
      <c r="K15" s="1034">
        <v>4470.0742401050502</v>
      </c>
      <c r="L15" s="1034"/>
      <c r="M15" s="1034"/>
      <c r="N15" s="1011"/>
      <c r="O15" s="1035"/>
      <c r="P15" s="1035"/>
      <c r="Q15" s="1035"/>
      <c r="R15" s="278"/>
      <c r="S15" s="1037">
        <v>0.02</v>
      </c>
      <c r="T15" s="1038"/>
      <c r="U15" s="1038"/>
      <c r="V15" s="278"/>
      <c r="W15" s="1039">
        <f>W14/G13</f>
        <v>8400.0000000000018</v>
      </c>
      <c r="X15" s="1039"/>
      <c r="Y15" s="1039"/>
      <c r="Z15" s="269"/>
      <c r="AB15" s="264"/>
      <c r="AC15" s="1007" t="s">
        <v>272</v>
      </c>
      <c r="AD15" s="1007"/>
      <c r="AE15" s="1007"/>
      <c r="AG15" s="1007" t="s">
        <v>273</v>
      </c>
      <c r="AH15" s="1007"/>
      <c r="AI15" s="1007"/>
      <c r="AJ15" s="275"/>
      <c r="AK15" s="266"/>
    </row>
    <row r="16" spans="1:37" s="261" customFormat="1" ht="15" customHeight="1">
      <c r="B16" s="1026" t="s">
        <v>124</v>
      </c>
      <c r="C16" s="1008"/>
      <c r="D16" s="1008" t="s">
        <v>147</v>
      </c>
      <c r="E16" s="1027"/>
      <c r="F16" s="1012" t="s">
        <v>274</v>
      </c>
      <c r="G16" s="1012"/>
      <c r="H16" s="279" t="s">
        <v>275</v>
      </c>
      <c r="I16" s="279" t="s">
        <v>276</v>
      </c>
      <c r="J16" s="1026" t="s">
        <v>277</v>
      </c>
      <c r="K16" s="1008"/>
      <c r="L16" s="1008" t="s">
        <v>278</v>
      </c>
      <c r="M16" s="1027"/>
      <c r="N16" s="280"/>
      <c r="O16" s="1028" t="s">
        <v>279</v>
      </c>
      <c r="P16" s="1028"/>
      <c r="Q16" s="1028"/>
      <c r="R16" s="1009" t="s">
        <v>252</v>
      </c>
      <c r="S16" s="1012" t="s">
        <v>280</v>
      </c>
      <c r="T16" s="1012"/>
      <c r="U16" s="1012"/>
      <c r="V16" s="1009" t="s">
        <v>254</v>
      </c>
      <c r="W16" s="1009"/>
      <c r="X16" s="1009"/>
      <c r="Y16" s="1009"/>
      <c r="Z16" s="281"/>
      <c r="AB16" s="264"/>
      <c r="AG16" s="265"/>
      <c r="AH16" s="265"/>
      <c r="AK16" s="266"/>
    </row>
    <row r="17" spans="2:38" s="261" customFormat="1" ht="15" customHeight="1">
      <c r="B17" s="1052">
        <f ca="1">NOW()+30</f>
        <v>44882.623496527776</v>
      </c>
      <c r="C17" s="1053"/>
      <c r="D17" s="1053">
        <f ca="1">B17+120</f>
        <v>45002.623496527776</v>
      </c>
      <c r="E17" s="1054"/>
      <c r="F17" s="1055">
        <f>O11</f>
        <v>14</v>
      </c>
      <c r="G17" s="1055"/>
      <c r="H17" s="282">
        <v>0</v>
      </c>
      <c r="I17" s="282">
        <v>0</v>
      </c>
      <c r="J17" s="1056">
        <v>0</v>
      </c>
      <c r="K17" s="1057"/>
      <c r="L17" s="1043">
        <f>0</f>
        <v>0</v>
      </c>
      <c r="M17" s="1044"/>
      <c r="N17" s="283"/>
      <c r="O17" s="1045">
        <v>6305.32</v>
      </c>
      <c r="P17" s="1045"/>
      <c r="Q17" s="1045"/>
      <c r="R17" s="1010"/>
      <c r="S17" s="1022">
        <f>W18/O17</f>
        <v>6343.8493208909304</v>
      </c>
      <c r="T17" s="1022"/>
      <c r="U17" s="1022"/>
      <c r="V17" s="1010"/>
      <c r="W17" s="277" t="s">
        <v>281</v>
      </c>
      <c r="X17" s="277"/>
      <c r="Y17" s="277"/>
      <c r="Z17" s="274"/>
      <c r="AB17" s="264"/>
      <c r="AC17" s="270"/>
      <c r="AD17" s="270"/>
      <c r="AE17" s="270"/>
      <c r="AG17" s="271"/>
      <c r="AH17" s="271"/>
      <c r="AI17" s="270"/>
      <c r="AK17" s="266"/>
    </row>
    <row r="18" spans="2:38" s="261" customFormat="1" ht="15" customHeight="1">
      <c r="B18" s="1040" t="s">
        <v>282</v>
      </c>
      <c r="C18" s="1041"/>
      <c r="D18" s="1041" t="s">
        <v>228</v>
      </c>
      <c r="E18" s="1042"/>
      <c r="F18" s="1058" t="s">
        <v>258</v>
      </c>
      <c r="G18" s="1058"/>
      <c r="H18" s="1041" t="s">
        <v>283</v>
      </c>
      <c r="I18" s="1042"/>
      <c r="J18" s="1040" t="s">
        <v>284</v>
      </c>
      <c r="K18" s="1041"/>
      <c r="L18" s="1041" t="s">
        <v>285</v>
      </c>
      <c r="M18" s="1042"/>
      <c r="N18" s="283"/>
      <c r="O18" s="1046" t="s">
        <v>286</v>
      </c>
      <c r="P18" s="1046"/>
      <c r="Q18" s="1046"/>
      <c r="R18" s="1010"/>
      <c r="S18" s="1023" t="s">
        <v>287</v>
      </c>
      <c r="T18" s="1023"/>
      <c r="U18" s="1023"/>
      <c r="V18" s="1010"/>
      <c r="W18" s="1029">
        <v>40000000</v>
      </c>
      <c r="X18" s="1029"/>
      <c r="Y18" s="1029"/>
      <c r="Z18" s="274"/>
      <c r="AB18" s="264"/>
      <c r="AC18" s="1007" t="s">
        <v>288</v>
      </c>
      <c r="AD18" s="1007"/>
      <c r="AE18" s="1007"/>
      <c r="AG18" s="1007" t="s">
        <v>289</v>
      </c>
      <c r="AH18" s="1007"/>
      <c r="AI18" s="1007"/>
      <c r="AJ18" s="275"/>
      <c r="AK18" s="266"/>
    </row>
    <row r="19" spans="2:38" s="261" customFormat="1" ht="15" customHeight="1">
      <c r="B19" s="1059">
        <f ca="1">D17+90</f>
        <v>45092.623496527776</v>
      </c>
      <c r="C19" s="1060"/>
      <c r="D19" s="1060">
        <f ca="1">B19+(365*3)</f>
        <v>46187.623496527776</v>
      </c>
      <c r="E19" s="1061"/>
      <c r="F19" s="1019">
        <v>0</v>
      </c>
      <c r="G19" s="1019"/>
      <c r="H19" s="1062">
        <v>0</v>
      </c>
      <c r="I19" s="1063"/>
      <c r="J19" s="1064">
        <v>0</v>
      </c>
      <c r="K19" s="1065"/>
      <c r="L19" s="1065">
        <v>0</v>
      </c>
      <c r="M19" s="1066"/>
      <c r="N19" s="284"/>
      <c r="O19" s="1033">
        <f>O17*50%</f>
        <v>3152.66</v>
      </c>
      <c r="P19" s="1033"/>
      <c r="Q19" s="1033"/>
      <c r="R19" s="1011"/>
      <c r="S19" s="1036">
        <f>W18/O19</f>
        <v>12687.698641781861</v>
      </c>
      <c r="T19" s="1036"/>
      <c r="U19" s="1036"/>
      <c r="V19" s="1011"/>
      <c r="W19" s="1035"/>
      <c r="X19" s="1035"/>
      <c r="Y19" s="1035"/>
      <c r="Z19" s="269"/>
      <c r="AB19" s="285"/>
      <c r="AC19" s="270"/>
      <c r="AD19" s="270"/>
      <c r="AE19" s="270"/>
      <c r="AF19" s="270"/>
      <c r="AG19" s="271"/>
      <c r="AH19" s="271"/>
      <c r="AI19" s="270"/>
      <c r="AJ19" s="270"/>
      <c r="AK19" s="286"/>
    </row>
    <row r="20" spans="2:38" s="261" customFormat="1" ht="18.75" customHeight="1">
      <c r="B20" s="1048">
        <v>0</v>
      </c>
      <c r="C20" s="1048"/>
      <c r="D20" s="1048"/>
      <c r="E20" s="1048"/>
      <c r="F20" s="254"/>
      <c r="G20" s="254"/>
      <c r="H20" s="254"/>
      <c r="I20" s="254"/>
      <c r="J20" s="254"/>
      <c r="K20" s="254"/>
      <c r="L20" s="254"/>
      <c r="M20" s="254"/>
      <c r="N20" s="254"/>
      <c r="O20" s="254"/>
      <c r="P20" s="254"/>
      <c r="Q20" s="254"/>
      <c r="R20" s="254"/>
      <c r="S20" s="254"/>
      <c r="T20" s="254"/>
      <c r="U20" s="254"/>
      <c r="V20" s="254"/>
      <c r="W20" s="1049">
        <f>Z54</f>
        <v>0.35160442557376437</v>
      </c>
      <c r="X20" s="1049"/>
      <c r="Y20" s="1049"/>
      <c r="Z20" s="287">
        <f>W18/W11</f>
        <v>0.19634006413251859</v>
      </c>
      <c r="AA20" s="254"/>
      <c r="AB20" s="254"/>
      <c r="AC20" s="254"/>
      <c r="AD20" s="254"/>
      <c r="AE20" s="254"/>
      <c r="AF20" s="254"/>
      <c r="AG20" s="254"/>
      <c r="AH20" s="254"/>
      <c r="AI20" s="254"/>
      <c r="AJ20" s="254"/>
      <c r="AK20" s="254"/>
      <c r="AL20" s="254"/>
    </row>
    <row r="21" spans="2:38" s="261" customFormat="1" ht="15" customHeight="1">
      <c r="B21" s="288"/>
      <c r="C21" s="289"/>
      <c r="D21" s="290"/>
      <c r="E21" s="291"/>
      <c r="F21" s="291"/>
      <c r="G21" s="291"/>
      <c r="H21" s="1050" t="s">
        <v>290</v>
      </c>
      <c r="I21" s="1051"/>
      <c r="J21" s="1051"/>
      <c r="K21" s="1051"/>
      <c r="L21" s="1051"/>
      <c r="M21" s="1051"/>
      <c r="N21" s="1051"/>
      <c r="O21" s="1051"/>
      <c r="P21" s="1051"/>
      <c r="Q21" s="1051"/>
      <c r="R21" s="1051"/>
      <c r="S21" s="1051"/>
      <c r="T21" s="1051"/>
      <c r="U21" s="1051"/>
      <c r="V21" s="1051"/>
      <c r="W21" s="291"/>
      <c r="X21" s="291"/>
      <c r="Y21" s="289"/>
      <c r="Z21" s="292" t="s">
        <v>291</v>
      </c>
      <c r="AA21" s="254"/>
      <c r="AB21" s="1067" t="s">
        <v>292</v>
      </c>
      <c r="AC21" s="1068"/>
      <c r="AD21" s="1068"/>
      <c r="AE21" s="1068"/>
      <c r="AF21" s="1068"/>
      <c r="AG21" s="1068"/>
      <c r="AH21" s="1068"/>
      <c r="AI21" s="1068"/>
      <c r="AJ21" s="1068"/>
      <c r="AK21" s="1069"/>
      <c r="AL21" s="254"/>
    </row>
    <row r="22" spans="2:38" s="261" customFormat="1" ht="15" customHeight="1">
      <c r="B22" s="293"/>
      <c r="C22" s="294"/>
      <c r="D22" s="294"/>
      <c r="E22" s="294"/>
      <c r="F22" s="294"/>
      <c r="G22" s="294"/>
      <c r="H22" s="294"/>
      <c r="I22" s="295" t="s">
        <v>293</v>
      </c>
      <c r="J22" s="1070" t="s">
        <v>294</v>
      </c>
      <c r="K22" s="1071"/>
      <c r="L22" s="1071" t="s">
        <v>295</v>
      </c>
      <c r="M22" s="1071"/>
      <c r="N22" s="296" t="s">
        <v>296</v>
      </c>
      <c r="O22" s="1070" t="s">
        <v>297</v>
      </c>
      <c r="P22" s="1071"/>
      <c r="Q22" s="1071" t="s">
        <v>126</v>
      </c>
      <c r="R22" s="1071"/>
      <c r="S22" s="297" t="s">
        <v>296</v>
      </c>
      <c r="T22" s="1070" t="s">
        <v>298</v>
      </c>
      <c r="U22" s="1072"/>
      <c r="V22" s="1070" t="s">
        <v>299</v>
      </c>
      <c r="W22" s="1072"/>
      <c r="X22" s="1073" t="s">
        <v>300</v>
      </c>
      <c r="Y22" s="1074"/>
      <c r="Z22" s="298" t="s">
        <v>301</v>
      </c>
      <c r="AA22" s="258"/>
      <c r="AB22" s="299"/>
      <c r="AC22" s="300"/>
      <c r="AD22" s="300"/>
      <c r="AE22" s="1075">
        <v>0</v>
      </c>
      <c r="AF22" s="1075"/>
      <c r="AG22" s="1075"/>
      <c r="AH22" s="301"/>
      <c r="AI22" s="1076" t="s">
        <v>7</v>
      </c>
      <c r="AJ22" s="1076"/>
      <c r="AK22" s="1077"/>
      <c r="AL22" s="258"/>
    </row>
    <row r="23" spans="2:38" s="261" customFormat="1" ht="15" customHeight="1">
      <c r="B23" s="302" t="s">
        <v>302</v>
      </c>
      <c r="C23" s="303"/>
      <c r="D23" s="303"/>
      <c r="E23" s="303"/>
      <c r="F23" s="304"/>
      <c r="G23" s="304"/>
      <c r="H23" s="304"/>
      <c r="I23" s="305"/>
      <c r="J23" s="1094">
        <v>0</v>
      </c>
      <c r="K23" s="1095"/>
      <c r="L23" s="1096">
        <v>0</v>
      </c>
      <c r="M23" s="1095"/>
      <c r="N23" s="306">
        <f t="shared" ref="N23:N63" si="0">IF(ISERR(J23/(J23+O23)),0,J23/(J23+O23))</f>
        <v>0</v>
      </c>
      <c r="O23" s="1094">
        <f>W11/1000</f>
        <v>203728.15999999997</v>
      </c>
      <c r="P23" s="1095"/>
      <c r="Q23" s="1096">
        <v>0</v>
      </c>
      <c r="R23" s="1095"/>
      <c r="S23" s="307">
        <f t="shared" ref="S23:S63" si="1">IF(ISERR(O23/(O23+J23)),0,O23/(O23+J23))</f>
        <v>1</v>
      </c>
      <c r="T23" s="1084">
        <f>SUM(T24:U26)</f>
        <v>203728.15999999997</v>
      </c>
      <c r="U23" s="1085"/>
      <c r="V23" s="1084">
        <f>SUM(V24:W26)</f>
        <v>203728.15999999997</v>
      </c>
      <c r="W23" s="1085"/>
      <c r="X23" s="1084">
        <f>SUM(X24:Y26)</f>
        <v>203728.15999999997</v>
      </c>
      <c r="Y23" s="1085"/>
      <c r="Z23" s="308">
        <v>1</v>
      </c>
      <c r="AA23" s="258"/>
      <c r="AB23" s="1086" t="s">
        <v>303</v>
      </c>
      <c r="AC23" s="1087"/>
      <c r="AD23" s="1087"/>
      <c r="AE23" s="1087"/>
      <c r="AF23" s="1087"/>
      <c r="AG23" s="1088">
        <v>1</v>
      </c>
      <c r="AH23" s="1088"/>
      <c r="AI23" s="1088"/>
      <c r="AJ23" s="309"/>
      <c r="AK23" s="310"/>
      <c r="AL23" s="258"/>
    </row>
    <row r="24" spans="2:38" s="261" customFormat="1" ht="15" customHeight="1">
      <c r="B24" s="311"/>
      <c r="C24" s="312" t="s">
        <v>304</v>
      </c>
      <c r="D24" s="312"/>
      <c r="E24" s="312"/>
      <c r="F24" s="313"/>
      <c r="G24" s="313"/>
      <c r="H24" s="313"/>
      <c r="I24" s="314"/>
      <c r="J24" s="1089">
        <v>0</v>
      </c>
      <c r="K24" s="1090"/>
      <c r="L24" s="1091">
        <v>0</v>
      </c>
      <c r="M24" s="1090"/>
      <c r="N24" s="315">
        <f t="shared" si="0"/>
        <v>0</v>
      </c>
      <c r="O24" s="1089">
        <f t="shared" ref="O24" si="2">Z24*$O$23</f>
        <v>203728.15999999997</v>
      </c>
      <c r="P24" s="1090"/>
      <c r="Q24" s="1091">
        <v>0</v>
      </c>
      <c r="R24" s="1090"/>
      <c r="S24" s="316">
        <f t="shared" si="1"/>
        <v>1</v>
      </c>
      <c r="T24" s="1092">
        <f>O24</f>
        <v>203728.15999999997</v>
      </c>
      <c r="U24" s="1093"/>
      <c r="V24" s="1092">
        <f>T24</f>
        <v>203728.15999999997</v>
      </c>
      <c r="W24" s="1093"/>
      <c r="X24" s="1092">
        <f>V24</f>
        <v>203728.15999999997</v>
      </c>
      <c r="Y24" s="1093"/>
      <c r="Z24" s="317">
        <v>1</v>
      </c>
      <c r="AA24" s="254"/>
      <c r="AB24" s="318" t="s">
        <v>305</v>
      </c>
      <c r="AC24" s="319"/>
      <c r="AD24" s="319"/>
      <c r="AE24" s="319"/>
      <c r="AF24" s="319"/>
      <c r="AG24" s="320"/>
      <c r="AH24" s="1078">
        <f>AH29/O11</f>
        <v>8315363.2571428576</v>
      </c>
      <c r="AI24" s="1078"/>
      <c r="AJ24" s="321"/>
      <c r="AK24" s="322"/>
    </row>
    <row r="25" spans="2:38" s="261" customFormat="1" ht="15" customHeight="1">
      <c r="B25" s="323"/>
      <c r="C25" s="324"/>
      <c r="D25" s="324"/>
      <c r="E25" s="324"/>
      <c r="F25" s="325"/>
      <c r="G25" s="325"/>
      <c r="H25" s="325"/>
      <c r="I25" s="326"/>
      <c r="J25" s="1079"/>
      <c r="K25" s="1080"/>
      <c r="L25" s="1081"/>
      <c r="M25" s="1080"/>
      <c r="N25" s="327"/>
      <c r="O25" s="1079"/>
      <c r="P25" s="1080"/>
      <c r="Q25" s="1081"/>
      <c r="R25" s="1080"/>
      <c r="S25" s="328"/>
      <c r="T25" s="1082"/>
      <c r="U25" s="1083"/>
      <c r="V25" s="1082"/>
      <c r="W25" s="1083"/>
      <c r="X25" s="1082"/>
      <c r="Y25" s="1083"/>
      <c r="Z25" s="329"/>
      <c r="AA25" s="254"/>
      <c r="AB25" s="330" t="s">
        <v>306</v>
      </c>
      <c r="AC25" s="324"/>
      <c r="AD25" s="324"/>
      <c r="AE25" s="324"/>
      <c r="AF25" s="324"/>
      <c r="AG25" s="325"/>
      <c r="AH25" s="325"/>
      <c r="AI25" s="331" t="s">
        <v>698</v>
      </c>
      <c r="AJ25" s="332"/>
      <c r="AK25" s="333"/>
    </row>
    <row r="26" spans="2:38" s="261" customFormat="1" ht="15" customHeight="1">
      <c r="B26" s="311"/>
      <c r="C26" s="312"/>
      <c r="D26" s="312"/>
      <c r="E26" s="312"/>
      <c r="F26" s="313"/>
      <c r="G26" s="313"/>
      <c r="H26" s="313"/>
      <c r="I26" s="314"/>
      <c r="J26" s="1089"/>
      <c r="K26" s="1090"/>
      <c r="L26" s="1091"/>
      <c r="M26" s="1090"/>
      <c r="N26" s="315"/>
      <c r="O26" s="1089"/>
      <c r="P26" s="1090"/>
      <c r="Q26" s="1091"/>
      <c r="R26" s="1090"/>
      <c r="S26" s="316"/>
      <c r="T26" s="1092"/>
      <c r="U26" s="1093"/>
      <c r="V26" s="1092"/>
      <c r="W26" s="1093"/>
      <c r="X26" s="1092"/>
      <c r="Y26" s="1093"/>
      <c r="Z26" s="317"/>
      <c r="AA26" s="254"/>
      <c r="AB26" s="334" t="s">
        <v>307</v>
      </c>
      <c r="AC26" s="312"/>
      <c r="AD26" s="312"/>
      <c r="AE26" s="312"/>
      <c r="AF26" s="312"/>
      <c r="AG26" s="313"/>
      <c r="AH26" s="1097">
        <f>'EVTE - Projetado'!K22</f>
        <v>40000000</v>
      </c>
      <c r="AI26" s="1097">
        <f>'EVTE - Projetado'!K22</f>
        <v>40000000</v>
      </c>
      <c r="AJ26" s="335"/>
      <c r="AK26" s="336"/>
    </row>
    <row r="27" spans="2:38" s="261" customFormat="1" ht="15" customHeight="1">
      <c r="B27" s="337" t="s">
        <v>188</v>
      </c>
      <c r="C27" s="338"/>
      <c r="D27" s="338"/>
      <c r="E27" s="338"/>
      <c r="F27" s="339"/>
      <c r="G27" s="339"/>
      <c r="H27" s="339"/>
      <c r="I27" s="340"/>
      <c r="J27" s="1098">
        <v>0</v>
      </c>
      <c r="K27" s="1099"/>
      <c r="L27" s="1100">
        <v>0</v>
      </c>
      <c r="M27" s="1099"/>
      <c r="N27" s="341">
        <f t="shared" si="0"/>
        <v>0</v>
      </c>
      <c r="O27" s="1098">
        <f>SUM(O24:P26)</f>
        <v>203728.15999999997</v>
      </c>
      <c r="P27" s="1099"/>
      <c r="Q27" s="1100">
        <v>0</v>
      </c>
      <c r="R27" s="1099"/>
      <c r="S27" s="342">
        <f t="shared" si="1"/>
        <v>1</v>
      </c>
      <c r="T27" s="1101">
        <f>SUM(T24:U26)</f>
        <v>203728.15999999997</v>
      </c>
      <c r="U27" s="1102"/>
      <c r="V27" s="1101">
        <f>SUM(V24:W26)</f>
        <v>203728.15999999997</v>
      </c>
      <c r="W27" s="1102"/>
      <c r="X27" s="1101">
        <f>SUM(X24:Y26)</f>
        <v>203728.15999999997</v>
      </c>
      <c r="Y27" s="1102"/>
      <c r="Z27" s="343">
        <v>1</v>
      </c>
      <c r="AA27" s="254"/>
      <c r="AB27" s="330" t="s">
        <v>308</v>
      </c>
      <c r="AC27" s="324"/>
      <c r="AD27" s="324"/>
      <c r="AE27" s="324"/>
      <c r="AF27" s="324"/>
      <c r="AG27" s="325"/>
      <c r="AH27" s="1103">
        <f>'EVTE - Projetado'!K42</f>
        <v>56917500.000000007</v>
      </c>
      <c r="AI27" s="1103"/>
      <c r="AJ27" s="332"/>
      <c r="AK27" s="333"/>
    </row>
    <row r="28" spans="2:38" s="261" customFormat="1" ht="15" customHeight="1">
      <c r="B28" s="344"/>
      <c r="C28" s="345"/>
      <c r="D28" s="345"/>
      <c r="E28" s="345"/>
      <c r="F28" s="346"/>
      <c r="G28" s="346"/>
      <c r="H28" s="346"/>
      <c r="I28" s="347"/>
      <c r="J28" s="1112"/>
      <c r="K28" s="1113"/>
      <c r="L28" s="1114"/>
      <c r="M28" s="1113"/>
      <c r="N28" s="348"/>
      <c r="O28" s="1112"/>
      <c r="P28" s="1113"/>
      <c r="Q28" s="1114"/>
      <c r="R28" s="1113"/>
      <c r="S28" s="349"/>
      <c r="T28" s="1104"/>
      <c r="U28" s="1105"/>
      <c r="V28" s="1104"/>
      <c r="W28" s="1105"/>
      <c r="X28" s="1104"/>
      <c r="Y28" s="1105"/>
      <c r="Z28" s="350"/>
      <c r="AA28" s="254"/>
      <c r="AB28" s="334" t="s">
        <v>309</v>
      </c>
      <c r="AC28" s="312"/>
      <c r="AD28" s="312"/>
      <c r="AE28" s="312"/>
      <c r="AF28" s="312"/>
      <c r="AG28" s="313"/>
      <c r="AH28" s="1097">
        <f>'EVTE - Projetado'!K42+'EVTE - Projetado'!K46</f>
        <v>99217500</v>
      </c>
      <c r="AI28" s="1097" t="s">
        <v>310</v>
      </c>
      <c r="AJ28" s="335"/>
      <c r="AK28" s="336"/>
    </row>
    <row r="29" spans="2:38" s="261" customFormat="1" ht="15" customHeight="1">
      <c r="B29" s="351" t="s">
        <v>129</v>
      </c>
      <c r="C29" s="352"/>
      <c r="D29" s="352"/>
      <c r="E29" s="352"/>
      <c r="F29" s="353"/>
      <c r="G29" s="353"/>
      <c r="H29" s="353"/>
      <c r="I29" s="354"/>
      <c r="J29" s="1106">
        <v>0</v>
      </c>
      <c r="K29" s="1107"/>
      <c r="L29" s="1108">
        <v>0</v>
      </c>
      <c r="M29" s="1107"/>
      <c r="N29" s="355">
        <f t="shared" si="0"/>
        <v>0</v>
      </c>
      <c r="O29" s="1106">
        <f>SUM(O30:P31)</f>
        <v>-5494.9437300000009</v>
      </c>
      <c r="P29" s="1107"/>
      <c r="Q29" s="1108">
        <v>0</v>
      </c>
      <c r="R29" s="1107"/>
      <c r="S29" s="356">
        <f t="shared" si="1"/>
        <v>1</v>
      </c>
      <c r="T29" s="1109">
        <f t="shared" ref="T29:T34" si="3">O29</f>
        <v>-5494.9437300000009</v>
      </c>
      <c r="U29" s="1110"/>
      <c r="V29" s="1109">
        <f>T29</f>
        <v>-5494.9437300000009</v>
      </c>
      <c r="W29" s="1110"/>
      <c r="X29" s="1109">
        <f>T29</f>
        <v>-5494.9437300000009</v>
      </c>
      <c r="Y29" s="1110"/>
      <c r="Z29" s="308">
        <f>SUM(Z30:Z31)</f>
        <v>-2.6971940108819523E-2</v>
      </c>
      <c r="AA29" s="254"/>
      <c r="AB29" s="330" t="s">
        <v>311</v>
      </c>
      <c r="AC29" s="324"/>
      <c r="AD29" s="324"/>
      <c r="AE29" s="324"/>
      <c r="AF29" s="324"/>
      <c r="AG29" s="325"/>
      <c r="AH29" s="1111">
        <f>-1000*(O36+O38+O42+O45+O50)</f>
        <v>116415085.60000001</v>
      </c>
      <c r="AI29" s="1111"/>
      <c r="AJ29" s="332"/>
      <c r="AK29" s="333"/>
    </row>
    <row r="30" spans="2:38" s="261" customFormat="1" ht="15" customHeight="1">
      <c r="B30" s="311"/>
      <c r="C30" s="312" t="str">
        <f>'[9]Cenário Real'!$C$30</f>
        <v>IBTI, Escritura, Registro, Iptu (Obra), Advogado</v>
      </c>
      <c r="D30" s="312"/>
      <c r="E30" s="312"/>
      <c r="F30" s="313"/>
      <c r="G30" s="313"/>
      <c r="H30" s="313"/>
      <c r="I30" s="314"/>
      <c r="J30" s="1089">
        <v>0</v>
      </c>
      <c r="K30" s="1090"/>
      <c r="L30" s="1091">
        <v>0</v>
      </c>
      <c r="M30" s="1090"/>
      <c r="N30" s="315">
        <f t="shared" si="0"/>
        <v>0</v>
      </c>
      <c r="O30" s="1089">
        <f>-((Inputs!F14+Inputs!F15)-2000000)/1000</f>
        <v>-3494.9437300000004</v>
      </c>
      <c r="P30" s="1090"/>
      <c r="Q30" s="1091">
        <v>0</v>
      </c>
      <c r="R30" s="1090"/>
      <c r="S30" s="316">
        <f t="shared" si="1"/>
        <v>1</v>
      </c>
      <c r="T30" s="1092">
        <f t="shared" si="3"/>
        <v>-3494.9437300000004</v>
      </c>
      <c r="U30" s="1093"/>
      <c r="V30" s="1092">
        <f>T30</f>
        <v>-3494.9437300000004</v>
      </c>
      <c r="W30" s="1093"/>
      <c r="X30" s="1092">
        <f>V30</f>
        <v>-3494.9437300000004</v>
      </c>
      <c r="Y30" s="1093"/>
      <c r="Z30" s="317">
        <f>O30/O23</f>
        <v>-1.7154936902193593E-2</v>
      </c>
      <c r="AA30" s="254"/>
      <c r="AB30" s="334" t="s">
        <v>312</v>
      </c>
      <c r="AC30" s="312"/>
      <c r="AD30" s="312"/>
      <c r="AE30" s="312"/>
      <c r="AF30" s="312"/>
      <c r="AG30" s="313"/>
      <c r="AH30" s="1115">
        <f>-1000*(SUM(O29,O32,O36,O38,O42,O45,O50,O59))</f>
        <v>140245563.73000002</v>
      </c>
      <c r="AI30" s="1115"/>
      <c r="AJ30" s="335"/>
      <c r="AK30" s="336"/>
    </row>
    <row r="31" spans="2:38" s="261" customFormat="1" ht="18.75" customHeight="1">
      <c r="B31" s="323"/>
      <c r="C31" s="324" t="str">
        <f>'[9]Cenário Real'!$C$31</f>
        <v>Comissão de Vendas Terreno</v>
      </c>
      <c r="D31" s="324"/>
      <c r="E31" s="324"/>
      <c r="F31" s="325"/>
      <c r="G31" s="325"/>
      <c r="H31" s="325"/>
      <c r="I31" s="326"/>
      <c r="J31" s="1116">
        <v>0</v>
      </c>
      <c r="K31" s="1117"/>
      <c r="L31" s="1117">
        <v>0</v>
      </c>
      <c r="M31" s="1117"/>
      <c r="N31" s="327">
        <f t="shared" ref="N31" si="4">IF(ISERR(J31/(J31+O31)),0,J31/(J31+O31))</f>
        <v>0</v>
      </c>
      <c r="O31" s="1079">
        <f>'[9]Cenário Real'!$O$31</f>
        <v>-2000.0000000000005</v>
      </c>
      <c r="P31" s="1118"/>
      <c r="Q31" s="1117">
        <v>0</v>
      </c>
      <c r="R31" s="1117"/>
      <c r="S31" s="328">
        <f t="shared" ref="S31" si="5">IF(ISERR(O31/(O31+J31)),0,O31/(O31+J31))</f>
        <v>1</v>
      </c>
      <c r="T31" s="1082">
        <f t="shared" si="3"/>
        <v>-2000.0000000000005</v>
      </c>
      <c r="U31" s="1083"/>
      <c r="V31" s="1082">
        <f>T31</f>
        <v>-2000.0000000000005</v>
      </c>
      <c r="W31" s="1083"/>
      <c r="X31" s="1082">
        <f>V31</f>
        <v>-2000.0000000000005</v>
      </c>
      <c r="Y31" s="1083"/>
      <c r="Z31" s="357">
        <f>O31/O24</f>
        <v>-9.8170032066259311E-3</v>
      </c>
      <c r="AA31" s="254"/>
      <c r="AB31" s="330" t="s">
        <v>313</v>
      </c>
      <c r="AC31" s="324"/>
      <c r="AD31" s="324"/>
      <c r="AE31" s="324"/>
      <c r="AF31" s="324"/>
      <c r="AG31" s="325"/>
      <c r="AH31" s="1119">
        <f>O54*1000</f>
        <v>71631722.669999972</v>
      </c>
      <c r="AI31" s="1119"/>
      <c r="AJ31" s="332"/>
      <c r="AK31" s="333"/>
    </row>
    <row r="32" spans="2:38" s="261" customFormat="1" ht="15" customHeight="1">
      <c r="B32" s="351" t="s">
        <v>128</v>
      </c>
      <c r="C32" s="352"/>
      <c r="D32" s="352"/>
      <c r="E32" s="352"/>
      <c r="F32" s="353"/>
      <c r="G32" s="353"/>
      <c r="H32" s="353"/>
      <c r="I32" s="354"/>
      <c r="J32" s="1106">
        <v>0</v>
      </c>
      <c r="K32" s="1107"/>
      <c r="L32" s="1108">
        <v>0</v>
      </c>
      <c r="M32" s="1107"/>
      <c r="N32" s="355">
        <f>IF(ISERR(J32/(J32+O32)),0,J32/(J32+O32))</f>
        <v>0</v>
      </c>
      <c r="O32" s="1106">
        <f>SUM(O33)</f>
        <v>-10186.407999999999</v>
      </c>
      <c r="P32" s="1107"/>
      <c r="Q32" s="1108">
        <v>0</v>
      </c>
      <c r="R32" s="1107"/>
      <c r="S32" s="356">
        <f t="shared" si="1"/>
        <v>1</v>
      </c>
      <c r="T32" s="1109">
        <f t="shared" si="3"/>
        <v>-10186.407999999999</v>
      </c>
      <c r="U32" s="1110"/>
      <c r="V32" s="1109">
        <f>T32</f>
        <v>-10186.407999999999</v>
      </c>
      <c r="W32" s="1110"/>
      <c r="X32" s="1109">
        <f>V32</f>
        <v>-10186.407999999999</v>
      </c>
      <c r="Y32" s="1110"/>
      <c r="Z32" s="308">
        <f>SUM(Z33)</f>
        <v>-0.05</v>
      </c>
      <c r="AA32" s="254"/>
      <c r="AB32" s="334" t="s">
        <v>314</v>
      </c>
      <c r="AC32" s="312"/>
      <c r="AD32" s="312"/>
      <c r="AE32" s="312"/>
      <c r="AF32" s="312"/>
      <c r="AG32" s="313"/>
      <c r="AH32" s="1120">
        <f>Z48</f>
        <v>0.36660442557376438</v>
      </c>
      <c r="AI32" s="1120"/>
      <c r="AJ32" s="335"/>
      <c r="AK32" s="336"/>
    </row>
    <row r="33" spans="2:42" s="261" customFormat="1" ht="15" customHeight="1">
      <c r="B33" s="311"/>
      <c r="C33" s="312" t="s">
        <v>315</v>
      </c>
      <c r="D33" s="312"/>
      <c r="E33" s="312"/>
      <c r="F33" s="313"/>
      <c r="G33" s="313"/>
      <c r="H33" s="313"/>
      <c r="I33" s="314"/>
      <c r="J33" s="1089">
        <v>0</v>
      </c>
      <c r="K33" s="1090"/>
      <c r="L33" s="1091">
        <v>0</v>
      </c>
      <c r="M33" s="1090"/>
      <c r="N33" s="315">
        <f t="shared" si="0"/>
        <v>0</v>
      </c>
      <c r="O33" s="1089">
        <f t="shared" ref="O33" si="6">Z33*$O$23</f>
        <v>-10186.407999999999</v>
      </c>
      <c r="P33" s="1090"/>
      <c r="Q33" s="1091">
        <v>0</v>
      </c>
      <c r="R33" s="1090"/>
      <c r="S33" s="316">
        <f t="shared" si="1"/>
        <v>1</v>
      </c>
      <c r="T33" s="1092">
        <f t="shared" si="3"/>
        <v>-10186.407999999999</v>
      </c>
      <c r="U33" s="1093"/>
      <c r="V33" s="1092">
        <f>T33</f>
        <v>-10186.407999999999</v>
      </c>
      <c r="W33" s="1093"/>
      <c r="X33" s="1092">
        <f>V33</f>
        <v>-10186.407999999999</v>
      </c>
      <c r="Y33" s="1093"/>
      <c r="Z33" s="317">
        <v>-0.05</v>
      </c>
      <c r="AA33" s="254"/>
      <c r="AB33" s="330" t="s">
        <v>316</v>
      </c>
      <c r="AC33" s="324"/>
      <c r="AD33" s="324"/>
      <c r="AE33" s="324"/>
      <c r="AF33" s="324"/>
      <c r="AG33" s="325"/>
      <c r="AH33" s="1121">
        <f>AH31/W11</f>
        <v>0.35160442557376448</v>
      </c>
      <c r="AI33" s="1121"/>
      <c r="AJ33" s="332"/>
      <c r="AK33" s="333"/>
    </row>
    <row r="34" spans="2:42" s="261" customFormat="1" ht="15" customHeight="1">
      <c r="B34" s="337" t="s">
        <v>54</v>
      </c>
      <c r="C34" s="338"/>
      <c r="D34" s="338"/>
      <c r="E34" s="338"/>
      <c r="F34" s="339"/>
      <c r="G34" s="339"/>
      <c r="H34" s="339"/>
      <c r="I34" s="340"/>
      <c r="J34" s="1128">
        <v>0</v>
      </c>
      <c r="K34" s="1129"/>
      <c r="L34" s="1129">
        <v>0</v>
      </c>
      <c r="M34" s="1129"/>
      <c r="N34" s="341">
        <f t="shared" si="0"/>
        <v>0</v>
      </c>
      <c r="O34" s="1098">
        <f>O23+SUM(O32,O29)</f>
        <v>188046.80826999998</v>
      </c>
      <c r="P34" s="1130"/>
      <c r="Q34" s="1129">
        <v>0</v>
      </c>
      <c r="R34" s="1129"/>
      <c r="S34" s="342">
        <f t="shared" si="1"/>
        <v>1</v>
      </c>
      <c r="T34" s="1101">
        <f t="shared" si="3"/>
        <v>188046.80826999998</v>
      </c>
      <c r="U34" s="1102"/>
      <c r="V34" s="1101">
        <f>O34</f>
        <v>188046.80826999998</v>
      </c>
      <c r="W34" s="1102"/>
      <c r="X34" s="1101">
        <f>V34</f>
        <v>188046.80826999998</v>
      </c>
      <c r="Y34" s="1102"/>
      <c r="Z34" s="343">
        <f>Z27+Z32+Z29</f>
        <v>0.92302805989118042</v>
      </c>
      <c r="AA34" s="254"/>
      <c r="AB34" s="1122" t="s">
        <v>317</v>
      </c>
      <c r="AC34" s="1123"/>
      <c r="AD34" s="1123"/>
      <c r="AE34" s="1123"/>
      <c r="AF34" s="1123"/>
      <c r="AG34" s="1123"/>
      <c r="AH34" s="1123"/>
      <c r="AI34" s="1123"/>
      <c r="AJ34" s="1123"/>
      <c r="AK34" s="1124"/>
    </row>
    <row r="35" spans="2:42" s="261" customFormat="1" ht="15" customHeight="1">
      <c r="B35" s="344"/>
      <c r="C35" s="345"/>
      <c r="D35" s="345"/>
      <c r="E35" s="345"/>
      <c r="F35" s="346"/>
      <c r="G35" s="346"/>
      <c r="H35" s="346"/>
      <c r="I35" s="347"/>
      <c r="J35" s="1125"/>
      <c r="K35" s="1126"/>
      <c r="L35" s="1126"/>
      <c r="M35" s="1126"/>
      <c r="N35" s="348"/>
      <c r="O35" s="1112"/>
      <c r="P35" s="1127"/>
      <c r="Q35" s="1126"/>
      <c r="R35" s="1126"/>
      <c r="S35" s="349"/>
      <c r="T35" s="1104"/>
      <c r="U35" s="1105"/>
      <c r="V35" s="1104"/>
      <c r="W35" s="1105"/>
      <c r="X35" s="1104"/>
      <c r="Y35" s="1105"/>
      <c r="Z35" s="350"/>
      <c r="AA35" s="254"/>
      <c r="AB35" s="334" t="s">
        <v>318</v>
      </c>
      <c r="AC35" s="313"/>
      <c r="AD35" s="313"/>
      <c r="AE35" s="313"/>
      <c r="AF35" s="313"/>
      <c r="AG35" s="313"/>
      <c r="AH35" s="1097">
        <f ca="1">O63*1000</f>
        <v>51128228.243008815</v>
      </c>
      <c r="AI35" s="1097"/>
      <c r="AJ35" s="335"/>
      <c r="AK35" s="336"/>
    </row>
    <row r="36" spans="2:42" s="261" customFormat="1" ht="15" customHeight="1">
      <c r="B36" s="351" t="s">
        <v>319</v>
      </c>
      <c r="C36" s="352"/>
      <c r="D36" s="352"/>
      <c r="E36" s="352"/>
      <c r="F36" s="353"/>
      <c r="G36" s="353"/>
      <c r="H36" s="353"/>
      <c r="I36" s="354"/>
      <c r="J36" s="1135">
        <v>0</v>
      </c>
      <c r="K36" s="1136"/>
      <c r="L36" s="1136">
        <v>0</v>
      </c>
      <c r="M36" s="1136"/>
      <c r="N36" s="355">
        <f t="shared" si="0"/>
        <v>0</v>
      </c>
      <c r="O36" s="1106">
        <f>SUM(O37)</f>
        <v>-40000</v>
      </c>
      <c r="P36" s="1137"/>
      <c r="Q36" s="1136">
        <v>0</v>
      </c>
      <c r="R36" s="1136"/>
      <c r="S36" s="356">
        <f t="shared" si="1"/>
        <v>1</v>
      </c>
      <c r="T36" s="1109">
        <f t="shared" ref="T36:T48" si="7">O36</f>
        <v>-40000</v>
      </c>
      <c r="U36" s="1110"/>
      <c r="V36" s="1109">
        <f t="shared" ref="V36:V48" si="8">T36</f>
        <v>-40000</v>
      </c>
      <c r="W36" s="1110"/>
      <c r="X36" s="1109">
        <f t="shared" ref="X36:X48" si="9">V36</f>
        <v>-40000</v>
      </c>
      <c r="Y36" s="1110"/>
      <c r="Z36" s="308">
        <f>SUM(Z37)</f>
        <v>-0.19634006413251856</v>
      </c>
      <c r="AA36" s="254"/>
      <c r="AB36" s="330" t="s">
        <v>779</v>
      </c>
      <c r="AC36" s="325"/>
      <c r="AD36" s="325"/>
      <c r="AE36" s="325"/>
      <c r="AF36" s="325"/>
      <c r="AG36" s="325"/>
      <c r="AH36" s="1131">
        <f>'EVTE - Projetado'!N104</f>
        <v>14807454.403888887</v>
      </c>
      <c r="AI36" s="1131"/>
      <c r="AJ36" s="332"/>
      <c r="AK36" s="333"/>
      <c r="AM36" s="945"/>
    </row>
    <row r="37" spans="2:42" s="261" customFormat="1" ht="15" customHeight="1">
      <c r="B37" s="311"/>
      <c r="C37" s="312" t="s">
        <v>695</v>
      </c>
      <c r="D37" s="312"/>
      <c r="E37" s="312"/>
      <c r="F37" s="313"/>
      <c r="G37" s="313"/>
      <c r="H37" s="313"/>
      <c r="I37" s="314"/>
      <c r="J37" s="1132">
        <v>0</v>
      </c>
      <c r="K37" s="1133"/>
      <c r="L37" s="1133">
        <v>0</v>
      </c>
      <c r="M37" s="1133"/>
      <c r="N37" s="315">
        <f t="shared" si="0"/>
        <v>0</v>
      </c>
      <c r="O37" s="1089">
        <f>W18/-1000</f>
        <v>-40000</v>
      </c>
      <c r="P37" s="1134"/>
      <c r="Q37" s="1133">
        <v>0</v>
      </c>
      <c r="R37" s="1133"/>
      <c r="S37" s="316">
        <f t="shared" si="1"/>
        <v>1</v>
      </c>
      <c r="T37" s="1092">
        <f t="shared" si="7"/>
        <v>-40000</v>
      </c>
      <c r="U37" s="1093"/>
      <c r="V37" s="1092">
        <f t="shared" si="8"/>
        <v>-40000</v>
      </c>
      <c r="W37" s="1093"/>
      <c r="X37" s="1092">
        <f t="shared" si="9"/>
        <v>-40000</v>
      </c>
      <c r="Y37" s="1093"/>
      <c r="Z37" s="317">
        <f>O37/O23</f>
        <v>-0.19634006413251856</v>
      </c>
      <c r="AA37" s="254"/>
      <c r="AB37" s="334" t="s">
        <v>691</v>
      </c>
      <c r="AC37" s="313"/>
      <c r="AD37" s="313"/>
      <c r="AE37" s="313"/>
      <c r="AF37" s="313"/>
      <c r="AG37" s="313"/>
      <c r="AH37" s="1097">
        <f>'Desembolso - LV'!C10</f>
        <v>9930019.4021113664</v>
      </c>
      <c r="AI37" s="1097"/>
      <c r="AJ37" s="335"/>
      <c r="AK37" s="336"/>
    </row>
    <row r="38" spans="2:42" s="261" customFormat="1" ht="15" customHeight="1">
      <c r="B38" s="351" t="s">
        <v>282</v>
      </c>
      <c r="C38" s="352"/>
      <c r="D38" s="352"/>
      <c r="E38" s="352"/>
      <c r="F38" s="353"/>
      <c r="G38" s="353"/>
      <c r="H38" s="353"/>
      <c r="I38" s="354"/>
      <c r="J38" s="1135">
        <v>0</v>
      </c>
      <c r="K38" s="1136"/>
      <c r="L38" s="1136">
        <v>0</v>
      </c>
      <c r="M38" s="1136"/>
      <c r="N38" s="355">
        <f t="shared" si="0"/>
        <v>0</v>
      </c>
      <c r="O38" s="1106">
        <f>SUM(O39:P41)</f>
        <v>-63747.600000000006</v>
      </c>
      <c r="P38" s="1137"/>
      <c r="Q38" s="1136">
        <v>0</v>
      </c>
      <c r="R38" s="1136"/>
      <c r="S38" s="356">
        <f t="shared" si="1"/>
        <v>1</v>
      </c>
      <c r="T38" s="1109">
        <f t="shared" si="7"/>
        <v>-63747.600000000006</v>
      </c>
      <c r="U38" s="1110"/>
      <c r="V38" s="1109">
        <f t="shared" si="8"/>
        <v>-63747.600000000006</v>
      </c>
      <c r="W38" s="1110"/>
      <c r="X38" s="1109">
        <f t="shared" si="9"/>
        <v>-63747.600000000006</v>
      </c>
      <c r="Y38" s="1110"/>
      <c r="Z38" s="308">
        <f>SUM(Z39:Z41)</f>
        <v>-0.31290519680735357</v>
      </c>
      <c r="AA38" s="254"/>
      <c r="AB38" s="1139">
        <v>5</v>
      </c>
      <c r="AC38" s="1140"/>
      <c r="AD38" s="1140"/>
      <c r="AE38" s="1140"/>
      <c r="AF38" s="1140"/>
      <c r="AG38" s="1140"/>
      <c r="AH38" s="1131">
        <f>K11*5</f>
        <v>72760057.142857134</v>
      </c>
      <c r="AI38" s="1131"/>
      <c r="AJ38" s="332"/>
      <c r="AK38" s="333"/>
      <c r="AP38" s="261">
        <v>-2037.2815999999998</v>
      </c>
    </row>
    <row r="39" spans="2:42" s="261" customFormat="1" ht="15" customHeight="1">
      <c r="B39" s="311"/>
      <c r="C39" s="312" t="s">
        <v>267</v>
      </c>
      <c r="D39" s="312"/>
      <c r="E39" s="312"/>
      <c r="F39" s="313"/>
      <c r="G39" s="313"/>
      <c r="H39" s="313"/>
      <c r="I39" s="314"/>
      <c r="J39" s="1132">
        <v>0</v>
      </c>
      <c r="K39" s="1133"/>
      <c r="L39" s="1133">
        <v>0</v>
      </c>
      <c r="M39" s="1133"/>
      <c r="N39" s="315">
        <f t="shared" si="0"/>
        <v>0</v>
      </c>
      <c r="O39" s="1089">
        <f>O14/1000*-1</f>
        <v>-56917.500000000007</v>
      </c>
      <c r="P39" s="1134"/>
      <c r="Q39" s="1133">
        <v>0</v>
      </c>
      <c r="R39" s="1133"/>
      <c r="S39" s="316">
        <f t="shared" si="1"/>
        <v>1</v>
      </c>
      <c r="T39" s="1092">
        <f t="shared" si="7"/>
        <v>-56917.500000000007</v>
      </c>
      <c r="U39" s="1093"/>
      <c r="V39" s="1092">
        <f t="shared" si="8"/>
        <v>-56917.500000000007</v>
      </c>
      <c r="W39" s="1093"/>
      <c r="X39" s="1092">
        <f t="shared" si="9"/>
        <v>-56917.500000000007</v>
      </c>
      <c r="Y39" s="1093"/>
      <c r="Z39" s="317">
        <f>O39/$O$23</f>
        <v>-0.27937964000656568</v>
      </c>
      <c r="AA39" s="254"/>
      <c r="AB39" s="334" t="s">
        <v>320</v>
      </c>
      <c r="AC39" s="313"/>
      <c r="AD39" s="313"/>
      <c r="AE39" s="313"/>
      <c r="AF39" s="313"/>
      <c r="AG39" s="313"/>
      <c r="AH39" s="1138">
        <f ca="1">AH35/W11</f>
        <v>0.25096299030535996</v>
      </c>
      <c r="AI39" s="1138"/>
      <c r="AJ39" s="358">
        <v>1</v>
      </c>
      <c r="AK39" s="336"/>
      <c r="AP39" s="261">
        <v>-2037.2815999999998</v>
      </c>
    </row>
    <row r="40" spans="2:42" s="261" customFormat="1" ht="15" customHeight="1">
      <c r="B40" s="323"/>
      <c r="C40" s="324" t="s">
        <v>321</v>
      </c>
      <c r="D40" s="324"/>
      <c r="E40" s="324"/>
      <c r="F40" s="325"/>
      <c r="G40" s="325"/>
      <c r="H40" s="325"/>
      <c r="I40" s="326"/>
      <c r="J40" s="1116">
        <v>0</v>
      </c>
      <c r="K40" s="1117"/>
      <c r="L40" s="1117">
        <v>0</v>
      </c>
      <c r="M40" s="1117"/>
      <c r="N40" s="327">
        <f t="shared" si="0"/>
        <v>0</v>
      </c>
      <c r="O40" s="1079">
        <f>O39*0.1</f>
        <v>-5691.7500000000009</v>
      </c>
      <c r="P40" s="1118"/>
      <c r="Q40" s="1117">
        <v>0</v>
      </c>
      <c r="R40" s="1117"/>
      <c r="S40" s="328">
        <f t="shared" si="1"/>
        <v>1</v>
      </c>
      <c r="T40" s="1082">
        <f t="shared" si="7"/>
        <v>-5691.7500000000009</v>
      </c>
      <c r="U40" s="1083"/>
      <c r="V40" s="1082">
        <f t="shared" si="8"/>
        <v>-5691.7500000000009</v>
      </c>
      <c r="W40" s="1083"/>
      <c r="X40" s="1082">
        <f t="shared" si="9"/>
        <v>-5691.7500000000009</v>
      </c>
      <c r="Y40" s="1083"/>
      <c r="Z40" s="357">
        <f t="shared" ref="Z40:Z41" si="10">O40/$O$23</f>
        <v>-2.7937964000656568E-2</v>
      </c>
      <c r="AA40" s="254"/>
      <c r="AB40" s="330" t="s">
        <v>322</v>
      </c>
      <c r="AC40" s="325"/>
      <c r="AD40" s="325"/>
      <c r="AE40" s="325"/>
      <c r="AF40" s="325"/>
      <c r="AG40" s="325"/>
      <c r="AH40" s="1141">
        <f ca="1">AH35/W18</f>
        <v>1.2782057060752203</v>
      </c>
      <c r="AI40" s="1141"/>
      <c r="AJ40" s="359">
        <v>1</v>
      </c>
      <c r="AK40" s="333"/>
    </row>
    <row r="41" spans="2:42" s="261" customFormat="1" ht="15" customHeight="1">
      <c r="B41" s="311"/>
      <c r="C41" s="312" t="s">
        <v>323</v>
      </c>
      <c r="D41" s="312"/>
      <c r="E41" s="312"/>
      <c r="F41" s="313"/>
      <c r="G41" s="313"/>
      <c r="H41" s="313"/>
      <c r="I41" s="314"/>
      <c r="J41" s="1132">
        <v>0</v>
      </c>
      <c r="K41" s="1133"/>
      <c r="L41" s="1133">
        <v>0</v>
      </c>
      <c r="M41" s="1133"/>
      <c r="N41" s="315">
        <f t="shared" si="0"/>
        <v>0</v>
      </c>
      <c r="O41" s="1089">
        <f>O39*0.02</f>
        <v>-1138.3500000000001</v>
      </c>
      <c r="P41" s="1134"/>
      <c r="Q41" s="1133">
        <v>0</v>
      </c>
      <c r="R41" s="1133"/>
      <c r="S41" s="316">
        <f t="shared" si="1"/>
        <v>1</v>
      </c>
      <c r="T41" s="1092">
        <f t="shared" si="7"/>
        <v>-1138.3500000000001</v>
      </c>
      <c r="U41" s="1093"/>
      <c r="V41" s="1092">
        <f t="shared" si="8"/>
        <v>-1138.3500000000001</v>
      </c>
      <c r="W41" s="1093"/>
      <c r="X41" s="1092">
        <f t="shared" si="9"/>
        <v>-1138.3500000000001</v>
      </c>
      <c r="Y41" s="1093"/>
      <c r="Z41" s="317">
        <f t="shared" si="10"/>
        <v>-5.5875928001313134E-3</v>
      </c>
      <c r="AA41" s="254"/>
      <c r="AB41" s="334" t="s">
        <v>324</v>
      </c>
      <c r="AC41" s="313"/>
      <c r="AD41" s="313"/>
      <c r="AE41" s="313"/>
      <c r="AF41" s="313"/>
      <c r="AG41" s="313"/>
      <c r="AH41" s="1138">
        <f ca="1">AH35/AH36</f>
        <v>3.4528708884344761</v>
      </c>
      <c r="AI41" s="1138"/>
      <c r="AJ41" s="358">
        <v>1</v>
      </c>
      <c r="AK41" s="336"/>
      <c r="AP41" s="261">
        <f>+SUM(AP38:AP39)</f>
        <v>-4074.5631999999996</v>
      </c>
    </row>
    <row r="42" spans="2:42" s="261" customFormat="1" ht="15" customHeight="1">
      <c r="B42" s="351" t="s">
        <v>168</v>
      </c>
      <c r="C42" s="352"/>
      <c r="D42" s="352"/>
      <c r="E42" s="352"/>
      <c r="F42" s="353"/>
      <c r="G42" s="353"/>
      <c r="H42" s="353"/>
      <c r="I42" s="354"/>
      <c r="J42" s="1135">
        <v>0</v>
      </c>
      <c r="K42" s="1136"/>
      <c r="L42" s="1136">
        <v>0</v>
      </c>
      <c r="M42" s="1136"/>
      <c r="N42" s="355">
        <f t="shared" si="0"/>
        <v>0</v>
      </c>
      <c r="O42" s="1106">
        <f>SUM(O43:P44)</f>
        <v>-4074.5631999999996</v>
      </c>
      <c r="P42" s="1137"/>
      <c r="Q42" s="1136">
        <v>0</v>
      </c>
      <c r="R42" s="1136"/>
      <c r="S42" s="356">
        <f t="shared" si="1"/>
        <v>1</v>
      </c>
      <c r="T42" s="1109">
        <f t="shared" si="7"/>
        <v>-4074.5631999999996</v>
      </c>
      <c r="U42" s="1110"/>
      <c r="V42" s="1109">
        <f t="shared" si="8"/>
        <v>-4074.5631999999996</v>
      </c>
      <c r="W42" s="1110"/>
      <c r="X42" s="1109">
        <f t="shared" si="9"/>
        <v>-4074.5631999999996</v>
      </c>
      <c r="Y42" s="1110"/>
      <c r="Z42" s="308">
        <f>SUM(Z43:Z44)</f>
        <v>-0.02</v>
      </c>
      <c r="AA42" s="254"/>
      <c r="AB42" s="330" t="s">
        <v>325</v>
      </c>
      <c r="AC42" s="325"/>
      <c r="AD42" s="325"/>
      <c r="AE42" s="325"/>
      <c r="AF42" s="325"/>
      <c r="AG42" s="325"/>
      <c r="AH42" s="1141">
        <f ca="1">AH35/AH29</f>
        <v>0.43918902760321304</v>
      </c>
      <c r="AI42" s="1141"/>
      <c r="AJ42" s="359">
        <v>1</v>
      </c>
      <c r="AK42" s="333"/>
      <c r="AP42" s="942">
        <f>+-AP41*1000</f>
        <v>4074563.1999999997</v>
      </c>
    </row>
    <row r="43" spans="2:42" s="261" customFormat="1" ht="15" customHeight="1">
      <c r="B43" s="311"/>
      <c r="C43" s="312" t="s">
        <v>326</v>
      </c>
      <c r="D43" s="312"/>
      <c r="E43" s="312"/>
      <c r="F43" s="313"/>
      <c r="G43" s="313"/>
      <c r="H43" s="313"/>
      <c r="I43" s="314"/>
      <c r="J43" s="1132">
        <v>0</v>
      </c>
      <c r="K43" s="1133"/>
      <c r="L43" s="1133">
        <v>0</v>
      </c>
      <c r="M43" s="1133"/>
      <c r="N43" s="315">
        <f t="shared" si="0"/>
        <v>0</v>
      </c>
      <c r="O43" s="1089">
        <f>O27*Z43</f>
        <v>-2037.2815999999998</v>
      </c>
      <c r="P43" s="1134"/>
      <c r="Q43" s="1133">
        <v>0</v>
      </c>
      <c r="R43" s="1133"/>
      <c r="S43" s="316">
        <f t="shared" si="1"/>
        <v>1</v>
      </c>
      <c r="T43" s="1092">
        <f t="shared" si="7"/>
        <v>-2037.2815999999998</v>
      </c>
      <c r="U43" s="1093"/>
      <c r="V43" s="1092">
        <f t="shared" si="8"/>
        <v>-2037.2815999999998</v>
      </c>
      <c r="W43" s="1093"/>
      <c r="X43" s="1092">
        <f t="shared" si="9"/>
        <v>-2037.2815999999998</v>
      </c>
      <c r="Y43" s="1093"/>
      <c r="Z43" s="317">
        <v>-0.01</v>
      </c>
      <c r="AA43" s="254"/>
      <c r="AB43" s="334" t="s">
        <v>327</v>
      </c>
      <c r="AC43" s="313"/>
      <c r="AD43" s="313"/>
      <c r="AE43" s="313"/>
      <c r="AF43" s="313"/>
      <c r="AG43" s="313"/>
      <c r="AH43" s="1138">
        <f ca="1">AH35/AH30</f>
        <v>0.36456217853308071</v>
      </c>
      <c r="AI43" s="1138"/>
      <c r="AJ43" s="358">
        <v>1</v>
      </c>
      <c r="AK43" s="336"/>
    </row>
    <row r="44" spans="2:42" s="261" customFormat="1" ht="15" customHeight="1">
      <c r="B44" s="323"/>
      <c r="C44" s="324" t="s">
        <v>328</v>
      </c>
      <c r="D44" s="324"/>
      <c r="E44" s="324"/>
      <c r="F44" s="325"/>
      <c r="G44" s="325"/>
      <c r="H44" s="325"/>
      <c r="I44" s="326"/>
      <c r="J44" s="1116">
        <v>0</v>
      </c>
      <c r="K44" s="1117"/>
      <c r="L44" s="1117">
        <v>0</v>
      </c>
      <c r="M44" s="1117"/>
      <c r="N44" s="327">
        <f t="shared" si="0"/>
        <v>0</v>
      </c>
      <c r="O44" s="1079">
        <f>O27*Z44</f>
        <v>-2037.2815999999998</v>
      </c>
      <c r="P44" s="1118"/>
      <c r="Q44" s="1117">
        <v>0</v>
      </c>
      <c r="R44" s="1117"/>
      <c r="S44" s="328">
        <f t="shared" si="1"/>
        <v>1</v>
      </c>
      <c r="T44" s="1082">
        <f t="shared" si="7"/>
        <v>-2037.2815999999998</v>
      </c>
      <c r="U44" s="1083"/>
      <c r="V44" s="1082">
        <f t="shared" si="8"/>
        <v>-2037.2815999999998</v>
      </c>
      <c r="W44" s="1083"/>
      <c r="X44" s="1082">
        <f t="shared" si="9"/>
        <v>-2037.2815999999998</v>
      </c>
      <c r="Y44" s="1083"/>
      <c r="Z44" s="357">
        <v>-0.01</v>
      </c>
      <c r="AA44" s="254"/>
      <c r="AB44" s="330" t="s">
        <v>329</v>
      </c>
      <c r="AC44" s="325"/>
      <c r="AD44" s="325"/>
      <c r="AE44" s="325"/>
      <c r="AF44" s="325"/>
      <c r="AG44" s="325"/>
      <c r="AH44" s="1141">
        <f>'EVTE - Projetado'!J102</f>
        <v>0.95816833616164176</v>
      </c>
      <c r="AI44" s="1141"/>
      <c r="AJ44" s="359">
        <v>1</v>
      </c>
      <c r="AK44" s="333"/>
    </row>
    <row r="45" spans="2:42" s="261" customFormat="1" ht="15" customHeight="1">
      <c r="B45" s="351" t="s">
        <v>330</v>
      </c>
      <c r="C45" s="352"/>
      <c r="D45" s="352"/>
      <c r="E45" s="352"/>
      <c r="F45" s="353"/>
      <c r="G45" s="353"/>
      <c r="H45" s="353"/>
      <c r="I45" s="354"/>
      <c r="J45" s="1135">
        <v>0</v>
      </c>
      <c r="K45" s="1136"/>
      <c r="L45" s="1136">
        <v>0</v>
      </c>
      <c r="M45" s="1136"/>
      <c r="N45" s="355">
        <f t="shared" si="0"/>
        <v>0</v>
      </c>
      <c r="O45" s="1106">
        <f>SUM(O46:P47)</f>
        <v>-5537</v>
      </c>
      <c r="P45" s="1137"/>
      <c r="Q45" s="1136">
        <v>0</v>
      </c>
      <c r="R45" s="1136"/>
      <c r="S45" s="356">
        <f t="shared" si="1"/>
        <v>1</v>
      </c>
      <c r="T45" s="1109">
        <f t="shared" si="7"/>
        <v>-5537</v>
      </c>
      <c r="U45" s="1110"/>
      <c r="V45" s="1109">
        <f t="shared" si="8"/>
        <v>-5537</v>
      </c>
      <c r="W45" s="1110"/>
      <c r="X45" s="1109">
        <f t="shared" si="9"/>
        <v>-5537</v>
      </c>
      <c r="Y45" s="1110"/>
      <c r="Z45" s="308">
        <f>SUM(Z46:Z47)</f>
        <v>-2.7178373377543884E-2</v>
      </c>
      <c r="AA45" s="254"/>
      <c r="AB45" s="334" t="s">
        <v>331</v>
      </c>
      <c r="AC45" s="313"/>
      <c r="AD45" s="313"/>
      <c r="AE45" s="313"/>
      <c r="AF45" s="313"/>
      <c r="AG45" s="313"/>
      <c r="AH45" s="1138">
        <f>(AH44+1)^(1/12)-1</f>
        <v>5.7598522230145388E-2</v>
      </c>
      <c r="AI45" s="1138"/>
      <c r="AJ45" s="358">
        <v>1</v>
      </c>
      <c r="AK45" s="336"/>
    </row>
    <row r="46" spans="2:42" s="261" customFormat="1" ht="15" customHeight="1">
      <c r="B46" s="311"/>
      <c r="C46" s="312" t="s">
        <v>332</v>
      </c>
      <c r="D46" s="312"/>
      <c r="E46" s="312"/>
      <c r="F46" s="313"/>
      <c r="G46" s="313"/>
      <c r="H46" s="313"/>
      <c r="I46" s="314"/>
      <c r="J46" s="1132">
        <v>0</v>
      </c>
      <c r="K46" s="1133"/>
      <c r="L46" s="1133">
        <v>0</v>
      </c>
      <c r="M46" s="1133"/>
      <c r="N46" s="315">
        <f t="shared" si="0"/>
        <v>0</v>
      </c>
      <c r="O46" s="1089">
        <v>-2037</v>
      </c>
      <c r="P46" s="1134"/>
      <c r="Q46" s="1133">
        <v>0</v>
      </c>
      <c r="R46" s="1133"/>
      <c r="S46" s="316">
        <f t="shared" si="1"/>
        <v>1</v>
      </c>
      <c r="T46" s="1092">
        <f t="shared" si="7"/>
        <v>-2037</v>
      </c>
      <c r="U46" s="1093"/>
      <c r="V46" s="1092">
        <f t="shared" si="8"/>
        <v>-2037</v>
      </c>
      <c r="W46" s="1093"/>
      <c r="X46" s="1092">
        <f t="shared" si="9"/>
        <v>-2037</v>
      </c>
      <c r="Y46" s="1093"/>
      <c r="Z46" s="317">
        <f>O46/O27</f>
        <v>-9.9986177659485091E-3</v>
      </c>
      <c r="AA46" s="254"/>
      <c r="AB46" s="330" t="s">
        <v>333</v>
      </c>
      <c r="AC46" s="325"/>
      <c r="AD46" s="325"/>
      <c r="AE46" s="325"/>
      <c r="AF46" s="325"/>
      <c r="AG46" s="325"/>
      <c r="AH46" s="325"/>
      <c r="AI46" s="360" t="s">
        <v>843</v>
      </c>
      <c r="AJ46" s="332"/>
      <c r="AK46" s="333"/>
    </row>
    <row r="47" spans="2:42" s="261" customFormat="1" ht="15" customHeight="1">
      <c r="B47" s="323"/>
      <c r="C47" s="324" t="s">
        <v>334</v>
      </c>
      <c r="D47" s="324"/>
      <c r="E47" s="324"/>
      <c r="F47" s="325"/>
      <c r="G47" s="325"/>
      <c r="H47" s="325"/>
      <c r="I47" s="326"/>
      <c r="J47" s="1116">
        <v>0</v>
      </c>
      <c r="K47" s="1117"/>
      <c r="L47" s="1117">
        <v>0</v>
      </c>
      <c r="M47" s="1117"/>
      <c r="N47" s="327">
        <f t="shared" si="0"/>
        <v>0</v>
      </c>
      <c r="O47" s="1079">
        <v>-3500</v>
      </c>
      <c r="P47" s="1118"/>
      <c r="Q47" s="1117">
        <v>0</v>
      </c>
      <c r="R47" s="1117"/>
      <c r="S47" s="328">
        <f t="shared" si="1"/>
        <v>1</v>
      </c>
      <c r="T47" s="1082">
        <f t="shared" si="7"/>
        <v>-3500</v>
      </c>
      <c r="U47" s="1083"/>
      <c r="V47" s="1082">
        <f t="shared" si="8"/>
        <v>-3500</v>
      </c>
      <c r="W47" s="1083"/>
      <c r="X47" s="1082">
        <f t="shared" si="9"/>
        <v>-3500</v>
      </c>
      <c r="Y47" s="1083"/>
      <c r="Z47" s="357">
        <f>O47/O27</f>
        <v>-1.7179755611595376E-2</v>
      </c>
      <c r="AA47" s="254"/>
      <c r="AB47" s="334"/>
      <c r="AC47" s="313"/>
      <c r="AD47" s="313"/>
      <c r="AE47" s="313"/>
      <c r="AF47" s="313"/>
      <c r="AG47" s="313"/>
      <c r="AH47" s="1138"/>
      <c r="AI47" s="1138"/>
      <c r="AJ47" s="1138"/>
      <c r="AK47" s="1138">
        <f>'FlCx_Invest_Mutuo - PROJETADO'!E26</f>
        <v>-5302737.4383333335</v>
      </c>
    </row>
    <row r="48" spans="2:42" ht="15" customHeight="1">
      <c r="B48" s="337" t="s">
        <v>335</v>
      </c>
      <c r="C48" s="338"/>
      <c r="D48" s="338"/>
      <c r="E48" s="338"/>
      <c r="F48" s="339"/>
      <c r="G48" s="339"/>
      <c r="H48" s="339"/>
      <c r="I48" s="340"/>
      <c r="J48" s="1128">
        <v>0</v>
      </c>
      <c r="K48" s="1129"/>
      <c r="L48" s="1129">
        <v>0</v>
      </c>
      <c r="M48" s="1129"/>
      <c r="N48" s="341">
        <f t="shared" si="0"/>
        <v>0</v>
      </c>
      <c r="O48" s="1098">
        <f>SUM(O34,O36,O38,O42,O45)</f>
        <v>74687.64506999997</v>
      </c>
      <c r="P48" s="1130"/>
      <c r="Q48" s="1129">
        <v>0</v>
      </c>
      <c r="R48" s="1129"/>
      <c r="S48" s="342">
        <f t="shared" si="1"/>
        <v>1</v>
      </c>
      <c r="T48" s="1101">
        <f t="shared" si="7"/>
        <v>74687.64506999997</v>
      </c>
      <c r="U48" s="1102"/>
      <c r="V48" s="1101">
        <f t="shared" si="8"/>
        <v>74687.64506999997</v>
      </c>
      <c r="W48" s="1102"/>
      <c r="X48" s="1101">
        <f t="shared" si="9"/>
        <v>74687.64506999997</v>
      </c>
      <c r="Y48" s="1102"/>
      <c r="Z48" s="343">
        <f>SUM(Z34,Z45,Z42,Z38,Z36)</f>
        <v>0.36660442557376438</v>
      </c>
      <c r="AB48" s="361" t="s">
        <v>336</v>
      </c>
      <c r="AC48" s="346"/>
      <c r="AD48" s="346"/>
      <c r="AE48" s="346"/>
      <c r="AF48" s="346"/>
      <c r="AG48" s="346"/>
      <c r="AH48" s="346"/>
      <c r="AI48" s="1142">
        <f ca="1">(O55*1000/((O36+O29)*1000))</f>
        <v>0.2715547490356498</v>
      </c>
      <c r="AJ48" s="1142"/>
      <c r="AK48" s="362"/>
      <c r="AL48" s="261"/>
    </row>
    <row r="49" spans="2:38" ht="18.75" customHeight="1">
      <c r="B49" s="344"/>
      <c r="C49" s="345"/>
      <c r="D49" s="345"/>
      <c r="E49" s="345"/>
      <c r="F49" s="346"/>
      <c r="G49" s="346"/>
      <c r="H49" s="346"/>
      <c r="I49" s="347"/>
      <c r="J49" s="1125"/>
      <c r="K49" s="1126"/>
      <c r="L49" s="1126"/>
      <c r="M49" s="1126"/>
      <c r="N49" s="348"/>
      <c r="O49" s="1112"/>
      <c r="P49" s="1127"/>
      <c r="Q49" s="1126"/>
      <c r="R49" s="1126"/>
      <c r="S49" s="349"/>
      <c r="T49" s="1104"/>
      <c r="U49" s="1105"/>
      <c r="V49" s="1104"/>
      <c r="W49" s="1105"/>
      <c r="X49" s="1104"/>
      <c r="Y49" s="1105"/>
      <c r="Z49" s="350"/>
      <c r="AB49" s="1143" t="s">
        <v>337</v>
      </c>
      <c r="AC49" s="1144"/>
      <c r="AD49" s="1144"/>
      <c r="AE49" s="363"/>
      <c r="AF49" s="363"/>
      <c r="AG49" s="363"/>
      <c r="AH49" s="1097">
        <f>W18</f>
        <v>40000000</v>
      </c>
      <c r="AI49" s="1097"/>
      <c r="AJ49" s="364"/>
      <c r="AK49" s="365"/>
      <c r="AL49" s="261"/>
    </row>
    <row r="50" spans="2:38" s="258" customFormat="1" ht="15" customHeight="1">
      <c r="B50" s="351" t="s">
        <v>338</v>
      </c>
      <c r="C50" s="352"/>
      <c r="D50" s="352"/>
      <c r="E50" s="352"/>
      <c r="F50" s="353"/>
      <c r="G50" s="353"/>
      <c r="H50" s="353"/>
      <c r="I50" s="354"/>
      <c r="J50" s="1135">
        <v>0</v>
      </c>
      <c r="K50" s="1136"/>
      <c r="L50" s="1136">
        <v>0</v>
      </c>
      <c r="M50" s="1136"/>
      <c r="N50" s="355">
        <f t="shared" si="0"/>
        <v>0</v>
      </c>
      <c r="O50" s="1106">
        <f>SUM(O51:P53)</f>
        <v>-3055.9223999999995</v>
      </c>
      <c r="P50" s="1137"/>
      <c r="Q50" s="1136">
        <v>0</v>
      </c>
      <c r="R50" s="1136"/>
      <c r="S50" s="356">
        <f t="shared" si="1"/>
        <v>1</v>
      </c>
      <c r="T50" s="1109">
        <f t="shared" ref="T50:T57" si="11">O50</f>
        <v>-3055.9223999999995</v>
      </c>
      <c r="U50" s="1110"/>
      <c r="V50" s="1109">
        <f t="shared" ref="V50:V57" si="12">T50</f>
        <v>-3055.9223999999995</v>
      </c>
      <c r="W50" s="1110"/>
      <c r="X50" s="1109">
        <f t="shared" ref="X50:X57" si="13">V50</f>
        <v>-3055.9223999999995</v>
      </c>
      <c r="Y50" s="1110"/>
      <c r="Z50" s="308">
        <f>SUM(Z51:Z53)</f>
        <v>-1.4999999999999999E-2</v>
      </c>
      <c r="AA50" s="254"/>
      <c r="AB50" s="1145" t="s">
        <v>339</v>
      </c>
      <c r="AC50" s="1146"/>
      <c r="AD50" s="1146"/>
      <c r="AE50" s="1147">
        <f>AE53-SUM(AE49,AE51,AE52)</f>
        <v>0</v>
      </c>
      <c r="AF50" s="1147"/>
      <c r="AG50" s="1147"/>
      <c r="AH50" s="346"/>
      <c r="AI50" s="364"/>
      <c r="AJ50" s="364"/>
      <c r="AK50" s="365"/>
      <c r="AL50" s="261"/>
    </row>
    <row r="51" spans="2:38" s="258" customFormat="1" ht="15" customHeight="1">
      <c r="B51" s="311"/>
      <c r="C51" s="312" t="s">
        <v>340</v>
      </c>
      <c r="D51" s="312"/>
      <c r="E51" s="312"/>
      <c r="F51" s="313"/>
      <c r="G51" s="313"/>
      <c r="H51" s="313"/>
      <c r="I51" s="314"/>
      <c r="J51" s="1132">
        <v>0</v>
      </c>
      <c r="K51" s="1133"/>
      <c r="L51" s="1133">
        <v>0</v>
      </c>
      <c r="M51" s="1133"/>
      <c r="N51" s="315">
        <f t="shared" si="0"/>
        <v>0</v>
      </c>
      <c r="O51" s="1089">
        <f>Z51*O27</f>
        <v>-1222.3689599999998</v>
      </c>
      <c r="P51" s="1134"/>
      <c r="Q51" s="1133">
        <v>0</v>
      </c>
      <c r="R51" s="1133"/>
      <c r="S51" s="316">
        <f t="shared" si="1"/>
        <v>1</v>
      </c>
      <c r="T51" s="1092">
        <f t="shared" si="11"/>
        <v>-1222.3689599999998</v>
      </c>
      <c r="U51" s="1093"/>
      <c r="V51" s="1092">
        <f t="shared" si="12"/>
        <v>-1222.3689599999998</v>
      </c>
      <c r="W51" s="1093"/>
      <c r="X51" s="1092">
        <f t="shared" si="13"/>
        <v>-1222.3689599999998</v>
      </c>
      <c r="Y51" s="1093"/>
      <c r="Z51" s="317">
        <v>-6.0000000000000001E-3</v>
      </c>
      <c r="AA51" s="254"/>
      <c r="AB51" s="1148"/>
      <c r="AC51" s="1149"/>
      <c r="AD51" s="1149"/>
      <c r="AE51" s="1150"/>
      <c r="AF51" s="1150"/>
      <c r="AG51" s="1150"/>
      <c r="AH51" s="346"/>
      <c r="AI51" s="364"/>
      <c r="AJ51" s="364"/>
      <c r="AK51" s="365"/>
      <c r="AL51" s="261"/>
    </row>
    <row r="52" spans="2:38" s="261" customFormat="1" ht="15" customHeight="1">
      <c r="B52" s="323"/>
      <c r="C52" s="324" t="s">
        <v>683</v>
      </c>
      <c r="D52" s="324"/>
      <c r="E52" s="324"/>
      <c r="F52" s="325"/>
      <c r="G52" s="325"/>
      <c r="H52" s="325"/>
      <c r="I52" s="326"/>
      <c r="J52" s="1116">
        <v>0</v>
      </c>
      <c r="K52" s="1117"/>
      <c r="L52" s="1117">
        <v>0</v>
      </c>
      <c r="M52" s="1117"/>
      <c r="N52" s="327">
        <f t="shared" si="0"/>
        <v>0</v>
      </c>
      <c r="O52" s="1117">
        <v>0</v>
      </c>
      <c r="P52" s="1117"/>
      <c r="Q52" s="1117">
        <v>0</v>
      </c>
      <c r="R52" s="1117"/>
      <c r="S52" s="328">
        <f t="shared" si="1"/>
        <v>0</v>
      </c>
      <c r="T52" s="1082">
        <f t="shared" si="11"/>
        <v>0</v>
      </c>
      <c r="U52" s="1083"/>
      <c r="V52" s="1082">
        <f t="shared" si="12"/>
        <v>0</v>
      </c>
      <c r="W52" s="1083"/>
      <c r="X52" s="1082">
        <f t="shared" si="13"/>
        <v>0</v>
      </c>
      <c r="Y52" s="1083"/>
      <c r="Z52" s="357">
        <f>O52/O27</f>
        <v>0</v>
      </c>
      <c r="AA52" s="254"/>
      <c r="AB52" s="1151"/>
      <c r="AC52" s="1152"/>
      <c r="AD52" s="1152"/>
      <c r="AE52" s="1153"/>
      <c r="AF52" s="1153"/>
      <c r="AG52" s="1153"/>
      <c r="AH52" s="1097"/>
      <c r="AI52" s="1097"/>
      <c r="AJ52" s="366"/>
      <c r="AK52" s="362"/>
    </row>
    <row r="53" spans="2:38" s="261" customFormat="1" ht="15" customHeight="1">
      <c r="B53" s="311"/>
      <c r="C53" s="312" t="s">
        <v>143</v>
      </c>
      <c r="D53" s="312"/>
      <c r="E53" s="312"/>
      <c r="F53" s="313"/>
      <c r="G53" s="313"/>
      <c r="H53" s="313"/>
      <c r="I53" s="314"/>
      <c r="J53" s="1132">
        <v>0</v>
      </c>
      <c r="K53" s="1133"/>
      <c r="L53" s="1133">
        <v>0</v>
      </c>
      <c r="M53" s="1133"/>
      <c r="N53" s="315">
        <f t="shared" si="0"/>
        <v>0</v>
      </c>
      <c r="O53" s="1089">
        <f>Z53*O27</f>
        <v>-1833.5534399999997</v>
      </c>
      <c r="P53" s="1134"/>
      <c r="Q53" s="1133">
        <v>0</v>
      </c>
      <c r="R53" s="1133"/>
      <c r="S53" s="316">
        <f t="shared" si="1"/>
        <v>1</v>
      </c>
      <c r="T53" s="1092">
        <f t="shared" si="11"/>
        <v>-1833.5534399999997</v>
      </c>
      <c r="U53" s="1093"/>
      <c r="V53" s="1092">
        <f t="shared" si="12"/>
        <v>-1833.5534399999997</v>
      </c>
      <c r="W53" s="1093"/>
      <c r="X53" s="1092">
        <f t="shared" si="13"/>
        <v>-1833.5534399999997</v>
      </c>
      <c r="Y53" s="1093"/>
      <c r="Z53" s="317">
        <v>-8.9999999999999993E-3</v>
      </c>
      <c r="AA53" s="254"/>
      <c r="AB53" s="1151"/>
      <c r="AC53" s="1152"/>
      <c r="AD53" s="1152"/>
      <c r="AE53" s="1153"/>
      <c r="AF53" s="1153"/>
      <c r="AG53" s="1153"/>
      <c r="AH53" s="1154"/>
      <c r="AI53" s="1154"/>
      <c r="AJ53" s="366"/>
      <c r="AK53" s="362"/>
    </row>
    <row r="54" spans="2:38" s="261" customFormat="1" ht="15" customHeight="1">
      <c r="B54" s="337" t="s">
        <v>313</v>
      </c>
      <c r="C54" s="338"/>
      <c r="D54" s="338"/>
      <c r="E54" s="338"/>
      <c r="F54" s="339"/>
      <c r="G54" s="339"/>
      <c r="H54" s="339"/>
      <c r="I54" s="340"/>
      <c r="J54" s="1128">
        <v>0</v>
      </c>
      <c r="K54" s="1129"/>
      <c r="L54" s="1129">
        <v>0</v>
      </c>
      <c r="M54" s="1129"/>
      <c r="N54" s="341">
        <f t="shared" si="0"/>
        <v>0</v>
      </c>
      <c r="O54" s="1098">
        <f>O48+O50</f>
        <v>71631.722669999974</v>
      </c>
      <c r="P54" s="1130"/>
      <c r="Q54" s="1129">
        <v>0</v>
      </c>
      <c r="R54" s="1129"/>
      <c r="S54" s="342">
        <f t="shared" si="1"/>
        <v>1</v>
      </c>
      <c r="T54" s="1101">
        <f t="shared" si="11"/>
        <v>71631.722669999974</v>
      </c>
      <c r="U54" s="1102"/>
      <c r="V54" s="1101">
        <f t="shared" si="12"/>
        <v>71631.722669999974</v>
      </c>
      <c r="W54" s="1102"/>
      <c r="X54" s="1101">
        <f t="shared" si="13"/>
        <v>71631.722669999974</v>
      </c>
      <c r="Y54" s="1102"/>
      <c r="Z54" s="343">
        <f>Z48+Z50</f>
        <v>0.35160442557376437</v>
      </c>
      <c r="AA54" s="254"/>
      <c r="AB54" s="1151"/>
      <c r="AC54" s="1152"/>
      <c r="AD54" s="1152"/>
      <c r="AE54" s="1153"/>
      <c r="AF54" s="1153"/>
      <c r="AG54" s="1153"/>
      <c r="AH54" s="1097"/>
      <c r="AI54" s="1097"/>
      <c r="AJ54" s="366"/>
      <c r="AK54" s="362"/>
    </row>
    <row r="55" spans="2:38" s="261" customFormat="1" ht="15" customHeight="1">
      <c r="B55" s="351" t="s">
        <v>341</v>
      </c>
      <c r="C55" s="352"/>
      <c r="D55" s="352"/>
      <c r="E55" s="352"/>
      <c r="F55" s="353"/>
      <c r="G55" s="353"/>
      <c r="H55" s="353"/>
      <c r="I55" s="354"/>
      <c r="J55" s="1135">
        <v>0</v>
      </c>
      <c r="K55" s="1136"/>
      <c r="L55" s="1136">
        <v>0</v>
      </c>
      <c r="M55" s="1136"/>
      <c r="N55" s="355">
        <f ca="1">IF(ISERR(J55/(J55+O55)),0,J55/(J55+O55))</f>
        <v>0</v>
      </c>
      <c r="O55" s="1106">
        <f ca="1">O56</f>
        <v>-12354.368026991158</v>
      </c>
      <c r="P55" s="1137"/>
      <c r="Q55" s="1136">
        <v>0</v>
      </c>
      <c r="R55" s="1136"/>
      <c r="S55" s="356">
        <f ca="1">IF(ISERR(O55/(O55+J55)),0,O55/(O55+J55))</f>
        <v>1</v>
      </c>
      <c r="T55" s="1109">
        <f t="shared" ca="1" si="11"/>
        <v>-12354.368026991158</v>
      </c>
      <c r="U55" s="1110"/>
      <c r="V55" s="1109">
        <f t="shared" ca="1" si="12"/>
        <v>-12354.368026991158</v>
      </c>
      <c r="W55" s="1110"/>
      <c r="X55" s="1109">
        <f t="shared" ca="1" si="13"/>
        <v>-12354.368026991158</v>
      </c>
      <c r="Y55" s="1110"/>
      <c r="Z55" s="308">
        <f ca="1">SUM(Z56)</f>
        <v>-6.0641435268404521E-2</v>
      </c>
      <c r="AA55" s="254"/>
      <c r="AB55" s="1151" t="s">
        <v>696</v>
      </c>
      <c r="AC55" s="1155"/>
      <c r="AD55" s="1155"/>
      <c r="AE55" s="1156">
        <f ca="1">Z62</f>
        <v>0.25096299030535985</v>
      </c>
      <c r="AF55" s="1156"/>
      <c r="AG55" s="1156"/>
      <c r="AH55" s="1097">
        <f ca="1">O62*1000</f>
        <v>51128228.243008815</v>
      </c>
      <c r="AI55" s="1097"/>
      <c r="AJ55" s="366"/>
      <c r="AK55" s="362"/>
    </row>
    <row r="56" spans="2:38" s="261" customFormat="1" ht="15" customHeight="1">
      <c r="B56" s="311"/>
      <c r="C56" s="312" t="s">
        <v>842</v>
      </c>
      <c r="D56" s="312"/>
      <c r="E56" s="312"/>
      <c r="F56" s="313"/>
      <c r="G56" s="313"/>
      <c r="H56" s="313"/>
      <c r="I56" s="314"/>
      <c r="J56" s="1132">
        <v>0</v>
      </c>
      <c r="K56" s="1133"/>
      <c r="L56" s="1133">
        <v>0</v>
      </c>
      <c r="M56" s="1133"/>
      <c r="N56" s="315">
        <f ca="1">IF(ISERR(J56/(J56+O56)),0,J56/(J56+O56))</f>
        <v>0</v>
      </c>
      <c r="O56" s="1089">
        <f ca="1">('Permuta Funding'!E53-55000000)/-1000</f>
        <v>-12354.368026991158</v>
      </c>
      <c r="P56" s="1134"/>
      <c r="Q56" s="1133">
        <v>0</v>
      </c>
      <c r="R56" s="1133"/>
      <c r="S56" s="316">
        <f ca="1">IF(ISERR(O56/(O56+J56)),0,O56/(O56+J56))</f>
        <v>1</v>
      </c>
      <c r="T56" s="1092">
        <f t="shared" ca="1" si="11"/>
        <v>-12354.368026991158</v>
      </c>
      <c r="U56" s="1093"/>
      <c r="V56" s="1092">
        <f t="shared" ca="1" si="12"/>
        <v>-12354.368026991158</v>
      </c>
      <c r="W56" s="1093"/>
      <c r="X56" s="1092">
        <f t="shared" ca="1" si="13"/>
        <v>-12354.368026991158</v>
      </c>
      <c r="Y56" s="1093"/>
      <c r="Z56" s="317">
        <f ca="1">O56/O27</f>
        <v>-6.0641435268404521E-2</v>
      </c>
      <c r="AA56" s="254"/>
      <c r="AB56" s="1160" t="s">
        <v>697</v>
      </c>
      <c r="AC56" s="1161"/>
      <c r="AD56" s="1161"/>
      <c r="AE56" s="1162">
        <f ca="1">(Z56+Z37)*-1</f>
        <v>0.25698149940092307</v>
      </c>
      <c r="AF56" s="1162"/>
      <c r="AG56" s="1162"/>
      <c r="AH56" s="1157">
        <f ca="1">(O56+O36+O29)*-1000</f>
        <v>57849311.756991155</v>
      </c>
      <c r="AI56" s="1158"/>
      <c r="AJ56" s="366"/>
      <c r="AK56" s="362"/>
    </row>
    <row r="57" spans="2:38" s="261" customFormat="1" ht="15" customHeight="1">
      <c r="B57" s="337" t="s">
        <v>342</v>
      </c>
      <c r="C57" s="338"/>
      <c r="D57" s="338"/>
      <c r="E57" s="338"/>
      <c r="F57" s="339"/>
      <c r="G57" s="339"/>
      <c r="H57" s="339"/>
      <c r="I57" s="340"/>
      <c r="J57" s="1128">
        <v>0</v>
      </c>
      <c r="K57" s="1129"/>
      <c r="L57" s="1129">
        <v>0</v>
      </c>
      <c r="M57" s="1129"/>
      <c r="N57" s="341">
        <f t="shared" ca="1" si="0"/>
        <v>0</v>
      </c>
      <c r="O57" s="1098">
        <f ca="1">O54+O55</f>
        <v>59277.354643008817</v>
      </c>
      <c r="P57" s="1130"/>
      <c r="Q57" s="1129">
        <v>0</v>
      </c>
      <c r="R57" s="1129"/>
      <c r="S57" s="342">
        <f t="shared" ca="1" si="1"/>
        <v>1</v>
      </c>
      <c r="T57" s="1101">
        <f t="shared" ca="1" si="11"/>
        <v>59277.354643008817</v>
      </c>
      <c r="U57" s="1102"/>
      <c r="V57" s="1101">
        <f t="shared" ca="1" si="12"/>
        <v>59277.354643008817</v>
      </c>
      <c r="W57" s="1102"/>
      <c r="X57" s="1101">
        <f t="shared" ca="1" si="13"/>
        <v>59277.354643008817</v>
      </c>
      <c r="Y57" s="1102"/>
      <c r="Z57" s="343">
        <f ca="1">Z54+Z55</f>
        <v>0.29096299030535983</v>
      </c>
      <c r="AA57" s="254"/>
      <c r="AB57" s="1163"/>
      <c r="AC57" s="1164"/>
      <c r="AD57" s="1164"/>
      <c r="AE57" s="1159"/>
      <c r="AF57" s="1159"/>
      <c r="AG57" s="1159"/>
      <c r="AH57" s="1165">
        <f ca="1">AH56/14</f>
        <v>4132093.6969279395</v>
      </c>
      <c r="AI57" s="1166"/>
      <c r="AJ57" s="366"/>
      <c r="AK57" s="362"/>
    </row>
    <row r="58" spans="2:38" s="261" customFormat="1" ht="15" customHeight="1">
      <c r="B58" s="344"/>
      <c r="C58" s="345"/>
      <c r="D58" s="345"/>
      <c r="E58" s="345"/>
      <c r="F58" s="346"/>
      <c r="G58" s="346"/>
      <c r="H58" s="346"/>
      <c r="I58" s="347"/>
      <c r="J58" s="1125"/>
      <c r="K58" s="1126"/>
      <c r="L58" s="1126"/>
      <c r="M58" s="1126"/>
      <c r="N58" s="348"/>
      <c r="O58" s="1112"/>
      <c r="P58" s="1127"/>
      <c r="Q58" s="1126"/>
      <c r="R58" s="1126"/>
      <c r="S58" s="349"/>
      <c r="T58" s="1104"/>
      <c r="U58" s="1105"/>
      <c r="V58" s="1104"/>
      <c r="W58" s="1105"/>
      <c r="X58" s="1104"/>
      <c r="Y58" s="1105"/>
      <c r="Z58" s="350"/>
      <c r="AA58" s="254"/>
      <c r="AB58" s="1216" t="s">
        <v>862</v>
      </c>
      <c r="AC58" s="1217"/>
      <c r="AD58" s="1217"/>
      <c r="AE58" s="1217"/>
      <c r="AF58" s="346"/>
      <c r="AG58" s="346"/>
      <c r="AH58" s="1218">
        <f ca="1">AD60+AB60</f>
        <v>25564114.121504407</v>
      </c>
      <c r="AI58" s="1217"/>
      <c r="AJ58" s="366"/>
      <c r="AK58" s="362"/>
    </row>
    <row r="59" spans="2:38" s="261" customFormat="1" ht="15" customHeight="1">
      <c r="B59" s="351" t="s">
        <v>129</v>
      </c>
      <c r="C59" s="352"/>
      <c r="D59" s="352"/>
      <c r="E59" s="352"/>
      <c r="F59" s="353"/>
      <c r="G59" s="353"/>
      <c r="H59" s="353"/>
      <c r="I59" s="354"/>
      <c r="J59" s="1135">
        <v>0</v>
      </c>
      <c r="K59" s="1136"/>
      <c r="L59" s="1136">
        <v>0</v>
      </c>
      <c r="M59" s="1136"/>
      <c r="N59" s="355">
        <f t="shared" si="0"/>
        <v>0</v>
      </c>
      <c r="O59" s="1106">
        <f>SUM(O60:P61)</f>
        <v>-8149.1263999999992</v>
      </c>
      <c r="P59" s="1137"/>
      <c r="Q59" s="1136">
        <v>0</v>
      </c>
      <c r="R59" s="1136"/>
      <c r="S59" s="356">
        <f t="shared" si="1"/>
        <v>1</v>
      </c>
      <c r="T59" s="1109">
        <v>-2145.80332</v>
      </c>
      <c r="U59" s="1110"/>
      <c r="V59" s="1109">
        <v>-2145.80332</v>
      </c>
      <c r="W59" s="1110"/>
      <c r="X59" s="1109">
        <v>-2145.80332</v>
      </c>
      <c r="Y59" s="1110"/>
      <c r="Z59" s="308">
        <f>SUM(Z60:Z61)</f>
        <v>-0.04</v>
      </c>
      <c r="AA59" s="254"/>
      <c r="AB59" s="1167" t="s">
        <v>863</v>
      </c>
      <c r="AC59" s="1168"/>
      <c r="AD59" s="1169" t="s">
        <v>864</v>
      </c>
      <c r="AE59" s="1144"/>
      <c r="AF59" s="1144"/>
      <c r="AG59" s="1169"/>
      <c r="AH59" s="1169"/>
      <c r="AI59" s="1169"/>
      <c r="AJ59" s="1169"/>
      <c r="AK59" s="1170"/>
    </row>
    <row r="60" spans="2:38" s="261" customFormat="1" ht="15" customHeight="1">
      <c r="B60" s="311"/>
      <c r="C60" s="312" t="s">
        <v>684</v>
      </c>
      <c r="D60" s="312"/>
      <c r="E60" s="312"/>
      <c r="F60" s="313"/>
      <c r="G60" s="313"/>
      <c r="H60" s="313"/>
      <c r="I60" s="314"/>
      <c r="J60" s="1132">
        <v>0</v>
      </c>
      <c r="K60" s="1133"/>
      <c r="L60" s="1133">
        <v>0</v>
      </c>
      <c r="M60" s="1133"/>
      <c r="N60" s="315">
        <f t="shared" si="0"/>
        <v>0</v>
      </c>
      <c r="O60" s="1089">
        <f>O27*Z60</f>
        <v>-8149.1263999999992</v>
      </c>
      <c r="P60" s="1134"/>
      <c r="Q60" s="1133">
        <v>0</v>
      </c>
      <c r="R60" s="1133"/>
      <c r="S60" s="316">
        <f t="shared" si="1"/>
        <v>1</v>
      </c>
      <c r="T60" s="1092">
        <v>-1362.37059</v>
      </c>
      <c r="U60" s="1093"/>
      <c r="V60" s="1092">
        <v>-1362.37059</v>
      </c>
      <c r="W60" s="1093"/>
      <c r="X60" s="1092">
        <v>-1362.37059</v>
      </c>
      <c r="Y60" s="1093"/>
      <c r="Z60" s="317">
        <v>-0.04</v>
      </c>
      <c r="AA60" s="368"/>
      <c r="AB60" s="1173">
        <f ca="1">O63*25%*1000</f>
        <v>12782057.060752204</v>
      </c>
      <c r="AC60" s="990"/>
      <c r="AD60" s="1169">
        <f ca="1">AB60</f>
        <v>12782057.060752204</v>
      </c>
      <c r="AE60" s="1144"/>
      <c r="AF60" s="1144"/>
      <c r="AG60" s="1171"/>
      <c r="AH60" s="1171"/>
      <c r="AI60" s="1171"/>
      <c r="AJ60" s="1171"/>
      <c r="AK60" s="1172"/>
    </row>
    <row r="61" spans="2:38" s="261" customFormat="1" ht="15" customHeight="1">
      <c r="B61" s="323"/>
      <c r="C61" s="324"/>
      <c r="D61" s="324"/>
      <c r="E61" s="324"/>
      <c r="F61" s="325"/>
      <c r="G61" s="325"/>
      <c r="H61" s="325"/>
      <c r="I61" s="326"/>
      <c r="J61" s="1116"/>
      <c r="K61" s="1117"/>
      <c r="L61" s="1117"/>
      <c r="M61" s="1117"/>
      <c r="N61" s="327"/>
      <c r="O61" s="1117"/>
      <c r="P61" s="1117"/>
      <c r="Q61" s="1117"/>
      <c r="R61" s="1117"/>
      <c r="S61" s="328"/>
      <c r="T61" s="1082"/>
      <c r="U61" s="1083"/>
      <c r="V61" s="1082"/>
      <c r="W61" s="1083"/>
      <c r="X61" s="1082"/>
      <c r="Y61" s="1083"/>
      <c r="Z61" s="369"/>
      <c r="AA61" s="368"/>
      <c r="AB61" s="1173"/>
      <c r="AC61" s="990"/>
      <c r="AD61" s="1169"/>
      <c r="AE61" s="1144"/>
      <c r="AF61" s="1144"/>
      <c r="AG61" s="1171"/>
      <c r="AH61" s="1171"/>
      <c r="AI61" s="1171"/>
      <c r="AJ61" s="1171"/>
      <c r="AK61" s="1172"/>
    </row>
    <row r="62" spans="2:38" s="261" customFormat="1" ht="15" customHeight="1">
      <c r="B62" s="337" t="s">
        <v>317</v>
      </c>
      <c r="C62" s="338"/>
      <c r="D62" s="338"/>
      <c r="E62" s="338"/>
      <c r="F62" s="339"/>
      <c r="G62" s="339"/>
      <c r="H62" s="339"/>
      <c r="I62" s="340"/>
      <c r="J62" s="1128">
        <v>0</v>
      </c>
      <c r="K62" s="1129"/>
      <c r="L62" s="1129">
        <v>0</v>
      </c>
      <c r="M62" s="1129"/>
      <c r="N62" s="341">
        <f t="shared" ca="1" si="0"/>
        <v>0</v>
      </c>
      <c r="O62" s="1098">
        <f ca="1">O57+O59</f>
        <v>51128.228243008816</v>
      </c>
      <c r="P62" s="1130"/>
      <c r="Q62" s="1129">
        <v>0</v>
      </c>
      <c r="R62" s="1129"/>
      <c r="S62" s="342">
        <f t="shared" ca="1" si="1"/>
        <v>1</v>
      </c>
      <c r="T62" s="1101">
        <f ca="1">O62</f>
        <v>51128.228243008816</v>
      </c>
      <c r="U62" s="1102"/>
      <c r="V62" s="1101">
        <f ca="1">T62</f>
        <v>51128.228243008816</v>
      </c>
      <c r="W62" s="1102"/>
      <c r="X62" s="1101">
        <f ca="1">V62</f>
        <v>51128.228243008816</v>
      </c>
      <c r="Y62" s="1102"/>
      <c r="Z62" s="343">
        <f ca="1">Z57+Z59</f>
        <v>0.25096299030535985</v>
      </c>
      <c r="AA62" s="368"/>
      <c r="AB62" s="989"/>
      <c r="AC62" s="990"/>
      <c r="AE62" s="1174"/>
      <c r="AF62" s="990"/>
      <c r="AG62" s="1171"/>
      <c r="AH62" s="1171"/>
      <c r="AI62" s="1171"/>
      <c r="AJ62" s="1171"/>
      <c r="AK62" s="1172"/>
    </row>
    <row r="63" spans="2:38" s="261" customFormat="1" ht="15" customHeight="1">
      <c r="B63" s="337" t="s">
        <v>343</v>
      </c>
      <c r="C63" s="338"/>
      <c r="D63" s="338"/>
      <c r="E63" s="338"/>
      <c r="F63" s="339"/>
      <c r="G63" s="339"/>
      <c r="H63" s="339"/>
      <c r="I63" s="340"/>
      <c r="J63" s="1128">
        <v>0</v>
      </c>
      <c r="K63" s="1129"/>
      <c r="L63" s="1129">
        <v>0</v>
      </c>
      <c r="M63" s="1129"/>
      <c r="N63" s="341">
        <f t="shared" ca="1" si="0"/>
        <v>0</v>
      </c>
      <c r="O63" s="1098">
        <f ca="1">O62</f>
        <v>51128.228243008816</v>
      </c>
      <c r="P63" s="1130"/>
      <c r="Q63" s="1129">
        <v>0</v>
      </c>
      <c r="R63" s="1129"/>
      <c r="S63" s="342">
        <f t="shared" ca="1" si="1"/>
        <v>1</v>
      </c>
      <c r="T63" s="1101">
        <f ca="1">T62</f>
        <v>51128.228243008816</v>
      </c>
      <c r="U63" s="1102"/>
      <c r="V63" s="1101">
        <f ca="1">V62</f>
        <v>51128.228243008816</v>
      </c>
      <c r="W63" s="1102"/>
      <c r="X63" s="1101">
        <f ca="1">X62</f>
        <v>51128.228243008816</v>
      </c>
      <c r="Y63" s="1102"/>
      <c r="Z63" s="343">
        <f ca="1">Z62</f>
        <v>0.25096299030535985</v>
      </c>
      <c r="AA63" s="368"/>
      <c r="AB63" s="989"/>
      <c r="AC63" s="990"/>
      <c r="AD63" s="1169"/>
      <c r="AE63" s="1144"/>
      <c r="AF63" s="1144"/>
      <c r="AG63" s="346"/>
      <c r="AH63" s="346"/>
      <c r="AI63" s="367"/>
      <c r="AJ63" s="366"/>
      <c r="AK63" s="362"/>
    </row>
    <row r="64" spans="2:38" s="261" customFormat="1" ht="15" customHeight="1">
      <c r="B64" s="370"/>
      <c r="C64" s="371"/>
      <c r="D64" s="371"/>
      <c r="E64" s="371"/>
      <c r="F64" s="371"/>
      <c r="G64" s="371"/>
      <c r="H64" s="371"/>
      <c r="I64" s="372"/>
      <c r="J64" s="1179"/>
      <c r="K64" s="1180"/>
      <c r="L64" s="1180"/>
      <c r="M64" s="1180"/>
      <c r="N64" s="373"/>
      <c r="O64" s="1181"/>
      <c r="P64" s="1182"/>
      <c r="Q64" s="1180"/>
      <c r="R64" s="1180"/>
      <c r="S64" s="374"/>
      <c r="T64" s="1183"/>
      <c r="U64" s="1184"/>
      <c r="V64" s="1183"/>
      <c r="W64" s="1184"/>
      <c r="X64" s="1183"/>
      <c r="Y64" s="1184"/>
      <c r="Z64" s="350"/>
      <c r="AA64" s="254"/>
      <c r="AB64" s="375"/>
      <c r="AC64" s="371"/>
      <c r="AD64" s="1175"/>
      <c r="AE64" s="1175"/>
      <c r="AF64" s="1175"/>
      <c r="AG64" s="1176"/>
      <c r="AH64" s="1176"/>
      <c r="AI64" s="1176"/>
      <c r="AJ64" s="376"/>
      <c r="AK64" s="377"/>
      <c r="AL64" s="254"/>
    </row>
    <row r="65" spans="2:38" s="261" customFormat="1" ht="15" customHeight="1">
      <c r="B65" s="254"/>
      <c r="C65" s="254"/>
      <c r="D65" s="254"/>
      <c r="E65" s="254"/>
      <c r="F65" s="254"/>
      <c r="G65" s="254"/>
      <c r="H65" s="254"/>
      <c r="I65" s="254"/>
      <c r="J65" s="254"/>
      <c r="K65" s="254"/>
      <c r="L65" s="254"/>
      <c r="M65" s="254"/>
      <c r="N65" s="254"/>
      <c r="O65" s="254"/>
      <c r="P65" s="254"/>
      <c r="Q65" s="254"/>
      <c r="R65" s="254"/>
      <c r="S65" s="254"/>
      <c r="T65" s="254"/>
      <c r="U65" s="254"/>
      <c r="V65" s="254"/>
      <c r="W65" s="254"/>
      <c r="X65" s="254"/>
      <c r="Y65" s="254"/>
      <c r="Z65" s="254"/>
      <c r="AA65" s="254"/>
      <c r="AB65" s="378"/>
      <c r="AC65" s="378"/>
      <c r="AD65" s="378"/>
      <c r="AE65" s="378"/>
      <c r="AF65" s="378"/>
      <c r="AG65" s="378"/>
      <c r="AH65" s="378"/>
      <c r="AI65" s="378"/>
      <c r="AJ65" s="378"/>
      <c r="AK65" s="254"/>
      <c r="AL65" s="254"/>
    </row>
    <row r="66" spans="2:38" s="261" customFormat="1" ht="15" customHeight="1">
      <c r="B66" s="254"/>
      <c r="C66" s="254"/>
      <c r="D66" s="254"/>
      <c r="E66" s="254"/>
      <c r="F66" s="254"/>
      <c r="G66" s="254"/>
      <c r="H66" s="254"/>
      <c r="I66" s="254"/>
      <c r="J66" s="254"/>
      <c r="K66" s="254"/>
      <c r="L66" s="254"/>
      <c r="M66" s="254"/>
      <c r="N66" s="254"/>
      <c r="O66" s="254"/>
      <c r="P66" s="254"/>
      <c r="Q66" s="254"/>
      <c r="R66" s="254"/>
      <c r="S66" s="254"/>
      <c r="T66" s="254"/>
      <c r="U66" s="254"/>
      <c r="V66" s="254"/>
      <c r="W66" s="254"/>
      <c r="X66" s="254"/>
      <c r="Y66" s="379"/>
      <c r="Z66" s="254"/>
      <c r="AA66" s="254"/>
      <c r="AB66" s="378"/>
      <c r="AC66" s="378"/>
      <c r="AD66" s="1177"/>
      <c r="AE66" s="1168"/>
      <c r="AF66" s="1168"/>
      <c r="AG66" s="1178"/>
      <c r="AH66" s="1178"/>
      <c r="AI66" s="1178"/>
      <c r="AJ66" s="378"/>
      <c r="AK66" s="254"/>
      <c r="AL66" s="254"/>
    </row>
    <row r="67" spans="2:38" s="261" customFormat="1" ht="15" customHeight="1">
      <c r="B67" s="254"/>
      <c r="C67" s="254"/>
      <c r="D67" s="254"/>
      <c r="E67" s="254"/>
      <c r="F67" s="254"/>
      <c r="G67" s="254"/>
      <c r="H67" s="254"/>
      <c r="I67" s="254"/>
      <c r="J67" s="254"/>
      <c r="K67" s="254"/>
      <c r="L67" s="254"/>
      <c r="M67" s="254"/>
      <c r="N67" s="254"/>
      <c r="O67" s="254"/>
      <c r="P67" s="254"/>
      <c r="Q67" s="254"/>
      <c r="R67" s="254"/>
      <c r="S67" s="254"/>
      <c r="T67" s="254"/>
      <c r="U67" s="254"/>
      <c r="V67" s="254"/>
      <c r="W67" s="254"/>
      <c r="X67" s="254"/>
      <c r="Y67" s="379"/>
      <c r="Z67" s="254"/>
      <c r="AA67" s="254"/>
      <c r="AB67" s="378"/>
      <c r="AC67" s="378"/>
      <c r="AD67" s="1177"/>
      <c r="AE67" s="1168"/>
      <c r="AF67" s="1168"/>
      <c r="AG67" s="378"/>
      <c r="AH67" s="378"/>
      <c r="AI67" s="378"/>
      <c r="AJ67" s="378"/>
      <c r="AK67" s="254"/>
      <c r="AL67" s="254"/>
    </row>
    <row r="68" spans="2:38" s="261" customFormat="1" ht="15" customHeight="1">
      <c r="B68" s="254"/>
      <c r="C68" s="254"/>
      <c r="D68" s="254"/>
      <c r="E68" s="254"/>
      <c r="F68" s="254"/>
      <c r="G68" s="254"/>
      <c r="H68" s="254"/>
      <c r="I68" s="254"/>
      <c r="J68" s="254"/>
      <c r="K68" s="254"/>
      <c r="L68" s="254"/>
      <c r="M68" s="254"/>
      <c r="N68" s="254"/>
      <c r="O68" s="254"/>
      <c r="P68" s="254"/>
      <c r="Q68" s="254"/>
      <c r="R68" s="254"/>
      <c r="S68" s="254"/>
      <c r="T68" s="254"/>
      <c r="U68" s="254"/>
      <c r="V68" s="254"/>
      <c r="W68" s="254"/>
      <c r="X68" s="254"/>
      <c r="Y68" s="254"/>
      <c r="Z68" s="254"/>
      <c r="AA68" s="254"/>
      <c r="AB68" s="378"/>
      <c r="AC68" s="378"/>
      <c r="AD68" s="378"/>
      <c r="AE68" s="378"/>
      <c r="AF68" s="378"/>
      <c r="AG68" s="378"/>
      <c r="AH68" s="378"/>
      <c r="AI68" s="378"/>
      <c r="AJ68" s="378"/>
      <c r="AK68" s="254"/>
      <c r="AL68" s="254"/>
    </row>
    <row r="69" spans="2:38" s="261" customFormat="1" ht="15" customHeight="1">
      <c r="B69" s="254"/>
      <c r="C69" s="254"/>
      <c r="D69" s="254"/>
      <c r="E69" s="254"/>
      <c r="F69" s="254"/>
      <c r="G69" s="254"/>
      <c r="H69" s="254"/>
      <c r="I69" s="254"/>
      <c r="J69" s="254"/>
      <c r="K69" s="254"/>
      <c r="L69" s="254"/>
      <c r="M69" s="254"/>
      <c r="N69" s="254"/>
      <c r="O69" s="254"/>
      <c r="P69" s="254"/>
      <c r="Q69" s="254"/>
      <c r="R69" s="254"/>
      <c r="S69" s="254"/>
      <c r="T69" s="254"/>
      <c r="U69" s="254"/>
      <c r="V69" s="254"/>
      <c r="W69" s="254"/>
      <c r="X69" s="254"/>
      <c r="Y69" s="254"/>
      <c r="Z69" s="254"/>
      <c r="AA69" s="254"/>
      <c r="AB69" s="378"/>
      <c r="AC69" s="378"/>
      <c r="AD69" s="378"/>
      <c r="AE69" s="378"/>
      <c r="AF69" s="378"/>
      <c r="AG69" s="378"/>
      <c r="AH69" s="378"/>
      <c r="AI69" s="378"/>
      <c r="AJ69" s="378"/>
      <c r="AK69" s="254"/>
      <c r="AL69" s="254"/>
    </row>
    <row r="70" spans="2:38" s="261" customFormat="1" ht="15" customHeight="1">
      <c r="B70" s="254"/>
      <c r="C70" s="254"/>
      <c r="D70" s="254"/>
      <c r="E70" s="254"/>
      <c r="F70" s="254"/>
      <c r="G70" s="254"/>
      <c r="H70" s="254"/>
      <c r="I70" s="254"/>
      <c r="J70" s="254"/>
      <c r="K70" s="254"/>
      <c r="L70" s="254"/>
      <c r="M70" s="254"/>
      <c r="N70" s="254"/>
      <c r="O70" s="254"/>
      <c r="P70" s="254"/>
      <c r="Q70" s="254"/>
      <c r="R70" s="254"/>
      <c r="S70" s="254"/>
      <c r="T70" s="254"/>
      <c r="U70" s="254"/>
      <c r="V70" s="254"/>
      <c r="W70" s="254"/>
      <c r="X70" s="254"/>
      <c r="Y70" s="254"/>
      <c r="Z70" s="254"/>
      <c r="AA70" s="254"/>
      <c r="AB70" s="378"/>
      <c r="AC70" s="378"/>
      <c r="AD70" s="378"/>
      <c r="AE70" s="378"/>
      <c r="AF70" s="378"/>
      <c r="AG70" s="378"/>
      <c r="AH70" s="378"/>
      <c r="AI70" s="378"/>
      <c r="AJ70" s="378"/>
      <c r="AK70" s="254"/>
      <c r="AL70" s="254"/>
    </row>
    <row r="71" spans="2:38" s="261" customFormat="1" ht="15" customHeight="1">
      <c r="B71" s="254"/>
      <c r="C71" s="254"/>
      <c r="D71" s="254"/>
      <c r="E71" s="254"/>
      <c r="F71" s="254"/>
      <c r="G71" s="254"/>
      <c r="H71" s="254"/>
      <c r="I71" s="254"/>
      <c r="J71" s="254"/>
      <c r="K71" s="254"/>
      <c r="L71" s="254"/>
      <c r="M71" s="254"/>
      <c r="N71" s="254"/>
      <c r="O71" s="254"/>
      <c r="P71" s="254"/>
      <c r="Q71" s="254"/>
      <c r="R71" s="254"/>
      <c r="S71" s="254"/>
      <c r="T71" s="254"/>
      <c r="U71" s="254"/>
      <c r="V71" s="254"/>
      <c r="W71" s="254"/>
      <c r="X71" s="254"/>
      <c r="Y71" s="254"/>
      <c r="Z71" s="254"/>
      <c r="AA71" s="254"/>
      <c r="AB71" s="378"/>
      <c r="AC71" s="378"/>
      <c r="AD71" s="378"/>
      <c r="AE71" s="378"/>
      <c r="AF71" s="378"/>
      <c r="AG71" s="378"/>
      <c r="AH71" s="378"/>
      <c r="AI71" s="378"/>
      <c r="AJ71" s="378"/>
      <c r="AK71" s="254"/>
      <c r="AL71" s="254"/>
    </row>
    <row r="72" spans="2:38" s="261" customFormat="1" ht="15" customHeight="1">
      <c r="B72" s="254"/>
      <c r="C72" s="254"/>
      <c r="D72" s="254"/>
      <c r="E72" s="254"/>
      <c r="F72" s="254"/>
      <c r="G72" s="254"/>
      <c r="H72" s="254"/>
      <c r="I72" s="254"/>
      <c r="J72" s="254"/>
      <c r="K72" s="254"/>
      <c r="L72" s="254"/>
      <c r="M72" s="254"/>
      <c r="N72" s="254"/>
      <c r="O72" s="254"/>
      <c r="P72" s="254"/>
      <c r="Q72" s="254"/>
      <c r="R72" s="254"/>
      <c r="S72" s="254"/>
      <c r="T72" s="254"/>
      <c r="U72" s="254"/>
      <c r="V72" s="254"/>
      <c r="W72" s="254"/>
      <c r="X72" s="254"/>
      <c r="Y72" s="254"/>
      <c r="Z72" s="254"/>
      <c r="AA72" s="254"/>
      <c r="AB72" s="378"/>
      <c r="AC72" s="378"/>
      <c r="AD72" s="378"/>
      <c r="AE72" s="378"/>
      <c r="AF72" s="378"/>
      <c r="AG72" s="378"/>
      <c r="AH72" s="378"/>
      <c r="AI72" s="378"/>
      <c r="AJ72" s="378"/>
      <c r="AK72" s="254"/>
      <c r="AL72" s="254"/>
    </row>
    <row r="73" spans="2:38" s="261" customFormat="1" ht="15" customHeight="1">
      <c r="B73" s="254"/>
      <c r="C73" s="254"/>
      <c r="D73" s="254"/>
      <c r="E73" s="254"/>
      <c r="F73" s="254"/>
      <c r="G73" s="254"/>
      <c r="H73" s="254"/>
      <c r="I73" s="254"/>
      <c r="J73" s="254"/>
      <c r="K73" s="254"/>
      <c r="L73" s="254"/>
      <c r="M73" s="254"/>
      <c r="N73" s="254"/>
      <c r="O73" s="254"/>
      <c r="P73" s="254"/>
      <c r="Q73" s="254"/>
      <c r="R73" s="254"/>
      <c r="S73" s="254"/>
      <c r="T73" s="254"/>
      <c r="U73" s="254"/>
      <c r="V73" s="254"/>
      <c r="W73" s="254"/>
      <c r="X73" s="254"/>
      <c r="Y73" s="254"/>
      <c r="Z73" s="254"/>
      <c r="AA73" s="254"/>
      <c r="AB73" s="378"/>
      <c r="AC73" s="378"/>
      <c r="AD73" s="378"/>
      <c r="AE73" s="378"/>
      <c r="AF73" s="378"/>
      <c r="AG73" s="378"/>
      <c r="AH73" s="378"/>
      <c r="AI73" s="378"/>
      <c r="AJ73" s="378"/>
      <c r="AK73" s="254"/>
      <c r="AL73" s="254"/>
    </row>
    <row r="74" spans="2:38" s="261" customFormat="1" ht="15" customHeight="1">
      <c r="B74" s="254"/>
      <c r="C74" s="254"/>
      <c r="D74" s="254"/>
      <c r="E74" s="254"/>
      <c r="F74" s="254"/>
      <c r="G74" s="254"/>
      <c r="H74" s="254"/>
      <c r="I74" s="254"/>
      <c r="J74" s="254"/>
      <c r="K74" s="254"/>
      <c r="L74" s="254"/>
      <c r="M74" s="254"/>
      <c r="N74" s="254"/>
      <c r="O74" s="254"/>
      <c r="P74" s="254"/>
      <c r="Q74" s="254"/>
      <c r="R74" s="254"/>
      <c r="S74" s="254"/>
      <c r="T74" s="254"/>
      <c r="U74" s="254"/>
      <c r="V74" s="254"/>
      <c r="W74" s="254"/>
      <c r="X74" s="254"/>
      <c r="Y74" s="254"/>
      <c r="Z74" s="254"/>
      <c r="AA74" s="254"/>
      <c r="AB74" s="378"/>
      <c r="AC74" s="378"/>
      <c r="AD74" s="378"/>
      <c r="AE74" s="378"/>
      <c r="AF74" s="378"/>
      <c r="AG74" s="378"/>
      <c r="AH74" s="378"/>
      <c r="AI74" s="378"/>
      <c r="AJ74" s="378"/>
      <c r="AK74" s="254"/>
      <c r="AL74" s="254"/>
    </row>
    <row r="75" spans="2:38" s="261" customFormat="1" ht="15" customHeight="1">
      <c r="B75" s="254"/>
      <c r="C75" s="254"/>
      <c r="D75" s="254"/>
      <c r="E75" s="254"/>
      <c r="F75" s="254"/>
      <c r="G75" s="254"/>
      <c r="H75" s="254"/>
      <c r="I75" s="254"/>
      <c r="J75" s="254"/>
      <c r="K75" s="254"/>
      <c r="L75" s="254"/>
      <c r="M75" s="254"/>
      <c r="N75" s="254"/>
      <c r="O75" s="254"/>
      <c r="P75" s="254"/>
      <c r="Q75" s="254"/>
      <c r="R75" s="254"/>
      <c r="S75" s="254"/>
      <c r="T75" s="254"/>
      <c r="U75" s="254"/>
      <c r="V75" s="254"/>
      <c r="W75" s="254"/>
      <c r="X75" s="254"/>
      <c r="Y75" s="254"/>
      <c r="Z75" s="254"/>
      <c r="AA75" s="254"/>
      <c r="AB75" s="378"/>
      <c r="AC75" s="378"/>
      <c r="AD75" s="378"/>
      <c r="AE75" s="378"/>
      <c r="AF75" s="378"/>
      <c r="AG75" s="378"/>
      <c r="AH75" s="378"/>
      <c r="AI75" s="378"/>
      <c r="AJ75" s="378"/>
      <c r="AK75" s="254"/>
      <c r="AL75" s="254"/>
    </row>
    <row r="76" spans="2:38" s="261" customFormat="1" ht="15" customHeight="1">
      <c r="B76" s="254"/>
      <c r="C76" s="254"/>
      <c r="D76" s="254"/>
      <c r="E76" s="254"/>
      <c r="F76" s="254"/>
      <c r="G76" s="254"/>
      <c r="H76" s="254"/>
      <c r="I76" s="254"/>
      <c r="J76" s="254"/>
      <c r="K76" s="254"/>
      <c r="L76" s="254"/>
      <c r="M76" s="254"/>
      <c r="N76" s="254"/>
      <c r="O76" s="254"/>
      <c r="P76" s="254"/>
      <c r="Q76" s="254"/>
      <c r="R76" s="254"/>
      <c r="S76" s="254"/>
      <c r="T76" s="254"/>
      <c r="U76" s="254"/>
      <c r="V76" s="254"/>
      <c r="W76" s="254"/>
      <c r="X76" s="254"/>
      <c r="Y76" s="254"/>
      <c r="Z76" s="254"/>
      <c r="AA76" s="254"/>
      <c r="AB76" s="378"/>
      <c r="AC76" s="378"/>
      <c r="AD76" s="378"/>
      <c r="AE76" s="378"/>
      <c r="AF76" s="378"/>
      <c r="AG76" s="378"/>
      <c r="AH76" s="378"/>
      <c r="AI76" s="378"/>
      <c r="AJ76" s="378"/>
      <c r="AK76" s="254"/>
      <c r="AL76" s="254"/>
    </row>
    <row r="77" spans="2:38" s="261" customFormat="1" ht="15" customHeight="1">
      <c r="B77" s="254"/>
      <c r="C77" s="254"/>
      <c r="D77" s="254"/>
      <c r="E77" s="254"/>
      <c r="F77" s="254"/>
      <c r="G77" s="254"/>
      <c r="H77" s="254"/>
      <c r="I77" s="254"/>
      <c r="J77" s="254"/>
      <c r="K77" s="254"/>
      <c r="L77" s="254"/>
      <c r="M77" s="254"/>
      <c r="N77" s="254"/>
      <c r="O77" s="254"/>
      <c r="P77" s="254"/>
      <c r="Q77" s="254"/>
      <c r="R77" s="254"/>
      <c r="S77" s="254"/>
      <c r="T77" s="254"/>
      <c r="U77" s="254"/>
      <c r="V77" s="254"/>
      <c r="W77" s="254"/>
      <c r="X77" s="254"/>
      <c r="Y77" s="254"/>
      <c r="Z77" s="254"/>
      <c r="AA77" s="254"/>
      <c r="AB77" s="378"/>
      <c r="AC77" s="378"/>
      <c r="AD77" s="378"/>
      <c r="AE77" s="378"/>
      <c r="AF77" s="378"/>
      <c r="AG77" s="378"/>
      <c r="AH77" s="378"/>
      <c r="AI77" s="378"/>
      <c r="AJ77" s="378"/>
      <c r="AK77" s="254"/>
      <c r="AL77" s="254"/>
    </row>
    <row r="78" spans="2:38" s="261" customFormat="1" ht="15" customHeight="1">
      <c r="B78" s="254"/>
      <c r="C78" s="254"/>
      <c r="D78" s="254"/>
      <c r="E78" s="254"/>
      <c r="F78" s="254"/>
      <c r="G78" s="254"/>
      <c r="H78" s="254"/>
      <c r="I78" s="254"/>
      <c r="J78" s="254"/>
      <c r="K78" s="254"/>
      <c r="L78" s="254"/>
      <c r="M78" s="254"/>
      <c r="N78" s="254"/>
      <c r="O78" s="254"/>
      <c r="P78" s="254"/>
      <c r="Q78" s="254"/>
      <c r="R78" s="254"/>
      <c r="S78" s="254"/>
      <c r="T78" s="254"/>
      <c r="U78" s="254"/>
      <c r="V78" s="254"/>
      <c r="W78" s="254"/>
      <c r="X78" s="254"/>
      <c r="Y78" s="254"/>
      <c r="Z78" s="254"/>
      <c r="AA78" s="254"/>
      <c r="AB78" s="378"/>
      <c r="AC78" s="378"/>
      <c r="AD78" s="378"/>
      <c r="AE78" s="378"/>
      <c r="AF78" s="378"/>
      <c r="AG78" s="378"/>
      <c r="AH78" s="378"/>
      <c r="AI78" s="378"/>
      <c r="AJ78" s="378"/>
      <c r="AK78" s="254"/>
      <c r="AL78" s="254"/>
    </row>
    <row r="79" spans="2:38" s="261" customFormat="1" ht="15" customHeight="1">
      <c r="B79" s="254"/>
      <c r="C79" s="254"/>
      <c r="D79" s="254"/>
      <c r="E79" s="254"/>
      <c r="F79" s="254"/>
      <c r="G79" s="254"/>
      <c r="H79" s="254"/>
      <c r="I79" s="254"/>
      <c r="J79" s="254"/>
      <c r="K79" s="254"/>
      <c r="L79" s="254"/>
      <c r="M79" s="254"/>
      <c r="N79" s="254"/>
      <c r="O79" s="254"/>
      <c r="P79" s="254"/>
      <c r="Q79" s="254"/>
      <c r="R79" s="254"/>
      <c r="S79" s="254"/>
      <c r="T79" s="254"/>
      <c r="U79" s="254"/>
      <c r="V79" s="254"/>
      <c r="W79" s="254"/>
      <c r="X79" s="254"/>
      <c r="Y79" s="254"/>
      <c r="Z79" s="254"/>
      <c r="AA79" s="254"/>
      <c r="AB79" s="378"/>
      <c r="AC79" s="378"/>
      <c r="AD79" s="378"/>
      <c r="AE79" s="378"/>
      <c r="AF79" s="378"/>
      <c r="AG79" s="378"/>
      <c r="AH79" s="378"/>
      <c r="AI79" s="378"/>
      <c r="AJ79" s="378"/>
      <c r="AK79" s="254"/>
      <c r="AL79" s="254"/>
    </row>
    <row r="80" spans="2:38" s="261" customFormat="1" ht="15" customHeight="1">
      <c r="B80" s="254"/>
      <c r="C80" s="254"/>
      <c r="D80" s="254"/>
      <c r="E80" s="254"/>
      <c r="F80" s="254"/>
      <c r="G80" s="254"/>
      <c r="H80" s="254"/>
      <c r="I80" s="254"/>
      <c r="J80" s="254"/>
      <c r="K80" s="254"/>
      <c r="L80" s="254"/>
      <c r="M80" s="254"/>
      <c r="N80" s="254"/>
      <c r="O80" s="254"/>
      <c r="P80" s="254"/>
      <c r="Q80" s="254"/>
      <c r="R80" s="254"/>
      <c r="S80" s="254"/>
      <c r="T80" s="254"/>
      <c r="U80" s="254"/>
      <c r="V80" s="254"/>
      <c r="W80" s="254"/>
      <c r="X80" s="254"/>
      <c r="Y80" s="254"/>
      <c r="Z80" s="254"/>
      <c r="AA80" s="254"/>
      <c r="AB80" s="378"/>
      <c r="AC80" s="378"/>
      <c r="AD80" s="378"/>
      <c r="AE80" s="378"/>
      <c r="AF80" s="378"/>
      <c r="AG80" s="378"/>
      <c r="AH80" s="378"/>
      <c r="AI80" s="378"/>
      <c r="AJ80" s="378"/>
      <c r="AK80" s="254"/>
      <c r="AL80" s="254"/>
    </row>
    <row r="81" spans="2:38" s="261" customFormat="1" ht="15" customHeight="1">
      <c r="B81" s="254"/>
      <c r="C81" s="254"/>
      <c r="D81" s="254"/>
      <c r="E81" s="254"/>
      <c r="F81" s="254"/>
      <c r="G81" s="254"/>
      <c r="H81" s="254"/>
      <c r="I81" s="254"/>
      <c r="J81" s="254"/>
      <c r="K81" s="254"/>
      <c r="L81" s="254"/>
      <c r="M81" s="254"/>
      <c r="N81" s="254"/>
      <c r="O81" s="254"/>
      <c r="P81" s="254"/>
      <c r="Q81" s="254"/>
      <c r="R81" s="254"/>
      <c r="S81" s="254"/>
      <c r="T81" s="254"/>
      <c r="U81" s="254"/>
      <c r="V81" s="254"/>
      <c r="W81" s="254"/>
      <c r="X81" s="254"/>
      <c r="Y81" s="254"/>
      <c r="Z81" s="254"/>
      <c r="AA81" s="254"/>
      <c r="AB81" s="378"/>
      <c r="AC81" s="378"/>
      <c r="AD81" s="378"/>
      <c r="AE81" s="378"/>
      <c r="AF81" s="378"/>
      <c r="AG81" s="378"/>
      <c r="AH81" s="378"/>
      <c r="AI81" s="378"/>
      <c r="AJ81" s="378"/>
      <c r="AK81" s="254"/>
      <c r="AL81" s="254"/>
    </row>
    <row r="82" spans="2:38" s="261" customFormat="1" ht="15" customHeight="1">
      <c r="B82" s="254"/>
      <c r="C82" s="254"/>
      <c r="D82" s="254"/>
      <c r="E82" s="254"/>
      <c r="F82" s="254"/>
      <c r="G82" s="254"/>
      <c r="H82" s="254"/>
      <c r="I82" s="254"/>
      <c r="J82" s="254"/>
      <c r="K82" s="254"/>
      <c r="L82" s="254"/>
      <c r="M82" s="254"/>
      <c r="N82" s="254"/>
      <c r="O82" s="254"/>
      <c r="P82" s="254"/>
      <c r="Q82" s="254"/>
      <c r="R82" s="254"/>
      <c r="S82" s="254"/>
      <c r="T82" s="254"/>
      <c r="U82" s="254"/>
      <c r="V82" s="254"/>
      <c r="W82" s="254"/>
      <c r="X82" s="254"/>
      <c r="Y82" s="254"/>
      <c r="Z82" s="254"/>
      <c r="AA82" s="254"/>
      <c r="AB82" s="378"/>
      <c r="AC82" s="378"/>
      <c r="AD82" s="378"/>
      <c r="AE82" s="378"/>
      <c r="AF82" s="378"/>
      <c r="AG82" s="378"/>
      <c r="AH82" s="378"/>
      <c r="AI82" s="378"/>
      <c r="AJ82" s="378"/>
      <c r="AK82" s="254"/>
      <c r="AL82" s="254"/>
    </row>
    <row r="83" spans="2:38" s="261" customFormat="1" ht="15" customHeight="1">
      <c r="B83" s="254"/>
      <c r="C83" s="254"/>
      <c r="D83" s="254"/>
      <c r="E83" s="254"/>
      <c r="F83" s="254"/>
      <c r="G83" s="254"/>
      <c r="H83" s="254"/>
      <c r="I83" s="254"/>
      <c r="J83" s="254"/>
      <c r="K83" s="254"/>
      <c r="L83" s="254"/>
      <c r="M83" s="254"/>
      <c r="N83" s="254"/>
      <c r="O83" s="254"/>
      <c r="P83" s="254"/>
      <c r="Q83" s="254"/>
      <c r="R83" s="254"/>
      <c r="S83" s="254"/>
      <c r="T83" s="254"/>
      <c r="U83" s="254"/>
      <c r="V83" s="254"/>
      <c r="W83" s="254"/>
      <c r="X83" s="254"/>
      <c r="Y83" s="254"/>
      <c r="Z83" s="254"/>
      <c r="AA83" s="254"/>
      <c r="AB83" s="378"/>
      <c r="AC83" s="378"/>
      <c r="AD83" s="378"/>
      <c r="AE83" s="378"/>
      <c r="AF83" s="378"/>
      <c r="AG83" s="378"/>
      <c r="AH83" s="378"/>
      <c r="AI83" s="378"/>
      <c r="AJ83" s="378"/>
      <c r="AK83" s="254"/>
      <c r="AL83" s="254"/>
    </row>
  </sheetData>
  <mergeCells count="470">
    <mergeCell ref="AH58:AI58"/>
    <mergeCell ref="AD67:AF67"/>
    <mergeCell ref="X63:Y63"/>
    <mergeCell ref="AB63:AC63"/>
    <mergeCell ref="AD63:AF63"/>
    <mergeCell ref="J64:K64"/>
    <mergeCell ref="L64:M64"/>
    <mergeCell ref="O64:P64"/>
    <mergeCell ref="Q64:R64"/>
    <mergeCell ref="T64:U64"/>
    <mergeCell ref="V64:W64"/>
    <mergeCell ref="X64:Y64"/>
    <mergeCell ref="J63:K63"/>
    <mergeCell ref="L63:M63"/>
    <mergeCell ref="O63:P63"/>
    <mergeCell ref="Q63:R63"/>
    <mergeCell ref="T63:U63"/>
    <mergeCell ref="V63:W63"/>
    <mergeCell ref="T62:U62"/>
    <mergeCell ref="V62:W62"/>
    <mergeCell ref="X62:Y62"/>
    <mergeCell ref="AB62:AC62"/>
    <mergeCell ref="AE62:AF62"/>
    <mergeCell ref="AD64:AF64"/>
    <mergeCell ref="AG64:AI64"/>
    <mergeCell ref="AD66:AF66"/>
    <mergeCell ref="AG66:AI66"/>
    <mergeCell ref="AG59:AK59"/>
    <mergeCell ref="J60:K60"/>
    <mergeCell ref="L60:M60"/>
    <mergeCell ref="O60:P60"/>
    <mergeCell ref="Q60:R60"/>
    <mergeCell ref="T60:U60"/>
    <mergeCell ref="V60:W60"/>
    <mergeCell ref="X60:Y60"/>
    <mergeCell ref="AB60:AC60"/>
    <mergeCell ref="AD60:AF60"/>
    <mergeCell ref="AG60:AK62"/>
    <mergeCell ref="J61:K61"/>
    <mergeCell ref="L61:M61"/>
    <mergeCell ref="O61:P61"/>
    <mergeCell ref="Q61:R61"/>
    <mergeCell ref="T61:U61"/>
    <mergeCell ref="V61:W61"/>
    <mergeCell ref="X61:Y61"/>
    <mergeCell ref="AB61:AC61"/>
    <mergeCell ref="AD61:AF61"/>
    <mergeCell ref="J62:K62"/>
    <mergeCell ref="L62:M62"/>
    <mergeCell ref="O62:P62"/>
    <mergeCell ref="Q62:R62"/>
    <mergeCell ref="X58:Y58"/>
    <mergeCell ref="J59:K59"/>
    <mergeCell ref="L59:M59"/>
    <mergeCell ref="O59:P59"/>
    <mergeCell ref="Q59:R59"/>
    <mergeCell ref="T59:U59"/>
    <mergeCell ref="V59:W59"/>
    <mergeCell ref="X59:Y59"/>
    <mergeCell ref="AB59:AC59"/>
    <mergeCell ref="J58:K58"/>
    <mergeCell ref="L58:M58"/>
    <mergeCell ref="O58:P58"/>
    <mergeCell ref="Q58:R58"/>
    <mergeCell ref="T58:U58"/>
    <mergeCell ref="V58:W58"/>
    <mergeCell ref="AD59:AF59"/>
    <mergeCell ref="AB58:AE58"/>
    <mergeCell ref="AH56:AI56"/>
    <mergeCell ref="J57:K57"/>
    <mergeCell ref="L57:M57"/>
    <mergeCell ref="O57:P57"/>
    <mergeCell ref="Q57:R57"/>
    <mergeCell ref="T57:U57"/>
    <mergeCell ref="V57:W57"/>
    <mergeCell ref="X57:Y57"/>
    <mergeCell ref="AE57:AG57"/>
    <mergeCell ref="J56:K56"/>
    <mergeCell ref="L56:M56"/>
    <mergeCell ref="O56:P56"/>
    <mergeCell ref="Q56:R56"/>
    <mergeCell ref="T56:U56"/>
    <mergeCell ref="V56:W56"/>
    <mergeCell ref="X56:Y56"/>
    <mergeCell ref="AB56:AD56"/>
    <mergeCell ref="AE56:AG56"/>
    <mergeCell ref="AB57:AD57"/>
    <mergeCell ref="AH57:AI57"/>
    <mergeCell ref="AH54:AI54"/>
    <mergeCell ref="J55:K55"/>
    <mergeCell ref="L55:M55"/>
    <mergeCell ref="O55:P55"/>
    <mergeCell ref="Q55:R55"/>
    <mergeCell ref="T55:U55"/>
    <mergeCell ref="V55:W55"/>
    <mergeCell ref="X55:Y55"/>
    <mergeCell ref="AB55:AD55"/>
    <mergeCell ref="AE55:AG55"/>
    <mergeCell ref="AH55:AI55"/>
    <mergeCell ref="J54:K54"/>
    <mergeCell ref="L54:M54"/>
    <mergeCell ref="O54:P54"/>
    <mergeCell ref="Q54:R54"/>
    <mergeCell ref="T54:U54"/>
    <mergeCell ref="V54:W54"/>
    <mergeCell ref="X54:Y54"/>
    <mergeCell ref="AB54:AD54"/>
    <mergeCell ref="AE54:AG54"/>
    <mergeCell ref="AH52:AI52"/>
    <mergeCell ref="J53:K53"/>
    <mergeCell ref="L53:M53"/>
    <mergeCell ref="O53:P53"/>
    <mergeCell ref="Q53:R53"/>
    <mergeCell ref="T53:U53"/>
    <mergeCell ref="V53:W53"/>
    <mergeCell ref="X53:Y53"/>
    <mergeCell ref="AB53:AD53"/>
    <mergeCell ref="AE53:AG53"/>
    <mergeCell ref="AH53:AI53"/>
    <mergeCell ref="J52:K52"/>
    <mergeCell ref="L52:M52"/>
    <mergeCell ref="O52:P52"/>
    <mergeCell ref="Q52:R52"/>
    <mergeCell ref="T52:U52"/>
    <mergeCell ref="V52:W52"/>
    <mergeCell ref="X52:Y52"/>
    <mergeCell ref="AB52:AD52"/>
    <mergeCell ref="AE52:AG52"/>
    <mergeCell ref="J51:K51"/>
    <mergeCell ref="L51:M51"/>
    <mergeCell ref="O51:P51"/>
    <mergeCell ref="Q51:R51"/>
    <mergeCell ref="T51:U51"/>
    <mergeCell ref="V51:W51"/>
    <mergeCell ref="X51:Y51"/>
    <mergeCell ref="AB51:AD51"/>
    <mergeCell ref="AE51:AG51"/>
    <mergeCell ref="X49:Y49"/>
    <mergeCell ref="AB49:AD49"/>
    <mergeCell ref="AH49:AI49"/>
    <mergeCell ref="J50:K50"/>
    <mergeCell ref="L50:M50"/>
    <mergeCell ref="O50:P50"/>
    <mergeCell ref="Q50:R50"/>
    <mergeCell ref="T50:U50"/>
    <mergeCell ref="V50:W50"/>
    <mergeCell ref="X50:Y50"/>
    <mergeCell ref="J49:K49"/>
    <mergeCell ref="L49:M49"/>
    <mergeCell ref="O49:P49"/>
    <mergeCell ref="Q49:R49"/>
    <mergeCell ref="T49:U49"/>
    <mergeCell ref="V49:W49"/>
    <mergeCell ref="AB50:AD50"/>
    <mergeCell ref="AE50:AG50"/>
    <mergeCell ref="AH47:AI47"/>
    <mergeCell ref="AJ47:AK47"/>
    <mergeCell ref="J48:K48"/>
    <mergeCell ref="L48:M48"/>
    <mergeCell ref="O48:P48"/>
    <mergeCell ref="Q48:R48"/>
    <mergeCell ref="T48:U48"/>
    <mergeCell ref="V48:W48"/>
    <mergeCell ref="X48:Y48"/>
    <mergeCell ref="AI48:AJ48"/>
    <mergeCell ref="X46:Y46"/>
    <mergeCell ref="J47:K47"/>
    <mergeCell ref="L47:M47"/>
    <mergeCell ref="O47:P47"/>
    <mergeCell ref="Q47:R47"/>
    <mergeCell ref="T47:U47"/>
    <mergeCell ref="V47:W47"/>
    <mergeCell ref="X47:Y47"/>
    <mergeCell ref="J46:K46"/>
    <mergeCell ref="L46:M46"/>
    <mergeCell ref="O46:P46"/>
    <mergeCell ref="Q46:R46"/>
    <mergeCell ref="T46:U46"/>
    <mergeCell ref="V46:W46"/>
    <mergeCell ref="X44:Y44"/>
    <mergeCell ref="AH44:AI44"/>
    <mergeCell ref="J45:K45"/>
    <mergeCell ref="L45:M45"/>
    <mergeCell ref="O45:P45"/>
    <mergeCell ref="Q45:R45"/>
    <mergeCell ref="T45:U45"/>
    <mergeCell ref="V45:W45"/>
    <mergeCell ref="X45:Y45"/>
    <mergeCell ref="AH45:AI45"/>
    <mergeCell ref="J44:K44"/>
    <mergeCell ref="L44:M44"/>
    <mergeCell ref="O44:P44"/>
    <mergeCell ref="Q44:R44"/>
    <mergeCell ref="T44:U44"/>
    <mergeCell ref="V44:W44"/>
    <mergeCell ref="X42:Y42"/>
    <mergeCell ref="AH42:AI42"/>
    <mergeCell ref="J43:K43"/>
    <mergeCell ref="L43:M43"/>
    <mergeCell ref="O43:P43"/>
    <mergeCell ref="Q43:R43"/>
    <mergeCell ref="T43:U43"/>
    <mergeCell ref="V43:W43"/>
    <mergeCell ref="X43:Y43"/>
    <mergeCell ref="AH43:AI43"/>
    <mergeCell ref="J42:K42"/>
    <mergeCell ref="L42:M42"/>
    <mergeCell ref="O42:P42"/>
    <mergeCell ref="Q42:R42"/>
    <mergeCell ref="T42:U42"/>
    <mergeCell ref="V42:W42"/>
    <mergeCell ref="X40:Y40"/>
    <mergeCell ref="AH40:AI40"/>
    <mergeCell ref="J41:K41"/>
    <mergeCell ref="L41:M41"/>
    <mergeCell ref="O41:P41"/>
    <mergeCell ref="Q41:R41"/>
    <mergeCell ref="T41:U41"/>
    <mergeCell ref="V41:W41"/>
    <mergeCell ref="X41:Y41"/>
    <mergeCell ref="AH41:AI41"/>
    <mergeCell ref="J40:K40"/>
    <mergeCell ref="L40:M40"/>
    <mergeCell ref="O40:P40"/>
    <mergeCell ref="Q40:R40"/>
    <mergeCell ref="T40:U40"/>
    <mergeCell ref="V40:W40"/>
    <mergeCell ref="X38:Y38"/>
    <mergeCell ref="AH38:AI38"/>
    <mergeCell ref="J39:K39"/>
    <mergeCell ref="L39:M39"/>
    <mergeCell ref="O39:P39"/>
    <mergeCell ref="Q39:R39"/>
    <mergeCell ref="T39:U39"/>
    <mergeCell ref="V39:W39"/>
    <mergeCell ref="X39:Y39"/>
    <mergeCell ref="AH39:AI39"/>
    <mergeCell ref="J38:K38"/>
    <mergeCell ref="L38:M38"/>
    <mergeCell ref="O38:P38"/>
    <mergeCell ref="Q38:R38"/>
    <mergeCell ref="T38:U38"/>
    <mergeCell ref="V38:W38"/>
    <mergeCell ref="AB38:AG38"/>
    <mergeCell ref="X36:Y36"/>
    <mergeCell ref="AH36:AI36"/>
    <mergeCell ref="J37:K37"/>
    <mergeCell ref="L37:M37"/>
    <mergeCell ref="O37:P37"/>
    <mergeCell ref="Q37:R37"/>
    <mergeCell ref="T37:U37"/>
    <mergeCell ref="V37:W37"/>
    <mergeCell ref="X37:Y37"/>
    <mergeCell ref="AH37:AI37"/>
    <mergeCell ref="J36:K36"/>
    <mergeCell ref="L36:M36"/>
    <mergeCell ref="O36:P36"/>
    <mergeCell ref="Q36:R36"/>
    <mergeCell ref="T36:U36"/>
    <mergeCell ref="V36:W36"/>
    <mergeCell ref="X34:Y34"/>
    <mergeCell ref="AB34:AK34"/>
    <mergeCell ref="J35:K35"/>
    <mergeCell ref="L35:M35"/>
    <mergeCell ref="O35:P35"/>
    <mergeCell ref="Q35:R35"/>
    <mergeCell ref="T35:U35"/>
    <mergeCell ref="V35:W35"/>
    <mergeCell ref="X35:Y35"/>
    <mergeCell ref="AH35:AI35"/>
    <mergeCell ref="J34:K34"/>
    <mergeCell ref="L34:M34"/>
    <mergeCell ref="O34:P34"/>
    <mergeCell ref="Q34:R34"/>
    <mergeCell ref="T34:U34"/>
    <mergeCell ref="V34:W34"/>
    <mergeCell ref="X32:Y32"/>
    <mergeCell ref="AH32:AI32"/>
    <mergeCell ref="J33:K33"/>
    <mergeCell ref="L33:M33"/>
    <mergeCell ref="O33:P33"/>
    <mergeCell ref="Q33:R33"/>
    <mergeCell ref="T33:U33"/>
    <mergeCell ref="V33:W33"/>
    <mergeCell ref="X33:Y33"/>
    <mergeCell ref="AH33:AI33"/>
    <mergeCell ref="J32:K32"/>
    <mergeCell ref="L32:M32"/>
    <mergeCell ref="O32:P32"/>
    <mergeCell ref="Q32:R32"/>
    <mergeCell ref="T32:U32"/>
    <mergeCell ref="V32:W32"/>
    <mergeCell ref="X30:Y30"/>
    <mergeCell ref="AH30:AI30"/>
    <mergeCell ref="J31:K31"/>
    <mergeCell ref="L31:M31"/>
    <mergeCell ref="O31:P31"/>
    <mergeCell ref="Q31:R31"/>
    <mergeCell ref="T31:U31"/>
    <mergeCell ref="V31:W31"/>
    <mergeCell ref="X31:Y31"/>
    <mergeCell ref="AH31:AI31"/>
    <mergeCell ref="J30:K30"/>
    <mergeCell ref="L30:M30"/>
    <mergeCell ref="O30:P30"/>
    <mergeCell ref="Q30:R30"/>
    <mergeCell ref="T30:U30"/>
    <mergeCell ref="V30:W30"/>
    <mergeCell ref="X28:Y28"/>
    <mergeCell ref="AH28:AI28"/>
    <mergeCell ref="J29:K29"/>
    <mergeCell ref="L29:M29"/>
    <mergeCell ref="O29:P29"/>
    <mergeCell ref="Q29:R29"/>
    <mergeCell ref="T29:U29"/>
    <mergeCell ref="V29:W29"/>
    <mergeCell ref="X29:Y29"/>
    <mergeCell ref="AH29:AI29"/>
    <mergeCell ref="J28:K28"/>
    <mergeCell ref="L28:M28"/>
    <mergeCell ref="O28:P28"/>
    <mergeCell ref="Q28:R28"/>
    <mergeCell ref="T28:U28"/>
    <mergeCell ref="V28:W28"/>
    <mergeCell ref="X26:Y26"/>
    <mergeCell ref="AH26:AI26"/>
    <mergeCell ref="J27:K27"/>
    <mergeCell ref="L27:M27"/>
    <mergeCell ref="O27:P27"/>
    <mergeCell ref="Q27:R27"/>
    <mergeCell ref="T27:U27"/>
    <mergeCell ref="V27:W27"/>
    <mergeCell ref="X27:Y27"/>
    <mergeCell ref="AH27:AI27"/>
    <mergeCell ref="J26:K26"/>
    <mergeCell ref="L26:M26"/>
    <mergeCell ref="O26:P26"/>
    <mergeCell ref="Q26:R26"/>
    <mergeCell ref="T26:U26"/>
    <mergeCell ref="V26:W26"/>
    <mergeCell ref="AH24:AI24"/>
    <mergeCell ref="J25:K25"/>
    <mergeCell ref="L25:M25"/>
    <mergeCell ref="O25:P25"/>
    <mergeCell ref="Q25:R25"/>
    <mergeCell ref="T25:U25"/>
    <mergeCell ref="V25:W25"/>
    <mergeCell ref="X25:Y25"/>
    <mergeCell ref="X23:Y23"/>
    <mergeCell ref="AB23:AF23"/>
    <mergeCell ref="AG23:AI23"/>
    <mergeCell ref="J24:K24"/>
    <mergeCell ref="L24:M24"/>
    <mergeCell ref="O24:P24"/>
    <mergeCell ref="Q24:R24"/>
    <mergeCell ref="T24:U24"/>
    <mergeCell ref="V24:W24"/>
    <mergeCell ref="X24:Y24"/>
    <mergeCell ref="J23:K23"/>
    <mergeCell ref="L23:M23"/>
    <mergeCell ref="O23:P23"/>
    <mergeCell ref="Q23:R23"/>
    <mergeCell ref="T23:U23"/>
    <mergeCell ref="V23:W23"/>
    <mergeCell ref="AB21:AK21"/>
    <mergeCell ref="J22:K22"/>
    <mergeCell ref="L22:M22"/>
    <mergeCell ref="O22:P22"/>
    <mergeCell ref="Q22:R22"/>
    <mergeCell ref="T22:U22"/>
    <mergeCell ref="V22:W22"/>
    <mergeCell ref="X22:Y22"/>
    <mergeCell ref="AE22:AG22"/>
    <mergeCell ref="AI22:AK22"/>
    <mergeCell ref="B20:E20"/>
    <mergeCell ref="W20:Y20"/>
    <mergeCell ref="H21:V21"/>
    <mergeCell ref="S18:U18"/>
    <mergeCell ref="W18:Y18"/>
    <mergeCell ref="L18:M18"/>
    <mergeCell ref="O18:Q18"/>
    <mergeCell ref="V16:V19"/>
    <mergeCell ref="W16:Y16"/>
    <mergeCell ref="B17:C17"/>
    <mergeCell ref="D17:E17"/>
    <mergeCell ref="F17:G17"/>
    <mergeCell ref="J17:K17"/>
    <mergeCell ref="F18:G18"/>
    <mergeCell ref="H18:I18"/>
    <mergeCell ref="J18:K18"/>
    <mergeCell ref="B19:C19"/>
    <mergeCell ref="D19:E19"/>
    <mergeCell ref="F19:G19"/>
    <mergeCell ref="H19:I19"/>
    <mergeCell ref="J19:K19"/>
    <mergeCell ref="L19:M19"/>
    <mergeCell ref="D18:E18"/>
    <mergeCell ref="AG12:AI12"/>
    <mergeCell ref="B13:E13"/>
    <mergeCell ref="L17:M17"/>
    <mergeCell ref="O17:Q17"/>
    <mergeCell ref="S17:U17"/>
    <mergeCell ref="B18:C18"/>
    <mergeCell ref="AC18:AE18"/>
    <mergeCell ref="B14:E14"/>
    <mergeCell ref="G14:I14"/>
    <mergeCell ref="K14:M14"/>
    <mergeCell ref="O14:Q14"/>
    <mergeCell ref="S14:U14"/>
    <mergeCell ref="S12:U12"/>
    <mergeCell ref="AC15:AE15"/>
    <mergeCell ref="AG15:AI15"/>
    <mergeCell ref="B16:C16"/>
    <mergeCell ref="D16:E16"/>
    <mergeCell ref="F16:G16"/>
    <mergeCell ref="J16:K16"/>
    <mergeCell ref="L16:M16"/>
    <mergeCell ref="O16:Q16"/>
    <mergeCell ref="R16:R19"/>
    <mergeCell ref="S16:U16"/>
    <mergeCell ref="AG18:AI18"/>
    <mergeCell ref="W14:Y14"/>
    <mergeCell ref="B15:E15"/>
    <mergeCell ref="G15:I15"/>
    <mergeCell ref="K15:M15"/>
    <mergeCell ref="O15:Q15"/>
    <mergeCell ref="O19:Q19"/>
    <mergeCell ref="S19:U19"/>
    <mergeCell ref="W19:Y19"/>
    <mergeCell ref="S15:U15"/>
    <mergeCell ref="W15:Y15"/>
    <mergeCell ref="G13:I13"/>
    <mergeCell ref="K13:M13"/>
    <mergeCell ref="O13:Q13"/>
    <mergeCell ref="R13:R14"/>
    <mergeCell ref="S13:U13"/>
    <mergeCell ref="V13:V14"/>
    <mergeCell ref="B12:E12"/>
    <mergeCell ref="G12:I12"/>
    <mergeCell ref="J12:J15"/>
    <mergeCell ref="K12:M12"/>
    <mergeCell ref="N12:N15"/>
    <mergeCell ref="AC12:AE12"/>
    <mergeCell ref="C10:E10"/>
    <mergeCell ref="F10:F11"/>
    <mergeCell ref="G10:I10"/>
    <mergeCell ref="J10:J11"/>
    <mergeCell ref="K10:M10"/>
    <mergeCell ref="N10:N11"/>
    <mergeCell ref="O10:P10"/>
    <mergeCell ref="Q10:Q11"/>
    <mergeCell ref="R10:T10"/>
    <mergeCell ref="O12:Q12"/>
    <mergeCell ref="U10:U11"/>
    <mergeCell ref="V10:Z10"/>
    <mergeCell ref="C11:E11"/>
    <mergeCell ref="G11:I11"/>
    <mergeCell ref="K11:M11"/>
    <mergeCell ref="O11:P11"/>
    <mergeCell ref="R11:T11"/>
    <mergeCell ref="W11:Y11"/>
    <mergeCell ref="B2:E5"/>
    <mergeCell ref="AG2:AK5"/>
    <mergeCell ref="U3:V3"/>
    <mergeCell ref="W3:X3"/>
    <mergeCell ref="F4:AF5"/>
    <mergeCell ref="B6:AK6"/>
    <mergeCell ref="Y8:Z8"/>
    <mergeCell ref="B9:Y9"/>
    <mergeCell ref="AB9:AK9"/>
  </mergeCells>
  <conditionalFormatting sqref="AJ33 AJ24 AJ35:AJ46">
    <cfRule type="iconSet" priority="14">
      <iconSet showValue="0">
        <cfvo type="percent" val="0"/>
        <cfvo type="num" val="0"/>
        <cfvo type="num" val="1"/>
      </iconSet>
    </cfRule>
  </conditionalFormatting>
  <conditionalFormatting sqref="AJ32">
    <cfRule type="iconSet" priority="13">
      <iconSet showValue="0">
        <cfvo type="percent" val="0"/>
        <cfvo type="num" val="0"/>
        <cfvo type="num" val="1"/>
      </iconSet>
    </cfRule>
  </conditionalFormatting>
  <conditionalFormatting sqref="AJ31">
    <cfRule type="iconSet" priority="12">
      <iconSet showValue="0">
        <cfvo type="percent" val="0"/>
        <cfvo type="num" val="0"/>
        <cfvo type="num" val="1"/>
      </iconSet>
    </cfRule>
  </conditionalFormatting>
  <conditionalFormatting sqref="AJ30">
    <cfRule type="iconSet" priority="11">
      <iconSet showValue="0">
        <cfvo type="percent" val="0"/>
        <cfvo type="num" val="0"/>
        <cfvo type="num" val="1"/>
      </iconSet>
    </cfRule>
  </conditionalFormatting>
  <conditionalFormatting sqref="AJ29">
    <cfRule type="iconSet" priority="10">
      <iconSet showValue="0">
        <cfvo type="percent" val="0"/>
        <cfvo type="num" val="0"/>
        <cfvo type="num" val="1"/>
      </iconSet>
    </cfRule>
  </conditionalFormatting>
  <conditionalFormatting sqref="AJ28">
    <cfRule type="iconSet" priority="9">
      <iconSet showValue="0">
        <cfvo type="percent" val="0"/>
        <cfvo type="num" val="0"/>
        <cfvo type="num" val="1"/>
      </iconSet>
    </cfRule>
  </conditionalFormatting>
  <conditionalFormatting sqref="AJ27">
    <cfRule type="iconSet" priority="8">
      <iconSet showValue="0">
        <cfvo type="percent" val="0"/>
        <cfvo type="num" val="0"/>
        <cfvo type="num" val="1"/>
      </iconSet>
    </cfRule>
  </conditionalFormatting>
  <conditionalFormatting sqref="AJ26">
    <cfRule type="iconSet" priority="7">
      <iconSet showValue="0">
        <cfvo type="percent" val="0"/>
        <cfvo type="num" val="0"/>
        <cfvo type="num" val="1"/>
      </iconSet>
    </cfRule>
  </conditionalFormatting>
  <conditionalFormatting sqref="AJ25">
    <cfRule type="iconSet" priority="6">
      <iconSet showValue="0">
        <cfvo type="percent" val="0"/>
        <cfvo type="num" val="0"/>
        <cfvo type="num" val="1"/>
      </iconSet>
    </cfRule>
  </conditionalFormatting>
  <conditionalFormatting sqref="AJ57:AJ58 AJ63:AJ64 AJ52">
    <cfRule type="iconSet" priority="5">
      <iconSet showValue="0">
        <cfvo type="percent" val="0"/>
        <cfvo type="num" val="0"/>
        <cfvo type="num" val="1"/>
      </iconSet>
    </cfRule>
  </conditionalFormatting>
  <conditionalFormatting sqref="AJ53">
    <cfRule type="iconSet" priority="2">
      <iconSet showValue="0">
        <cfvo type="percent" val="0"/>
        <cfvo type="num" val="0"/>
        <cfvo type="num" val="1"/>
      </iconSet>
    </cfRule>
  </conditionalFormatting>
  <conditionalFormatting sqref="AJ54:AJ56">
    <cfRule type="iconSet" priority="1">
      <iconSet showValue="0">
        <cfvo type="percent" val="0"/>
        <cfvo type="num" val="0"/>
        <cfvo type="num" val="1"/>
      </iconSet>
    </cfRule>
  </conditionalFormatting>
  <printOptions horizontalCentered="1" verticalCentered="1"/>
  <pageMargins left="0" right="0" top="0.39370078740157483" bottom="0" header="0.19685039370078741" footer="0.19685039370078741"/>
  <pageSetup paperSize="9" scale="50" orientation="landscape" r:id="rId1"/>
  <headerFooter alignWithMargins="0">
    <oddFooter>&amp;L&amp;1#&amp;"Calibri"&amp;10&amp;K000000Internal Use Only</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BCEB4-35F5-404A-A936-10429C9756A5}">
  <sheetPr codeName="Planilha9">
    <tabColor rgb="FF00B050"/>
  </sheetPr>
  <dimension ref="A1:L12"/>
  <sheetViews>
    <sheetView workbookViewId="0">
      <selection activeCell="C13" sqref="C13"/>
    </sheetView>
  </sheetViews>
  <sheetFormatPr baseColWidth="10" defaultColWidth="8.83203125" defaultRowHeight="16"/>
  <cols>
    <col min="1" max="1" width="11.5" style="689" customWidth="1"/>
    <col min="2" max="4" width="13.6640625" style="689" customWidth="1"/>
    <col min="5" max="5" width="8.83203125" style="689"/>
    <col min="6" max="6" width="20.5" style="689" bestFit="1" customWidth="1"/>
    <col min="7" max="7" width="18.6640625" style="689" customWidth="1"/>
    <col min="8" max="8" width="20" style="689" customWidth="1"/>
    <col min="9" max="9" width="8.83203125" style="689"/>
    <col min="10" max="10" width="16.5" style="689" bestFit="1" customWidth="1"/>
    <col min="11" max="11" width="18.6640625" style="689" bestFit="1" customWidth="1"/>
    <col min="12" max="12" width="14.1640625" style="689" bestFit="1" customWidth="1"/>
    <col min="13" max="16384" width="8.83203125" style="689"/>
  </cols>
  <sheetData>
    <row r="1" spans="1:12">
      <c r="A1" s="1185" t="s">
        <v>702</v>
      </c>
      <c r="B1" s="1186"/>
      <c r="C1" s="1186"/>
      <c r="D1" s="1187"/>
      <c r="F1" s="690"/>
      <c r="G1" s="690"/>
      <c r="H1" s="690"/>
    </row>
    <row r="2" spans="1:12">
      <c r="A2" s="691"/>
      <c r="B2" s="1188" t="s">
        <v>703</v>
      </c>
      <c r="C2" s="1189"/>
      <c r="D2" s="1190"/>
      <c r="E2" s="692"/>
      <c r="F2" s="1191" t="s">
        <v>703</v>
      </c>
      <c r="G2" s="1192"/>
      <c r="H2" s="1193"/>
      <c r="I2" s="693"/>
      <c r="J2" s="689" t="s">
        <v>704</v>
      </c>
    </row>
    <row r="3" spans="1:12">
      <c r="A3" s="694" t="s">
        <v>705</v>
      </c>
      <c r="B3" s="695" t="s">
        <v>706</v>
      </c>
      <c r="C3" s="695" t="s">
        <v>707</v>
      </c>
      <c r="D3" s="695" t="s">
        <v>2</v>
      </c>
      <c r="E3" s="692"/>
      <c r="F3" s="695" t="s">
        <v>708</v>
      </c>
      <c r="G3" s="695" t="s">
        <v>709</v>
      </c>
      <c r="H3" s="695" t="s">
        <v>505</v>
      </c>
      <c r="I3" s="693"/>
      <c r="J3" s="689" t="s">
        <v>710</v>
      </c>
      <c r="K3" s="689" t="s">
        <v>711</v>
      </c>
    </row>
    <row r="4" spans="1:12">
      <c r="A4" s="696" t="s">
        <v>712</v>
      </c>
      <c r="B4" s="697">
        <v>144.53999999999991</v>
      </c>
      <c r="C4" s="697"/>
      <c r="D4" s="697">
        <f>SUM(B4:C4)</f>
        <v>144.53999999999991</v>
      </c>
      <c r="E4" s="692"/>
      <c r="F4" s="698">
        <v>2250</v>
      </c>
      <c r="G4" s="698"/>
      <c r="H4" s="698">
        <f>B4*F4+G4*C4</f>
        <v>325214.99999999977</v>
      </c>
      <c r="I4" s="693"/>
      <c r="J4" s="699">
        <f>B4*6000</f>
        <v>867239.99999999942</v>
      </c>
      <c r="K4" s="699">
        <f>C4*'[9]CJ III'!$W$18/18*1.2</f>
        <v>0</v>
      </c>
    </row>
    <row r="5" spans="1:12">
      <c r="A5" s="700" t="s">
        <v>713</v>
      </c>
      <c r="B5" s="701">
        <v>219.2</v>
      </c>
      <c r="C5" s="701">
        <v>317.06</v>
      </c>
      <c r="D5" s="701">
        <f t="shared" ref="D5:D7" si="0">SUM(B5:C5)</f>
        <v>536.26</v>
      </c>
      <c r="E5" s="692"/>
      <c r="F5" s="702">
        <v>6500</v>
      </c>
      <c r="G5" s="702">
        <v>550</v>
      </c>
      <c r="H5" s="698">
        <f t="shared" ref="H5:H7" si="1">B5*F5+G5*C5</f>
        <v>1599183</v>
      </c>
      <c r="I5" s="693"/>
      <c r="J5" s="699">
        <v>4275506.5539999995</v>
      </c>
      <c r="K5" s="699">
        <f>'[9]CJ III'!S17*1.2*'Quadro de Áreas'!C5</f>
        <v>2306240.3394453707</v>
      </c>
    </row>
    <row r="6" spans="1:12">
      <c r="A6" s="696" t="s">
        <v>714</v>
      </c>
      <c r="B6" s="697">
        <v>219.2</v>
      </c>
      <c r="C6" s="697"/>
      <c r="D6" s="697">
        <f t="shared" si="0"/>
        <v>219.2</v>
      </c>
      <c r="E6" s="692"/>
      <c r="F6" s="698">
        <v>6500</v>
      </c>
      <c r="G6" s="698"/>
      <c r="H6" s="698">
        <f t="shared" si="1"/>
        <v>1424800</v>
      </c>
      <c r="I6" s="693"/>
      <c r="J6" s="699">
        <f>J5</f>
        <v>4275506.5539999995</v>
      </c>
      <c r="K6" s="699">
        <f>C6*'[9]CJ III'!$W$18/18*1.2</f>
        <v>0</v>
      </c>
    </row>
    <row r="7" spans="1:12">
      <c r="A7" s="700" t="s">
        <v>715</v>
      </c>
      <c r="B7" s="703">
        <v>100</v>
      </c>
      <c r="C7" s="703"/>
      <c r="D7" s="703">
        <f t="shared" si="0"/>
        <v>100</v>
      </c>
      <c r="E7" s="692"/>
      <c r="F7" s="704">
        <v>2200</v>
      </c>
      <c r="G7" s="704"/>
      <c r="H7" s="698">
        <f t="shared" si="1"/>
        <v>220000</v>
      </c>
      <c r="I7" s="705"/>
      <c r="J7" s="699">
        <f>J6</f>
        <v>4275506.5539999995</v>
      </c>
      <c r="K7" s="699">
        <f>C7*'[9]CJ III'!$W$18/18*1.2</f>
        <v>0</v>
      </c>
    </row>
    <row r="8" spans="1:12">
      <c r="A8" s="706" t="s">
        <v>2</v>
      </c>
      <c r="B8" s="1194">
        <f>SUM(D4:D7)</f>
        <v>1000</v>
      </c>
      <c r="C8" s="1195"/>
      <c r="D8" s="1196"/>
      <c r="F8" s="706" t="s">
        <v>716</v>
      </c>
      <c r="G8" s="1197">
        <f>SUM(H4:H7)</f>
        <v>3569198</v>
      </c>
      <c r="H8" s="1195"/>
      <c r="I8" s="707"/>
      <c r="J8" s="693" t="s">
        <v>2</v>
      </c>
      <c r="K8" s="708">
        <f>SUM(J4:K7)</f>
        <v>16000000.001445368</v>
      </c>
    </row>
    <row r="9" spans="1:12">
      <c r="F9" s="689" t="s">
        <v>717</v>
      </c>
      <c r="H9" s="709">
        <f>G8/B8</f>
        <v>3569.1979999999999</v>
      </c>
      <c r="I9" s="710"/>
      <c r="J9" s="689" t="s">
        <v>718</v>
      </c>
      <c r="L9" s="709">
        <f>K8/B8</f>
        <v>16000.000001445367</v>
      </c>
    </row>
    <row r="10" spans="1:12">
      <c r="A10" s="689" t="s">
        <v>719</v>
      </c>
      <c r="C10" s="711">
        <f>'[9]CJ III'!O17</f>
        <v>6599</v>
      </c>
      <c r="F10" s="689" t="s">
        <v>720</v>
      </c>
      <c r="H10" s="709">
        <f>G8/(B5+B6+B7)</f>
        <v>6629.2682020802376</v>
      </c>
      <c r="J10" s="689" t="s">
        <v>721</v>
      </c>
      <c r="L10" s="709">
        <f>K8/(SUM(B5:C7)+68.5)</f>
        <v>17316.766961172958</v>
      </c>
    </row>
    <row r="11" spans="1:12">
      <c r="A11" s="689" t="s">
        <v>722</v>
      </c>
      <c r="C11" s="712">
        <f>'[9]CJ III'!O11</f>
        <v>14</v>
      </c>
      <c r="F11" s="689" t="s">
        <v>505</v>
      </c>
      <c r="H11" s="709">
        <f>G8*C11</f>
        <v>49968772</v>
      </c>
    </row>
    <row r="12" spans="1:12">
      <c r="A12" s="689" t="s">
        <v>723</v>
      </c>
      <c r="C12" s="711">
        <f>C10/C11</f>
        <v>471.35714285714283</v>
      </c>
    </row>
  </sheetData>
  <mergeCells count="5">
    <mergeCell ref="A1:D1"/>
    <mergeCell ref="B2:D2"/>
    <mergeCell ref="F2:H2"/>
    <mergeCell ref="B8:D8"/>
    <mergeCell ref="G8:H8"/>
  </mergeCells>
  <pageMargins left="0.511811024" right="0.511811024" top="0.78740157499999996" bottom="0.78740157499999996" header="0.31496062000000002" footer="0.31496062000000002"/>
  <pageSetup orientation="portrait" horizontalDpi="90" verticalDpi="90" r:id="rId1"/>
  <headerFooter>
    <oddFooter>&amp;L&amp;1#&amp;"Calibri"&amp;10&amp;K000000Internal Use Only</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C3652C-17AF-4B5E-ABE2-AC95ABC4707C}">
  <sheetPr codeName="Planilha10">
    <tabColor rgb="FF00B050"/>
    <pageSetUpPr fitToPage="1"/>
  </sheetPr>
  <dimension ref="A1:AE2337"/>
  <sheetViews>
    <sheetView showGridLines="0" zoomScaleNormal="100" workbookViewId="0">
      <selection activeCell="B5" sqref="B5"/>
    </sheetView>
  </sheetViews>
  <sheetFormatPr baseColWidth="10" defaultColWidth="9.1640625" defaultRowHeight="15"/>
  <cols>
    <col min="1" max="1" width="13.5" style="730" bestFit="1" customWidth="1"/>
    <col min="2" max="2" width="20" style="731" customWidth="1"/>
    <col min="3" max="3" width="15.6640625" style="718" customWidth="1"/>
    <col min="4" max="4" width="11.1640625" style="732" customWidth="1"/>
    <col min="5" max="5" width="13.33203125" style="732" customWidth="1"/>
    <col min="6" max="6" width="3.33203125" style="718" customWidth="1"/>
    <col min="7" max="17" width="9.1640625" style="718"/>
    <col min="18" max="18" width="18.6640625" style="718" customWidth="1"/>
    <col min="19" max="19" width="17.1640625" style="722" bestFit="1" customWidth="1"/>
    <col min="20" max="20" width="15.33203125" style="718" customWidth="1"/>
    <col min="21" max="16384" width="9.1640625" style="718"/>
  </cols>
  <sheetData>
    <row r="1" spans="1:31">
      <c r="A1" s="713" t="s">
        <v>724</v>
      </c>
      <c r="B1" s="714" t="s">
        <v>725</v>
      </c>
      <c r="C1" s="715"/>
      <c r="D1" s="716"/>
      <c r="E1" s="717"/>
      <c r="G1" s="719"/>
      <c r="H1" s="720"/>
      <c r="I1" s="720"/>
      <c r="J1" s="720"/>
      <c r="K1" s="720"/>
      <c r="L1" s="720"/>
      <c r="M1" s="720"/>
      <c r="N1" s="720"/>
      <c r="O1" s="720"/>
      <c r="P1" s="721"/>
    </row>
    <row r="2" spans="1:31">
      <c r="A2" s="723" t="s">
        <v>726</v>
      </c>
      <c r="B2" s="724">
        <f>SUM(B5:B33)</f>
        <v>63997600</v>
      </c>
      <c r="C2" s="725"/>
      <c r="D2" s="726"/>
      <c r="E2" s="727"/>
      <c r="F2" s="728"/>
      <c r="P2" s="729"/>
    </row>
    <row r="3" spans="1:31" ht="8.25" customHeight="1">
      <c r="E3" s="733"/>
      <c r="F3" s="728"/>
      <c r="P3" s="734"/>
    </row>
    <row r="4" spans="1:31">
      <c r="A4" s="735" t="s">
        <v>3</v>
      </c>
      <c r="B4" s="736" t="s">
        <v>727</v>
      </c>
      <c r="C4" s="736" t="s">
        <v>728</v>
      </c>
      <c r="D4" s="737" t="s">
        <v>729</v>
      </c>
      <c r="E4" s="738" t="s">
        <v>730</v>
      </c>
      <c r="G4" s="1198" t="s">
        <v>731</v>
      </c>
      <c r="H4" s="1199"/>
      <c r="I4" s="1199"/>
      <c r="J4" s="1199"/>
      <c r="K4" s="1199"/>
      <c r="L4" s="1199"/>
      <c r="M4" s="1199"/>
      <c r="N4" s="1199"/>
      <c r="O4" s="1199"/>
      <c r="P4" s="1200"/>
      <c r="R4" s="724"/>
      <c r="S4" s="739"/>
    </row>
    <row r="5" spans="1:31" ht="15" customHeight="1">
      <c r="A5" s="740">
        <v>45077</v>
      </c>
      <c r="B5" s="741">
        <v>1255852.347133494</v>
      </c>
      <c r="C5" s="742">
        <f>B5</f>
        <v>1255852.347133494</v>
      </c>
      <c r="D5" s="743">
        <f>B5/$B$2</f>
        <v>1.9623428802540938E-2</v>
      </c>
      <c r="E5" s="744">
        <f>D5</f>
        <v>1.9623428802540938E-2</v>
      </c>
      <c r="G5" s="745"/>
      <c r="P5" s="729"/>
      <c r="R5" s="972"/>
      <c r="S5" s="972"/>
      <c r="T5" s="746"/>
    </row>
    <row r="6" spans="1:31" ht="15" customHeight="1">
      <c r="A6" s="740">
        <f>EOMONTH(A5,1)</f>
        <v>45107</v>
      </c>
      <c r="B6" s="741">
        <v>2042610.9829731216</v>
      </c>
      <c r="C6" s="742">
        <f>B6+C5</f>
        <v>3298463.3301066156</v>
      </c>
      <c r="D6" s="743">
        <f t="shared" ref="D6:D28" si="0">B6/$B$2</f>
        <v>3.1916993496211132E-2</v>
      </c>
      <c r="E6" s="744">
        <f>D6+E5</f>
        <v>5.1540422298752067E-2</v>
      </c>
      <c r="G6" s="745"/>
      <c r="P6" s="729"/>
      <c r="R6" s="972"/>
      <c r="S6" s="972"/>
      <c r="T6" s="746"/>
    </row>
    <row r="7" spans="1:31" ht="15" customHeight="1">
      <c r="A7" s="740">
        <f t="shared" ref="A7:A28" si="1">EOMONTH(A6,1)</f>
        <v>45138</v>
      </c>
      <c r="B7" s="741">
        <v>1049011.5190327356</v>
      </c>
      <c r="C7" s="742">
        <f t="shared" ref="C7:C28" si="2">B7+C6</f>
        <v>4347474.8491393514</v>
      </c>
      <c r="D7" s="743">
        <f t="shared" si="0"/>
        <v>1.6391419663123862E-2</v>
      </c>
      <c r="E7" s="747">
        <f t="shared" ref="E7:E28" si="3">D7+E6</f>
        <v>6.7931841961875933E-2</v>
      </c>
      <c r="G7" s="748"/>
      <c r="H7" s="749"/>
      <c r="I7" s="749"/>
      <c r="J7" s="749"/>
      <c r="K7" s="749"/>
      <c r="L7" s="749"/>
      <c r="M7" s="749"/>
      <c r="N7" s="749"/>
      <c r="O7" s="749"/>
      <c r="P7" s="750"/>
      <c r="Q7" s="749"/>
      <c r="R7" s="972"/>
      <c r="S7" s="972"/>
      <c r="T7" s="746"/>
      <c r="U7" s="749"/>
      <c r="V7" s="749"/>
      <c r="W7" s="749"/>
      <c r="X7" s="749"/>
      <c r="Y7" s="749"/>
      <c r="Z7" s="749"/>
      <c r="AA7" s="749"/>
      <c r="AB7" s="749"/>
      <c r="AC7" s="749"/>
      <c r="AD7" s="749"/>
      <c r="AE7" s="749"/>
    </row>
    <row r="8" spans="1:31" ht="15" customHeight="1">
      <c r="A8" s="740">
        <f t="shared" si="1"/>
        <v>45169</v>
      </c>
      <c r="B8" s="741">
        <v>1589576.8577699165</v>
      </c>
      <c r="C8" s="742">
        <f t="shared" si="2"/>
        <v>5937051.7069092682</v>
      </c>
      <c r="D8" s="743">
        <f t="shared" si="0"/>
        <v>2.483806983027358E-2</v>
      </c>
      <c r="E8" s="747">
        <f t="shared" si="3"/>
        <v>9.2769911792149509E-2</v>
      </c>
      <c r="G8" s="745"/>
      <c r="P8" s="729"/>
      <c r="R8" s="972"/>
      <c r="S8" s="972"/>
      <c r="T8" s="746"/>
    </row>
    <row r="9" spans="1:31" ht="15" customHeight="1">
      <c r="A9" s="740">
        <f t="shared" si="1"/>
        <v>45199</v>
      </c>
      <c r="B9" s="741">
        <v>2078878.0091780585</v>
      </c>
      <c r="C9" s="751">
        <f t="shared" si="2"/>
        <v>8015929.7160873264</v>
      </c>
      <c r="D9" s="743">
        <f t="shared" si="0"/>
        <v>3.2483687031670851E-2</v>
      </c>
      <c r="E9" s="753">
        <f t="shared" si="3"/>
        <v>0.12525359882382037</v>
      </c>
      <c r="G9" s="745"/>
      <c r="H9" s="749"/>
      <c r="P9" s="729"/>
      <c r="R9" s="972"/>
      <c r="S9" s="972"/>
      <c r="T9" s="746"/>
    </row>
    <row r="10" spans="1:31" ht="15" customHeight="1">
      <c r="A10" s="740">
        <f t="shared" si="1"/>
        <v>45230</v>
      </c>
      <c r="B10" s="741">
        <v>1914089.6860240409</v>
      </c>
      <c r="C10" s="751">
        <f t="shared" si="2"/>
        <v>9930019.4021113664</v>
      </c>
      <c r="D10" s="743">
        <f t="shared" si="0"/>
        <v>2.9908772923110255E-2</v>
      </c>
      <c r="E10" s="753">
        <f t="shared" si="3"/>
        <v>0.15516237174693062</v>
      </c>
      <c r="G10" s="745"/>
      <c r="H10" s="749"/>
      <c r="P10" s="729"/>
      <c r="R10" s="972"/>
      <c r="S10" s="972"/>
      <c r="T10" s="746"/>
    </row>
    <row r="11" spans="1:31" ht="15" customHeight="1">
      <c r="A11" s="740">
        <f t="shared" si="1"/>
        <v>45260</v>
      </c>
      <c r="B11" s="741">
        <v>3867367.2195742936</v>
      </c>
      <c r="C11" s="751">
        <f t="shared" si="2"/>
        <v>13797386.62168566</v>
      </c>
      <c r="D11" s="743">
        <f t="shared" si="0"/>
        <v>6.0429878926308071E-2</v>
      </c>
      <c r="E11" s="753">
        <f t="shared" si="3"/>
        <v>0.2155922506732387</v>
      </c>
      <c r="G11" s="745"/>
      <c r="H11" s="749"/>
      <c r="P11" s="729"/>
      <c r="R11" s="972"/>
      <c r="S11" s="972"/>
      <c r="T11" s="746"/>
    </row>
    <row r="12" spans="1:31" ht="15" customHeight="1">
      <c r="A12" s="740">
        <f t="shared" si="1"/>
        <v>45291</v>
      </c>
      <c r="B12" s="741">
        <v>5927495.3209424857</v>
      </c>
      <c r="C12" s="751">
        <f t="shared" si="2"/>
        <v>19724881.942628145</v>
      </c>
      <c r="D12" s="743">
        <f t="shared" si="0"/>
        <v>9.2620587661763662E-2</v>
      </c>
      <c r="E12" s="753">
        <f t="shared" si="3"/>
        <v>0.30821283833500235</v>
      </c>
      <c r="G12" s="745"/>
      <c r="H12" s="749"/>
      <c r="P12" s="729"/>
      <c r="R12" s="972"/>
      <c r="S12" s="972"/>
      <c r="T12" s="746"/>
    </row>
    <row r="13" spans="1:31" ht="15" customHeight="1">
      <c r="A13" s="740">
        <f t="shared" si="1"/>
        <v>45322</v>
      </c>
      <c r="B13" s="741">
        <v>6679081.7009011954</v>
      </c>
      <c r="C13" s="751">
        <f t="shared" si="2"/>
        <v>26403963.643529341</v>
      </c>
      <c r="D13" s="743">
        <f t="shared" si="0"/>
        <v>0.10436456524777797</v>
      </c>
      <c r="E13" s="753">
        <f t="shared" si="3"/>
        <v>0.41257740358278033</v>
      </c>
      <c r="G13" s="745"/>
      <c r="H13" s="749"/>
      <c r="P13" s="729"/>
      <c r="R13" s="972"/>
      <c r="S13" s="972"/>
      <c r="T13" s="746"/>
    </row>
    <row r="14" spans="1:31" ht="15" customHeight="1">
      <c r="A14" s="740">
        <f t="shared" si="1"/>
        <v>45351</v>
      </c>
      <c r="B14" s="741">
        <v>7850398.9042964</v>
      </c>
      <c r="C14" s="751">
        <f t="shared" si="2"/>
        <v>34254362.547825739</v>
      </c>
      <c r="D14" s="743">
        <f t="shared" si="0"/>
        <v>0.12266708289523982</v>
      </c>
      <c r="E14" s="753">
        <f t="shared" si="3"/>
        <v>0.53524448647802014</v>
      </c>
      <c r="G14" s="745"/>
      <c r="H14" s="749"/>
      <c r="P14" s="729"/>
      <c r="R14" s="972"/>
      <c r="S14" s="972"/>
      <c r="T14" s="746"/>
    </row>
    <row r="15" spans="1:31" ht="15" customHeight="1">
      <c r="A15" s="740">
        <f t="shared" si="1"/>
        <v>45382</v>
      </c>
      <c r="B15" s="741">
        <v>9116291.0492415186</v>
      </c>
      <c r="C15" s="751">
        <f t="shared" si="2"/>
        <v>43370653.597067259</v>
      </c>
      <c r="D15" s="743">
        <f t="shared" si="0"/>
        <v>0.14244738942150204</v>
      </c>
      <c r="E15" s="753">
        <f t="shared" si="3"/>
        <v>0.67769187589952218</v>
      </c>
      <c r="G15" s="745"/>
      <c r="H15" s="749"/>
      <c r="P15" s="729"/>
      <c r="R15" s="972"/>
      <c r="S15" s="972"/>
      <c r="T15" s="746"/>
    </row>
    <row r="16" spans="1:31" ht="15" customHeight="1">
      <c r="A16" s="740">
        <f t="shared" si="1"/>
        <v>45412</v>
      </c>
      <c r="B16" s="741">
        <v>6699461.3081104234</v>
      </c>
      <c r="C16" s="751">
        <f t="shared" si="2"/>
        <v>50070114.905177683</v>
      </c>
      <c r="D16" s="743">
        <f t="shared" si="0"/>
        <v>0.10468300855204607</v>
      </c>
      <c r="E16" s="753">
        <f t="shared" si="3"/>
        <v>0.78237488445156822</v>
      </c>
      <c r="G16" s="745"/>
      <c r="H16" s="749"/>
      <c r="P16" s="729"/>
      <c r="R16" s="972"/>
      <c r="S16" s="972"/>
      <c r="T16" s="746"/>
    </row>
    <row r="17" spans="1:20" ht="15" customHeight="1">
      <c r="A17" s="740">
        <f t="shared" si="1"/>
        <v>45443</v>
      </c>
      <c r="B17" s="741">
        <v>5102216.0552959908</v>
      </c>
      <c r="C17" s="751">
        <f t="shared" si="2"/>
        <v>55172330.960473672</v>
      </c>
      <c r="D17" s="743">
        <f t="shared" si="0"/>
        <v>7.9725115555833198E-2</v>
      </c>
      <c r="E17" s="753">
        <f t="shared" si="3"/>
        <v>0.86210000000740139</v>
      </c>
      <c r="G17" s="745"/>
      <c r="H17" s="749"/>
      <c r="P17" s="729"/>
      <c r="R17" s="972"/>
      <c r="S17" s="972"/>
      <c r="T17" s="746"/>
    </row>
    <row r="18" spans="1:20" ht="15" customHeight="1">
      <c r="A18" s="740">
        <f t="shared" si="1"/>
        <v>45473</v>
      </c>
      <c r="B18" s="741">
        <v>3487869.1998127974</v>
      </c>
      <c r="C18" s="751">
        <f t="shared" si="2"/>
        <v>58660200.160286471</v>
      </c>
      <c r="D18" s="743">
        <f t="shared" si="0"/>
        <v>5.4499999997074847E-2</v>
      </c>
      <c r="E18" s="753">
        <f t="shared" si="3"/>
        <v>0.91660000000447628</v>
      </c>
      <c r="G18" s="745"/>
      <c r="H18" s="749"/>
      <c r="P18" s="729"/>
      <c r="R18" s="972"/>
      <c r="S18" s="972"/>
      <c r="T18" s="746"/>
    </row>
    <row r="19" spans="1:20" ht="15" customHeight="1">
      <c r="A19" s="740">
        <f t="shared" si="1"/>
        <v>45504</v>
      </c>
      <c r="B19" s="741">
        <v>2393510.2398715345</v>
      </c>
      <c r="C19" s="751">
        <f t="shared" si="2"/>
        <v>61053710.400158003</v>
      </c>
      <c r="D19" s="743">
        <f t="shared" si="0"/>
        <v>3.739999999799265E-2</v>
      </c>
      <c r="E19" s="753">
        <f t="shared" si="3"/>
        <v>0.95400000000246887</v>
      </c>
      <c r="G19" s="745"/>
      <c r="H19" s="749"/>
      <c r="P19" s="729"/>
      <c r="R19" s="972"/>
      <c r="S19" s="972"/>
      <c r="T19" s="746"/>
    </row>
    <row r="20" spans="1:20" ht="15" customHeight="1">
      <c r="A20" s="740">
        <f t="shared" si="1"/>
        <v>45535</v>
      </c>
      <c r="B20" s="741">
        <v>1139157.2799388587</v>
      </c>
      <c r="C20" s="751">
        <f t="shared" si="2"/>
        <v>62192867.680096865</v>
      </c>
      <c r="D20" s="743">
        <f t="shared" si="0"/>
        <v>1.7799999999044632E-2</v>
      </c>
      <c r="E20" s="753">
        <f t="shared" si="3"/>
        <v>0.97180000000151345</v>
      </c>
      <c r="G20" s="745"/>
      <c r="H20" s="749"/>
      <c r="P20" s="729"/>
      <c r="R20" s="972"/>
      <c r="S20" s="972"/>
      <c r="T20" s="746"/>
    </row>
    <row r="21" spans="1:20" ht="15" customHeight="1">
      <c r="A21" s="740">
        <f t="shared" si="1"/>
        <v>45565</v>
      </c>
      <c r="B21" s="741">
        <v>575978.3999690857</v>
      </c>
      <c r="C21" s="751">
        <f t="shared" si="2"/>
        <v>62768846.080065951</v>
      </c>
      <c r="D21" s="743">
        <f t="shared" si="0"/>
        <v>8.9999999995169465E-3</v>
      </c>
      <c r="E21" s="753">
        <f t="shared" si="3"/>
        <v>0.9808000000010304</v>
      </c>
      <c r="G21" s="745"/>
      <c r="H21" s="749"/>
      <c r="P21" s="729"/>
      <c r="R21" s="972"/>
      <c r="S21" s="972"/>
      <c r="T21" s="746"/>
    </row>
    <row r="22" spans="1:20" ht="15" customHeight="1">
      <c r="A22" s="740">
        <f t="shared" si="1"/>
        <v>45596</v>
      </c>
      <c r="B22" s="741">
        <v>383985.59997939056</v>
      </c>
      <c r="C22" s="751">
        <f t="shared" si="2"/>
        <v>63152831.680045344</v>
      </c>
      <c r="D22" s="743">
        <f t="shared" si="0"/>
        <v>5.9999999996779652E-3</v>
      </c>
      <c r="E22" s="753">
        <f t="shared" si="3"/>
        <v>0.98680000000070833</v>
      </c>
      <c r="G22" s="745"/>
      <c r="H22" s="749"/>
      <c r="P22" s="729"/>
      <c r="R22" s="972"/>
      <c r="S22" s="972"/>
      <c r="T22" s="746"/>
    </row>
    <row r="23" spans="1:20" ht="15" customHeight="1">
      <c r="A23" s="740">
        <f t="shared" si="1"/>
        <v>45626</v>
      </c>
      <c r="B23" s="741">
        <v>255990.39998626037</v>
      </c>
      <c r="C23" s="751">
        <f t="shared" si="2"/>
        <v>63408822.080031604</v>
      </c>
      <c r="D23" s="743">
        <f t="shared" si="0"/>
        <v>3.9999999997853098E-3</v>
      </c>
      <c r="E23" s="753">
        <f t="shared" si="3"/>
        <v>0.99080000000049362</v>
      </c>
      <c r="G23" s="745"/>
      <c r="H23" s="749"/>
      <c r="P23" s="729"/>
      <c r="R23" s="972"/>
      <c r="S23" s="972"/>
      <c r="T23" s="746"/>
    </row>
    <row r="24" spans="1:20" ht="15" customHeight="1">
      <c r="A24" s="740">
        <f t="shared" si="1"/>
        <v>45657</v>
      </c>
      <c r="B24" s="741">
        <v>204792.31998900831</v>
      </c>
      <c r="C24" s="751">
        <f t="shared" si="2"/>
        <v>63613614.400020614</v>
      </c>
      <c r="D24" s="743">
        <f t="shared" si="0"/>
        <v>3.1999999998282482E-3</v>
      </c>
      <c r="E24" s="753">
        <f t="shared" si="3"/>
        <v>0.99400000000032185</v>
      </c>
      <c r="G24" s="745"/>
      <c r="H24" s="749"/>
      <c r="P24" s="729"/>
      <c r="R24" s="972"/>
      <c r="S24" s="972"/>
    </row>
    <row r="25" spans="1:20" ht="15" customHeight="1">
      <c r="A25" s="740">
        <f t="shared" si="1"/>
        <v>45688</v>
      </c>
      <c r="B25" s="741">
        <v>153594.23999175619</v>
      </c>
      <c r="C25" s="751">
        <f t="shared" si="2"/>
        <v>63767208.640012369</v>
      </c>
      <c r="D25" s="743">
        <f t="shared" si="0"/>
        <v>2.3999999998711857E-3</v>
      </c>
      <c r="E25" s="753">
        <f t="shared" si="3"/>
        <v>0.99640000000019302</v>
      </c>
      <c r="G25" s="745"/>
      <c r="H25" s="749"/>
      <c r="P25" s="729"/>
      <c r="R25" s="972"/>
      <c r="S25" s="972"/>
    </row>
    <row r="26" spans="1:20" ht="15" customHeight="1">
      <c r="A26" s="740">
        <f t="shared" si="1"/>
        <v>45716</v>
      </c>
      <c r="B26" s="741">
        <v>95996.399994847641</v>
      </c>
      <c r="C26" s="751">
        <f t="shared" si="2"/>
        <v>63863205.040007219</v>
      </c>
      <c r="D26" s="743">
        <f t="shared" si="0"/>
        <v>1.4999999999194913E-3</v>
      </c>
      <c r="E26" s="753">
        <f t="shared" si="3"/>
        <v>0.99790000000011247</v>
      </c>
      <c r="G26" s="745"/>
      <c r="H26" s="749"/>
      <c r="P26" s="729"/>
      <c r="R26" s="972"/>
      <c r="S26" s="972"/>
    </row>
    <row r="27" spans="1:20" ht="15" customHeight="1">
      <c r="A27" s="740">
        <f t="shared" si="1"/>
        <v>45747</v>
      </c>
      <c r="B27" s="741">
        <v>89596.63999519113</v>
      </c>
      <c r="C27" s="751">
        <f t="shared" si="2"/>
        <v>63952801.680002406</v>
      </c>
      <c r="D27" s="743">
        <f t="shared" si="0"/>
        <v>1.3999999999248585E-3</v>
      </c>
      <c r="E27" s="753">
        <f t="shared" si="3"/>
        <v>0.99930000000003738</v>
      </c>
      <c r="G27" s="745"/>
      <c r="H27" s="749"/>
      <c r="P27" s="729"/>
      <c r="R27" s="972"/>
      <c r="S27" s="972"/>
    </row>
    <row r="28" spans="1:20" ht="15" customHeight="1">
      <c r="A28" s="740">
        <f t="shared" si="1"/>
        <v>45777</v>
      </c>
      <c r="B28" s="741">
        <v>44798.319997595565</v>
      </c>
      <c r="C28" s="751">
        <f t="shared" si="2"/>
        <v>63997600</v>
      </c>
      <c r="D28" s="743">
        <f t="shared" si="0"/>
        <v>6.9999999996242924E-4</v>
      </c>
      <c r="E28" s="753">
        <f t="shared" si="3"/>
        <v>0.99999999999999978</v>
      </c>
      <c r="G28" s="745"/>
      <c r="H28" s="749"/>
      <c r="P28" s="729"/>
      <c r="R28" s="972"/>
      <c r="S28" s="972"/>
    </row>
    <row r="29" spans="1:20" ht="15" customHeight="1">
      <c r="A29" s="740"/>
      <c r="B29" s="741"/>
      <c r="C29" s="751"/>
      <c r="D29" s="752"/>
      <c r="E29" s="753"/>
      <c r="G29" s="745"/>
      <c r="H29" s="749"/>
      <c r="P29" s="729"/>
      <c r="R29" s="739"/>
      <c r="S29" s="739"/>
    </row>
    <row r="30" spans="1:20" ht="15" customHeight="1">
      <c r="A30" s="740"/>
      <c r="B30" s="741"/>
      <c r="C30" s="751"/>
      <c r="D30" s="752"/>
      <c r="E30" s="753"/>
      <c r="G30" s="745"/>
      <c r="H30" s="749"/>
      <c r="P30" s="729"/>
    </row>
    <row r="31" spans="1:20" ht="15" customHeight="1">
      <c r="A31" s="740"/>
      <c r="B31" s="741"/>
      <c r="C31" s="751"/>
      <c r="D31" s="752"/>
      <c r="E31" s="753"/>
      <c r="G31" s="745"/>
      <c r="H31" s="749"/>
      <c r="P31" s="729"/>
    </row>
    <row r="32" spans="1:20" ht="15" customHeight="1">
      <c r="A32" s="740"/>
      <c r="B32" s="741"/>
      <c r="C32" s="751"/>
      <c r="D32" s="752"/>
      <c r="E32" s="753"/>
      <c r="G32" s="745"/>
      <c r="H32" s="749"/>
      <c r="P32" s="729"/>
    </row>
    <row r="33" spans="1:16" ht="15" customHeight="1">
      <c r="A33" s="754"/>
      <c r="B33" s="755"/>
      <c r="C33" s="756"/>
      <c r="D33" s="757"/>
      <c r="E33" s="758"/>
      <c r="G33" s="759"/>
      <c r="H33" s="760"/>
      <c r="I33" s="761"/>
      <c r="J33" s="761"/>
      <c r="K33" s="761"/>
      <c r="L33" s="761"/>
      <c r="M33" s="761"/>
      <c r="N33" s="761"/>
      <c r="O33" s="761"/>
      <c r="P33" s="734"/>
    </row>
    <row r="34" spans="1:16" ht="15" customHeight="1">
      <c r="A34" s="762"/>
      <c r="B34" s="763"/>
      <c r="C34" s="763"/>
      <c r="D34" s="764"/>
      <c r="E34" s="764"/>
      <c r="H34" s="749"/>
    </row>
    <row r="35" spans="1:16" ht="15" customHeight="1">
      <c r="A35" s="762"/>
      <c r="B35" s="763"/>
      <c r="C35" s="763"/>
      <c r="D35" s="764"/>
      <c r="E35" s="764"/>
      <c r="H35" s="749"/>
    </row>
    <row r="36" spans="1:16" ht="15" customHeight="1">
      <c r="A36" s="762"/>
      <c r="B36" s="763"/>
      <c r="C36" s="763"/>
      <c r="D36" s="764"/>
      <c r="E36" s="764"/>
      <c r="H36" s="749"/>
    </row>
    <row r="37" spans="1:16" ht="15" customHeight="1">
      <c r="A37" s="762"/>
      <c r="B37" s="763"/>
      <c r="C37" s="763"/>
      <c r="D37" s="764"/>
      <c r="E37" s="764"/>
      <c r="H37" s="749"/>
    </row>
    <row r="38" spans="1:16" ht="15" customHeight="1">
      <c r="A38" s="762"/>
      <c r="B38" s="763"/>
      <c r="C38" s="763"/>
      <c r="D38" s="764"/>
      <c r="E38" s="764"/>
    </row>
    <row r="39" spans="1:16" ht="15" customHeight="1">
      <c r="A39" s="762"/>
      <c r="B39" s="763"/>
      <c r="C39" s="763"/>
      <c r="D39" s="764"/>
      <c r="E39" s="764"/>
    </row>
    <row r="40" spans="1:16" ht="15" customHeight="1">
      <c r="A40" s="762"/>
      <c r="B40" s="763"/>
      <c r="C40" s="763"/>
      <c r="D40" s="764"/>
      <c r="E40" s="764"/>
    </row>
    <row r="41" spans="1:16" ht="15" customHeight="1">
      <c r="A41" s="762"/>
      <c r="B41" s="763"/>
      <c r="C41" s="763"/>
      <c r="D41" s="764"/>
      <c r="E41" s="764"/>
    </row>
    <row r="42" spans="1:16" ht="15" customHeight="1">
      <c r="A42" s="762"/>
      <c r="B42" s="763"/>
      <c r="C42" s="763"/>
      <c r="D42" s="764"/>
      <c r="E42" s="764"/>
    </row>
    <row r="43" spans="1:16" ht="15" customHeight="1">
      <c r="A43" s="762"/>
      <c r="B43" s="763"/>
      <c r="C43" s="763"/>
      <c r="D43" s="764"/>
      <c r="E43" s="764"/>
    </row>
    <row r="44" spans="1:16" ht="15" customHeight="1">
      <c r="A44" s="762"/>
      <c r="B44" s="763"/>
      <c r="C44" s="763"/>
      <c r="D44" s="764"/>
      <c r="E44" s="764"/>
    </row>
    <row r="45" spans="1:16" ht="15" customHeight="1">
      <c r="A45" s="762"/>
      <c r="B45" s="763"/>
      <c r="C45" s="763"/>
      <c r="D45" s="764"/>
      <c r="E45" s="764"/>
    </row>
    <row r="46" spans="1:16" ht="15" customHeight="1">
      <c r="A46" s="762"/>
      <c r="B46" s="763"/>
      <c r="C46" s="763"/>
      <c r="D46" s="764"/>
      <c r="E46" s="764"/>
    </row>
    <row r="47" spans="1:16" ht="15" customHeight="1">
      <c r="A47" s="762"/>
      <c r="B47" s="763"/>
      <c r="C47" s="763"/>
      <c r="D47" s="764"/>
      <c r="E47" s="764"/>
    </row>
    <row r="48" spans="1:16" ht="15" customHeight="1">
      <c r="A48" s="762"/>
      <c r="B48" s="763"/>
      <c r="C48" s="763"/>
      <c r="D48" s="764"/>
      <c r="E48" s="764"/>
    </row>
    <row r="49" spans="1:5" ht="15" customHeight="1">
      <c r="A49" s="762"/>
      <c r="B49" s="763"/>
      <c r="C49" s="763"/>
      <c r="D49" s="764"/>
      <c r="E49" s="764"/>
    </row>
    <row r="50" spans="1:5" ht="15" customHeight="1">
      <c r="A50" s="762"/>
      <c r="B50" s="763"/>
      <c r="C50" s="763"/>
      <c r="D50" s="764"/>
      <c r="E50" s="764"/>
    </row>
    <row r="51" spans="1:5" ht="15" customHeight="1">
      <c r="A51" s="762"/>
      <c r="B51" s="763"/>
      <c r="C51" s="763"/>
      <c r="D51" s="764"/>
      <c r="E51" s="764"/>
    </row>
    <row r="52" spans="1:5" ht="15" customHeight="1">
      <c r="A52" s="762"/>
      <c r="B52" s="763"/>
      <c r="C52" s="763"/>
      <c r="D52" s="764"/>
      <c r="E52" s="764"/>
    </row>
    <row r="53" spans="1:5" ht="15" customHeight="1">
      <c r="A53" s="762"/>
      <c r="B53" s="763"/>
      <c r="C53" s="763"/>
      <c r="D53" s="764"/>
      <c r="E53" s="764"/>
    </row>
    <row r="54" spans="1:5" ht="15" customHeight="1">
      <c r="A54" s="762"/>
      <c r="B54" s="763"/>
      <c r="C54" s="763"/>
      <c r="D54" s="764"/>
      <c r="E54" s="764"/>
    </row>
    <row r="55" spans="1:5" ht="15" customHeight="1">
      <c r="A55" s="762"/>
      <c r="B55" s="763"/>
      <c r="C55" s="763"/>
      <c r="D55" s="764"/>
      <c r="E55" s="764"/>
    </row>
    <row r="56" spans="1:5" ht="15" customHeight="1">
      <c r="A56" s="762"/>
      <c r="B56" s="763"/>
      <c r="C56" s="763"/>
      <c r="D56" s="764"/>
      <c r="E56" s="764"/>
    </row>
    <row r="57" spans="1:5">
      <c r="A57" s="762"/>
      <c r="B57" s="763"/>
      <c r="C57" s="763"/>
      <c r="D57" s="764"/>
      <c r="E57" s="764"/>
    </row>
    <row r="58" spans="1:5">
      <c r="A58" s="762"/>
      <c r="B58" s="763"/>
      <c r="C58" s="763"/>
      <c r="D58" s="764"/>
      <c r="E58" s="764"/>
    </row>
    <row r="59" spans="1:5">
      <c r="A59" s="762"/>
      <c r="B59" s="763"/>
      <c r="C59" s="763"/>
      <c r="D59" s="764"/>
      <c r="E59" s="764"/>
    </row>
    <row r="60" spans="1:5">
      <c r="A60" s="762"/>
      <c r="B60" s="763"/>
      <c r="C60" s="763"/>
      <c r="D60" s="764"/>
      <c r="E60" s="764"/>
    </row>
    <row r="61" spans="1:5">
      <c r="A61" s="762"/>
      <c r="B61" s="763"/>
      <c r="C61" s="763"/>
      <c r="D61" s="764"/>
      <c r="E61" s="764"/>
    </row>
    <row r="62" spans="1:5">
      <c r="A62" s="762"/>
      <c r="B62" s="763"/>
      <c r="C62" s="763"/>
      <c r="D62" s="764"/>
      <c r="E62" s="764"/>
    </row>
    <row r="63" spans="1:5">
      <c r="A63" s="762"/>
      <c r="B63" s="763"/>
      <c r="C63" s="763"/>
      <c r="D63" s="764"/>
      <c r="E63" s="764"/>
    </row>
    <row r="64" spans="1:5">
      <c r="A64" s="762"/>
      <c r="B64" s="763"/>
      <c r="C64" s="763"/>
      <c r="D64" s="764"/>
      <c r="E64" s="764"/>
    </row>
    <row r="65" spans="1:5">
      <c r="A65" s="762"/>
      <c r="B65" s="763"/>
      <c r="C65" s="763"/>
      <c r="D65" s="764"/>
      <c r="E65" s="764"/>
    </row>
    <row r="66" spans="1:5">
      <c r="A66" s="762"/>
      <c r="B66" s="763"/>
      <c r="C66" s="763"/>
      <c r="D66" s="764"/>
      <c r="E66" s="764"/>
    </row>
    <row r="67" spans="1:5">
      <c r="A67" s="762"/>
      <c r="B67" s="763"/>
      <c r="C67" s="763"/>
      <c r="D67" s="764"/>
      <c r="E67" s="764"/>
    </row>
    <row r="68" spans="1:5">
      <c r="A68" s="762"/>
      <c r="B68" s="763"/>
      <c r="C68" s="763"/>
      <c r="D68" s="764"/>
      <c r="E68" s="764"/>
    </row>
    <row r="69" spans="1:5">
      <c r="A69" s="762"/>
      <c r="B69" s="763"/>
      <c r="C69" s="763"/>
      <c r="D69" s="764"/>
      <c r="E69" s="764"/>
    </row>
    <row r="70" spans="1:5">
      <c r="A70" s="762"/>
      <c r="B70" s="763"/>
      <c r="C70" s="763"/>
      <c r="D70" s="764"/>
      <c r="E70" s="764"/>
    </row>
    <row r="71" spans="1:5">
      <c r="A71" s="762"/>
      <c r="B71" s="763"/>
      <c r="C71" s="763"/>
      <c r="D71" s="764"/>
      <c r="E71" s="764"/>
    </row>
    <row r="72" spans="1:5">
      <c r="A72" s="762"/>
      <c r="B72" s="763"/>
      <c r="C72" s="763"/>
      <c r="D72" s="764"/>
      <c r="E72" s="764"/>
    </row>
    <row r="73" spans="1:5">
      <c r="A73" s="762"/>
      <c r="B73" s="763"/>
      <c r="C73" s="763"/>
      <c r="D73" s="764"/>
      <c r="E73" s="764"/>
    </row>
    <row r="74" spans="1:5">
      <c r="A74" s="762"/>
      <c r="B74" s="763"/>
      <c r="C74" s="763"/>
      <c r="D74" s="764"/>
      <c r="E74" s="764"/>
    </row>
    <row r="75" spans="1:5">
      <c r="A75" s="762"/>
      <c r="B75" s="763"/>
      <c r="C75" s="763"/>
      <c r="D75" s="764"/>
      <c r="E75" s="764"/>
    </row>
    <row r="76" spans="1:5">
      <c r="A76" s="762"/>
      <c r="B76" s="763"/>
      <c r="C76" s="763"/>
      <c r="D76" s="764"/>
      <c r="E76" s="764"/>
    </row>
    <row r="77" spans="1:5">
      <c r="A77" s="762"/>
      <c r="B77" s="763"/>
      <c r="C77" s="763"/>
      <c r="D77" s="764"/>
      <c r="E77" s="764"/>
    </row>
    <row r="78" spans="1:5">
      <c r="A78" s="762"/>
      <c r="B78" s="763"/>
      <c r="C78" s="763"/>
      <c r="D78" s="764"/>
      <c r="E78" s="764"/>
    </row>
    <row r="79" spans="1:5">
      <c r="A79" s="762"/>
      <c r="B79" s="763"/>
      <c r="C79" s="763"/>
      <c r="D79" s="764"/>
      <c r="E79" s="764"/>
    </row>
    <row r="80" spans="1:5">
      <c r="A80" s="762"/>
      <c r="B80" s="763"/>
      <c r="C80" s="763"/>
      <c r="D80" s="764"/>
      <c r="E80" s="764"/>
    </row>
    <row r="81" spans="1:5">
      <c r="A81" s="762"/>
      <c r="B81" s="763"/>
      <c r="C81" s="763"/>
      <c r="D81" s="764"/>
      <c r="E81" s="764"/>
    </row>
    <row r="82" spans="1:5">
      <c r="A82" s="762"/>
      <c r="B82" s="763"/>
      <c r="C82" s="763"/>
      <c r="D82" s="764"/>
      <c r="E82" s="764"/>
    </row>
    <row r="83" spans="1:5">
      <c r="A83" s="762"/>
      <c r="B83" s="763"/>
      <c r="C83" s="763"/>
      <c r="D83" s="764"/>
      <c r="E83" s="764"/>
    </row>
    <row r="84" spans="1:5">
      <c r="A84" s="762"/>
      <c r="B84" s="763"/>
      <c r="C84" s="763"/>
      <c r="D84" s="764"/>
      <c r="E84" s="764"/>
    </row>
    <row r="85" spans="1:5">
      <c r="A85" s="762"/>
      <c r="B85" s="763"/>
      <c r="C85" s="763"/>
      <c r="D85" s="764"/>
      <c r="E85" s="764"/>
    </row>
    <row r="86" spans="1:5">
      <c r="A86" s="762"/>
      <c r="B86" s="763"/>
      <c r="C86" s="763"/>
      <c r="D86" s="764"/>
      <c r="E86" s="764"/>
    </row>
    <row r="87" spans="1:5">
      <c r="A87" s="762"/>
      <c r="B87" s="763"/>
      <c r="C87" s="763"/>
      <c r="D87" s="764"/>
      <c r="E87" s="764"/>
    </row>
    <row r="88" spans="1:5">
      <c r="A88" s="762"/>
      <c r="B88" s="763"/>
      <c r="C88" s="763"/>
      <c r="D88" s="764"/>
      <c r="E88" s="764"/>
    </row>
    <row r="89" spans="1:5">
      <c r="A89" s="762"/>
      <c r="B89" s="763"/>
      <c r="C89" s="763"/>
      <c r="D89" s="764"/>
      <c r="E89" s="764"/>
    </row>
    <row r="90" spans="1:5">
      <c r="A90" s="762"/>
      <c r="B90" s="763"/>
      <c r="C90" s="763"/>
      <c r="D90" s="764"/>
      <c r="E90" s="764"/>
    </row>
    <row r="91" spans="1:5">
      <c r="A91" s="762"/>
      <c r="B91" s="763"/>
      <c r="C91" s="763"/>
      <c r="D91" s="764"/>
      <c r="E91" s="764"/>
    </row>
    <row r="92" spans="1:5">
      <c r="A92" s="762"/>
      <c r="B92" s="763"/>
      <c r="C92" s="763"/>
      <c r="D92" s="764"/>
      <c r="E92" s="764"/>
    </row>
    <row r="93" spans="1:5">
      <c r="A93" s="762"/>
      <c r="B93" s="763"/>
      <c r="C93" s="763"/>
      <c r="D93" s="764"/>
      <c r="E93" s="764"/>
    </row>
    <row r="94" spans="1:5">
      <c r="A94" s="762"/>
      <c r="B94" s="763"/>
      <c r="C94" s="763"/>
      <c r="D94" s="764"/>
      <c r="E94" s="764"/>
    </row>
    <row r="95" spans="1:5">
      <c r="A95" s="762"/>
      <c r="B95" s="763"/>
      <c r="C95" s="763"/>
      <c r="D95" s="764"/>
      <c r="E95" s="764"/>
    </row>
    <row r="96" spans="1:5">
      <c r="A96" s="762"/>
      <c r="B96" s="763"/>
      <c r="C96" s="763"/>
      <c r="D96" s="764"/>
      <c r="E96" s="764"/>
    </row>
    <row r="97" spans="1:5">
      <c r="A97" s="762"/>
      <c r="B97" s="763"/>
      <c r="C97" s="763"/>
      <c r="D97" s="764"/>
      <c r="E97" s="764"/>
    </row>
    <row r="98" spans="1:5">
      <c r="A98" s="762"/>
      <c r="B98" s="763"/>
      <c r="C98" s="763"/>
      <c r="D98" s="764"/>
      <c r="E98" s="764"/>
    </row>
    <row r="99" spans="1:5">
      <c r="A99" s="762"/>
      <c r="B99" s="763"/>
      <c r="C99" s="763"/>
      <c r="D99" s="764"/>
      <c r="E99" s="764"/>
    </row>
    <row r="100" spans="1:5">
      <c r="A100" s="762"/>
      <c r="B100" s="763"/>
      <c r="C100" s="763"/>
      <c r="D100" s="764"/>
      <c r="E100" s="764"/>
    </row>
    <row r="101" spans="1:5">
      <c r="A101" s="762"/>
      <c r="B101" s="763"/>
      <c r="C101" s="763"/>
      <c r="D101" s="764"/>
      <c r="E101" s="764"/>
    </row>
    <row r="102" spans="1:5">
      <c r="A102" s="762"/>
      <c r="B102" s="763"/>
      <c r="C102" s="763"/>
      <c r="D102" s="764"/>
      <c r="E102" s="764"/>
    </row>
    <row r="103" spans="1:5">
      <c r="A103" s="762"/>
      <c r="B103" s="763"/>
      <c r="C103" s="763"/>
      <c r="D103" s="764"/>
      <c r="E103" s="764"/>
    </row>
    <row r="104" spans="1:5">
      <c r="A104" s="762"/>
      <c r="B104" s="763"/>
      <c r="C104" s="763"/>
      <c r="D104" s="764"/>
      <c r="E104" s="764"/>
    </row>
    <row r="105" spans="1:5">
      <c r="A105" s="762"/>
      <c r="B105" s="763"/>
      <c r="C105" s="763"/>
      <c r="D105" s="764"/>
      <c r="E105" s="764"/>
    </row>
    <row r="106" spans="1:5">
      <c r="A106" s="762"/>
      <c r="B106" s="763"/>
      <c r="C106" s="763"/>
      <c r="D106" s="764"/>
      <c r="E106" s="764"/>
    </row>
    <row r="107" spans="1:5">
      <c r="A107" s="762"/>
      <c r="B107" s="763"/>
      <c r="C107" s="763"/>
      <c r="D107" s="764"/>
      <c r="E107" s="764"/>
    </row>
    <row r="108" spans="1:5">
      <c r="A108" s="762"/>
      <c r="B108" s="763"/>
      <c r="C108" s="763"/>
      <c r="D108" s="764"/>
      <c r="E108" s="764"/>
    </row>
    <row r="109" spans="1:5">
      <c r="A109" s="762"/>
      <c r="B109" s="763"/>
      <c r="C109" s="763"/>
      <c r="D109" s="764"/>
      <c r="E109" s="764"/>
    </row>
    <row r="110" spans="1:5">
      <c r="A110" s="762"/>
      <c r="B110" s="763"/>
      <c r="C110" s="763"/>
      <c r="D110" s="764"/>
      <c r="E110" s="764"/>
    </row>
    <row r="111" spans="1:5">
      <c r="A111" s="762"/>
      <c r="B111" s="763"/>
      <c r="C111" s="763"/>
      <c r="D111" s="764"/>
      <c r="E111" s="764"/>
    </row>
    <row r="112" spans="1:5">
      <c r="A112" s="762"/>
      <c r="B112" s="763"/>
      <c r="C112" s="763"/>
      <c r="D112" s="764"/>
      <c r="E112" s="764"/>
    </row>
    <row r="113" spans="1:5">
      <c r="A113" s="762"/>
      <c r="B113" s="763"/>
      <c r="C113" s="763"/>
      <c r="D113" s="764"/>
      <c r="E113" s="764"/>
    </row>
    <row r="114" spans="1:5">
      <c r="A114" s="762"/>
      <c r="B114" s="763"/>
      <c r="C114" s="763"/>
      <c r="D114" s="764"/>
      <c r="E114" s="764"/>
    </row>
    <row r="115" spans="1:5">
      <c r="A115" s="762"/>
      <c r="B115" s="763"/>
      <c r="C115" s="763"/>
      <c r="D115" s="764"/>
      <c r="E115" s="764"/>
    </row>
    <row r="116" spans="1:5">
      <c r="A116" s="762"/>
      <c r="B116" s="763"/>
      <c r="C116" s="763"/>
      <c r="D116" s="764"/>
      <c r="E116" s="764"/>
    </row>
    <row r="117" spans="1:5">
      <c r="A117" s="762"/>
      <c r="B117" s="763"/>
      <c r="C117" s="763"/>
      <c r="D117" s="764"/>
      <c r="E117" s="764"/>
    </row>
    <row r="118" spans="1:5">
      <c r="A118" s="762"/>
      <c r="B118" s="763"/>
      <c r="C118" s="763"/>
      <c r="D118" s="764"/>
      <c r="E118" s="764"/>
    </row>
    <row r="119" spans="1:5">
      <c r="A119" s="762"/>
      <c r="B119" s="763"/>
      <c r="C119" s="763"/>
      <c r="D119" s="764"/>
      <c r="E119" s="764"/>
    </row>
    <row r="120" spans="1:5">
      <c r="A120" s="762"/>
      <c r="B120" s="763"/>
      <c r="C120" s="763"/>
      <c r="D120" s="764"/>
      <c r="E120" s="764"/>
    </row>
    <row r="121" spans="1:5">
      <c r="A121" s="762"/>
      <c r="B121" s="763"/>
      <c r="C121" s="763"/>
      <c r="D121" s="764"/>
      <c r="E121" s="764"/>
    </row>
    <row r="122" spans="1:5">
      <c r="A122" s="762"/>
      <c r="B122" s="763"/>
      <c r="C122" s="763"/>
      <c r="D122" s="764"/>
      <c r="E122" s="764"/>
    </row>
    <row r="123" spans="1:5">
      <c r="A123" s="762"/>
      <c r="B123" s="763"/>
      <c r="C123" s="763"/>
      <c r="D123" s="764"/>
      <c r="E123" s="764"/>
    </row>
    <row r="124" spans="1:5">
      <c r="A124" s="762"/>
      <c r="B124" s="763"/>
      <c r="C124" s="763"/>
      <c r="D124" s="764"/>
      <c r="E124" s="764"/>
    </row>
    <row r="125" spans="1:5">
      <c r="A125" s="762"/>
      <c r="B125" s="763"/>
      <c r="C125" s="763"/>
      <c r="D125" s="764"/>
      <c r="E125" s="764"/>
    </row>
    <row r="126" spans="1:5">
      <c r="A126" s="762"/>
      <c r="B126" s="763"/>
      <c r="C126" s="763"/>
      <c r="D126" s="764"/>
      <c r="E126" s="764"/>
    </row>
    <row r="127" spans="1:5">
      <c r="A127" s="762"/>
      <c r="B127" s="763"/>
      <c r="C127" s="763"/>
      <c r="D127" s="764"/>
      <c r="E127" s="764"/>
    </row>
    <row r="128" spans="1:5">
      <c r="A128" s="762"/>
      <c r="B128" s="763"/>
      <c r="C128" s="763"/>
      <c r="D128" s="764"/>
      <c r="E128" s="764"/>
    </row>
    <row r="129" spans="1:5">
      <c r="A129" s="762"/>
      <c r="B129" s="763"/>
      <c r="C129" s="763"/>
      <c r="D129" s="764"/>
      <c r="E129" s="764"/>
    </row>
    <row r="130" spans="1:5">
      <c r="A130" s="762"/>
      <c r="B130" s="763"/>
      <c r="C130" s="763"/>
      <c r="D130" s="764"/>
      <c r="E130" s="764"/>
    </row>
    <row r="131" spans="1:5">
      <c r="A131" s="762"/>
      <c r="B131" s="763"/>
      <c r="C131" s="763"/>
      <c r="D131" s="764"/>
      <c r="E131" s="764"/>
    </row>
    <row r="132" spans="1:5">
      <c r="A132" s="762"/>
      <c r="B132" s="763"/>
      <c r="C132" s="763"/>
      <c r="D132" s="764"/>
      <c r="E132" s="764"/>
    </row>
    <row r="133" spans="1:5">
      <c r="A133" s="762"/>
      <c r="B133" s="763"/>
      <c r="C133" s="763"/>
      <c r="D133" s="764"/>
      <c r="E133" s="764"/>
    </row>
    <row r="134" spans="1:5">
      <c r="A134" s="762"/>
      <c r="B134" s="763"/>
      <c r="C134" s="763"/>
      <c r="D134" s="764"/>
      <c r="E134" s="764"/>
    </row>
    <row r="135" spans="1:5">
      <c r="A135" s="762"/>
      <c r="B135" s="763"/>
      <c r="C135" s="763"/>
      <c r="D135" s="764"/>
      <c r="E135" s="764"/>
    </row>
    <row r="136" spans="1:5">
      <c r="A136" s="762"/>
      <c r="B136" s="763"/>
      <c r="C136" s="763"/>
      <c r="D136" s="764"/>
      <c r="E136" s="764"/>
    </row>
    <row r="137" spans="1:5">
      <c r="A137" s="762"/>
      <c r="B137" s="763"/>
      <c r="C137" s="763"/>
      <c r="D137" s="764"/>
      <c r="E137" s="764"/>
    </row>
    <row r="138" spans="1:5">
      <c r="A138" s="762"/>
      <c r="B138" s="763"/>
      <c r="C138" s="763"/>
      <c r="D138" s="764"/>
      <c r="E138" s="764"/>
    </row>
    <row r="139" spans="1:5">
      <c r="A139" s="762"/>
      <c r="B139" s="763"/>
      <c r="C139" s="763"/>
      <c r="D139" s="764"/>
      <c r="E139" s="764"/>
    </row>
    <row r="140" spans="1:5">
      <c r="A140" s="762"/>
      <c r="B140" s="763"/>
      <c r="C140" s="763"/>
      <c r="D140" s="764"/>
      <c r="E140" s="764"/>
    </row>
    <row r="141" spans="1:5">
      <c r="A141" s="762"/>
      <c r="B141" s="763"/>
      <c r="C141" s="763"/>
      <c r="D141" s="764"/>
      <c r="E141" s="764"/>
    </row>
    <row r="142" spans="1:5">
      <c r="A142" s="762"/>
      <c r="B142" s="763"/>
      <c r="C142" s="763"/>
      <c r="D142" s="764"/>
      <c r="E142" s="764"/>
    </row>
    <row r="143" spans="1:5">
      <c r="A143" s="762"/>
      <c r="B143" s="763"/>
      <c r="C143" s="763"/>
      <c r="D143" s="764"/>
      <c r="E143" s="764"/>
    </row>
    <row r="144" spans="1:5">
      <c r="A144" s="762"/>
      <c r="B144" s="763"/>
      <c r="C144" s="763"/>
      <c r="D144" s="764"/>
      <c r="E144" s="764"/>
    </row>
    <row r="145" spans="1:5">
      <c r="A145" s="762"/>
      <c r="B145" s="763"/>
      <c r="C145" s="763"/>
      <c r="D145" s="764"/>
      <c r="E145" s="764"/>
    </row>
    <row r="146" spans="1:5">
      <c r="A146" s="762"/>
      <c r="B146" s="763"/>
      <c r="C146" s="763"/>
      <c r="D146" s="764"/>
      <c r="E146" s="764"/>
    </row>
    <row r="147" spans="1:5">
      <c r="A147" s="762"/>
      <c r="B147" s="763"/>
      <c r="C147" s="763"/>
      <c r="D147" s="764"/>
      <c r="E147" s="764"/>
    </row>
    <row r="148" spans="1:5">
      <c r="A148" s="762"/>
      <c r="B148" s="763"/>
      <c r="C148" s="763"/>
      <c r="D148" s="764"/>
      <c r="E148" s="764"/>
    </row>
    <row r="149" spans="1:5">
      <c r="A149" s="762"/>
      <c r="B149" s="763"/>
      <c r="C149" s="763"/>
      <c r="D149" s="764"/>
      <c r="E149" s="764"/>
    </row>
    <row r="150" spans="1:5">
      <c r="A150" s="762"/>
      <c r="B150" s="763"/>
      <c r="C150" s="763"/>
      <c r="D150" s="764"/>
      <c r="E150" s="764"/>
    </row>
    <row r="151" spans="1:5">
      <c r="A151" s="762"/>
      <c r="B151" s="763"/>
      <c r="C151" s="763"/>
      <c r="D151" s="764"/>
      <c r="E151" s="764"/>
    </row>
    <row r="152" spans="1:5">
      <c r="A152" s="762"/>
      <c r="B152" s="763"/>
      <c r="C152" s="763"/>
      <c r="D152" s="764"/>
      <c r="E152" s="764"/>
    </row>
    <row r="153" spans="1:5">
      <c r="A153" s="762"/>
      <c r="B153" s="763"/>
      <c r="C153" s="763"/>
      <c r="D153" s="764"/>
      <c r="E153" s="764"/>
    </row>
    <row r="154" spans="1:5">
      <c r="A154" s="762"/>
      <c r="B154" s="763"/>
      <c r="C154" s="763"/>
      <c r="D154" s="764"/>
      <c r="E154" s="764"/>
    </row>
    <row r="155" spans="1:5">
      <c r="A155" s="762"/>
      <c r="B155" s="763"/>
      <c r="C155" s="763"/>
      <c r="D155" s="764"/>
      <c r="E155" s="764"/>
    </row>
    <row r="156" spans="1:5">
      <c r="A156" s="762"/>
      <c r="B156" s="763"/>
      <c r="C156" s="763"/>
      <c r="D156" s="764"/>
      <c r="E156" s="764"/>
    </row>
    <row r="157" spans="1:5">
      <c r="A157" s="762"/>
      <c r="B157" s="763"/>
      <c r="C157" s="763"/>
      <c r="D157" s="764"/>
      <c r="E157" s="764"/>
    </row>
    <row r="158" spans="1:5">
      <c r="A158" s="762"/>
      <c r="B158" s="763"/>
      <c r="C158" s="763"/>
      <c r="D158" s="764"/>
      <c r="E158" s="764"/>
    </row>
    <row r="159" spans="1:5">
      <c r="A159" s="762"/>
      <c r="B159" s="763"/>
      <c r="C159" s="763"/>
      <c r="D159" s="764"/>
      <c r="E159" s="764"/>
    </row>
    <row r="160" spans="1:5">
      <c r="A160" s="762"/>
      <c r="B160" s="763"/>
      <c r="C160" s="763"/>
      <c r="D160" s="764"/>
      <c r="E160" s="764"/>
    </row>
    <row r="161" spans="1:5">
      <c r="A161" s="762"/>
      <c r="B161" s="763"/>
      <c r="C161" s="763"/>
      <c r="D161" s="764"/>
      <c r="E161" s="764"/>
    </row>
    <row r="162" spans="1:5">
      <c r="A162" s="762"/>
      <c r="B162" s="763"/>
      <c r="C162" s="763"/>
      <c r="D162" s="764"/>
      <c r="E162" s="764"/>
    </row>
    <row r="163" spans="1:5">
      <c r="A163" s="762"/>
      <c r="B163" s="763"/>
      <c r="C163" s="763"/>
      <c r="D163" s="764"/>
      <c r="E163" s="764"/>
    </row>
    <row r="164" spans="1:5">
      <c r="A164" s="762"/>
      <c r="B164" s="763"/>
      <c r="C164" s="763"/>
      <c r="D164" s="764"/>
      <c r="E164" s="764"/>
    </row>
    <row r="165" spans="1:5">
      <c r="A165" s="762"/>
      <c r="B165" s="763"/>
      <c r="C165" s="763"/>
      <c r="D165" s="764"/>
      <c r="E165" s="764"/>
    </row>
    <row r="166" spans="1:5">
      <c r="A166" s="762"/>
      <c r="B166" s="763"/>
      <c r="C166" s="763"/>
      <c r="D166" s="764"/>
      <c r="E166" s="764"/>
    </row>
    <row r="167" spans="1:5">
      <c r="A167" s="762"/>
      <c r="B167" s="763"/>
      <c r="C167" s="763"/>
      <c r="D167" s="764"/>
      <c r="E167" s="764"/>
    </row>
    <row r="168" spans="1:5">
      <c r="A168" s="762"/>
      <c r="B168" s="763"/>
      <c r="C168" s="763"/>
      <c r="D168" s="764"/>
      <c r="E168" s="764"/>
    </row>
    <row r="169" spans="1:5">
      <c r="A169" s="762"/>
      <c r="B169" s="763"/>
      <c r="C169" s="763"/>
      <c r="D169" s="764"/>
      <c r="E169" s="764"/>
    </row>
    <row r="170" spans="1:5">
      <c r="A170" s="762"/>
      <c r="B170" s="763"/>
      <c r="C170" s="763"/>
      <c r="D170" s="764"/>
      <c r="E170" s="764"/>
    </row>
    <row r="171" spans="1:5">
      <c r="A171" s="762"/>
      <c r="B171" s="763"/>
      <c r="C171" s="763"/>
      <c r="D171" s="764"/>
      <c r="E171" s="764"/>
    </row>
    <row r="172" spans="1:5">
      <c r="A172" s="762"/>
      <c r="B172" s="763"/>
      <c r="C172" s="763"/>
      <c r="D172" s="764"/>
      <c r="E172" s="764"/>
    </row>
    <row r="173" spans="1:5">
      <c r="A173" s="762"/>
      <c r="B173" s="763"/>
      <c r="C173" s="763"/>
      <c r="D173" s="764"/>
      <c r="E173" s="764"/>
    </row>
    <row r="174" spans="1:5">
      <c r="A174" s="762"/>
      <c r="B174" s="763"/>
      <c r="C174" s="763"/>
      <c r="D174" s="764"/>
      <c r="E174" s="764"/>
    </row>
    <row r="175" spans="1:5">
      <c r="A175" s="762"/>
      <c r="B175" s="763"/>
      <c r="C175" s="763"/>
      <c r="D175" s="764"/>
      <c r="E175" s="764"/>
    </row>
    <row r="176" spans="1:5">
      <c r="A176" s="762"/>
      <c r="B176" s="763"/>
      <c r="C176" s="763"/>
      <c r="D176" s="764"/>
      <c r="E176" s="764"/>
    </row>
    <row r="177" spans="1:5">
      <c r="A177" s="762"/>
      <c r="B177" s="763"/>
      <c r="C177" s="763"/>
      <c r="D177" s="764"/>
      <c r="E177" s="764"/>
    </row>
    <row r="178" spans="1:5">
      <c r="A178" s="762"/>
      <c r="B178" s="763"/>
      <c r="C178" s="763"/>
      <c r="D178" s="764"/>
      <c r="E178" s="764"/>
    </row>
    <row r="179" spans="1:5">
      <c r="A179" s="762"/>
      <c r="B179" s="763"/>
      <c r="C179" s="763"/>
      <c r="D179" s="764"/>
      <c r="E179" s="764"/>
    </row>
    <row r="180" spans="1:5">
      <c r="A180" s="762"/>
      <c r="B180" s="763"/>
      <c r="C180" s="763"/>
      <c r="D180" s="764"/>
      <c r="E180" s="764"/>
    </row>
    <row r="181" spans="1:5">
      <c r="A181" s="762"/>
      <c r="B181" s="763"/>
      <c r="C181" s="763"/>
      <c r="D181" s="764"/>
      <c r="E181" s="764"/>
    </row>
    <row r="182" spans="1:5">
      <c r="A182" s="762"/>
      <c r="B182" s="763"/>
      <c r="C182" s="763"/>
      <c r="D182" s="764"/>
      <c r="E182" s="764"/>
    </row>
    <row r="183" spans="1:5">
      <c r="A183" s="762"/>
      <c r="B183" s="763"/>
      <c r="C183" s="763"/>
      <c r="D183" s="764"/>
      <c r="E183" s="764"/>
    </row>
    <row r="184" spans="1:5">
      <c r="A184" s="762"/>
      <c r="B184" s="763"/>
      <c r="C184" s="763"/>
      <c r="D184" s="764"/>
      <c r="E184" s="764"/>
    </row>
    <row r="185" spans="1:5">
      <c r="A185" s="762"/>
      <c r="B185" s="763"/>
      <c r="C185" s="763"/>
      <c r="D185" s="764"/>
      <c r="E185" s="764"/>
    </row>
    <row r="186" spans="1:5">
      <c r="A186" s="762"/>
      <c r="B186" s="763"/>
      <c r="C186" s="763"/>
      <c r="D186" s="764"/>
      <c r="E186" s="764"/>
    </row>
    <row r="187" spans="1:5">
      <c r="A187" s="762"/>
      <c r="B187" s="763"/>
      <c r="C187" s="763"/>
      <c r="D187" s="764"/>
      <c r="E187" s="764"/>
    </row>
    <row r="188" spans="1:5">
      <c r="A188" s="762"/>
      <c r="B188" s="763"/>
      <c r="C188" s="763"/>
      <c r="D188" s="764"/>
      <c r="E188" s="764"/>
    </row>
    <row r="189" spans="1:5">
      <c r="A189" s="762"/>
      <c r="B189" s="763"/>
      <c r="C189" s="763"/>
      <c r="D189" s="764"/>
      <c r="E189" s="764"/>
    </row>
    <row r="190" spans="1:5">
      <c r="A190" s="762"/>
      <c r="B190" s="763"/>
      <c r="C190" s="763"/>
      <c r="D190" s="764"/>
      <c r="E190" s="764"/>
    </row>
    <row r="191" spans="1:5">
      <c r="A191" s="762"/>
      <c r="B191" s="763"/>
      <c r="C191" s="763"/>
      <c r="D191" s="764"/>
      <c r="E191" s="764"/>
    </row>
    <row r="192" spans="1:5">
      <c r="A192" s="762"/>
      <c r="B192" s="763"/>
      <c r="C192" s="763"/>
      <c r="D192" s="764"/>
      <c r="E192" s="764"/>
    </row>
    <row r="193" spans="1:5">
      <c r="A193" s="762"/>
      <c r="B193" s="763"/>
      <c r="C193" s="763"/>
      <c r="D193" s="764"/>
      <c r="E193" s="764"/>
    </row>
    <row r="194" spans="1:5">
      <c r="A194" s="762"/>
      <c r="B194" s="763"/>
      <c r="C194" s="763"/>
      <c r="D194" s="764"/>
      <c r="E194" s="764"/>
    </row>
    <row r="195" spans="1:5">
      <c r="A195" s="762"/>
      <c r="B195" s="763"/>
      <c r="C195" s="763"/>
      <c r="D195" s="764"/>
      <c r="E195" s="764"/>
    </row>
    <row r="196" spans="1:5">
      <c r="A196" s="762"/>
      <c r="B196" s="763"/>
      <c r="C196" s="763"/>
      <c r="D196" s="764"/>
      <c r="E196" s="764"/>
    </row>
    <row r="197" spans="1:5">
      <c r="A197" s="762"/>
      <c r="B197" s="763"/>
      <c r="C197" s="763"/>
      <c r="D197" s="764"/>
      <c r="E197" s="764"/>
    </row>
    <row r="198" spans="1:5">
      <c r="A198" s="762"/>
      <c r="B198" s="763"/>
      <c r="C198" s="763"/>
      <c r="D198" s="764"/>
      <c r="E198" s="764"/>
    </row>
    <row r="199" spans="1:5">
      <c r="A199" s="762"/>
      <c r="B199" s="763"/>
      <c r="C199" s="763"/>
      <c r="D199" s="764"/>
      <c r="E199" s="764"/>
    </row>
    <row r="200" spans="1:5">
      <c r="A200" s="762"/>
      <c r="B200" s="763"/>
      <c r="C200" s="763"/>
      <c r="D200" s="764"/>
      <c r="E200" s="764"/>
    </row>
    <row r="201" spans="1:5">
      <c r="A201" s="762"/>
      <c r="B201" s="763"/>
      <c r="C201" s="763"/>
      <c r="D201" s="764"/>
      <c r="E201" s="764"/>
    </row>
    <row r="202" spans="1:5">
      <c r="A202" s="762"/>
      <c r="B202" s="763"/>
      <c r="C202" s="763"/>
      <c r="D202" s="764"/>
      <c r="E202" s="764"/>
    </row>
    <row r="203" spans="1:5">
      <c r="A203" s="762"/>
      <c r="B203" s="763"/>
      <c r="C203" s="763"/>
      <c r="D203" s="764"/>
      <c r="E203" s="764"/>
    </row>
    <row r="204" spans="1:5">
      <c r="A204" s="762"/>
      <c r="B204" s="763"/>
      <c r="C204" s="763"/>
      <c r="D204" s="764"/>
      <c r="E204" s="764"/>
    </row>
    <row r="205" spans="1:5">
      <c r="A205" s="762"/>
      <c r="B205" s="763"/>
      <c r="C205" s="763"/>
      <c r="D205" s="764"/>
      <c r="E205" s="764"/>
    </row>
    <row r="206" spans="1:5">
      <c r="A206" s="762"/>
      <c r="B206" s="763"/>
      <c r="C206" s="763"/>
      <c r="D206" s="764"/>
      <c r="E206" s="764"/>
    </row>
    <row r="207" spans="1:5">
      <c r="A207" s="762"/>
      <c r="B207" s="763"/>
      <c r="C207" s="763"/>
      <c r="D207" s="764"/>
      <c r="E207" s="764"/>
    </row>
    <row r="208" spans="1:5">
      <c r="A208" s="762"/>
      <c r="B208" s="763"/>
      <c r="C208" s="763"/>
      <c r="D208" s="764"/>
      <c r="E208" s="764"/>
    </row>
    <row r="209" spans="1:5">
      <c r="A209" s="762"/>
      <c r="B209" s="763"/>
      <c r="C209" s="763"/>
      <c r="D209" s="764"/>
      <c r="E209" s="764"/>
    </row>
    <row r="210" spans="1:5">
      <c r="A210" s="762"/>
      <c r="B210" s="763"/>
      <c r="C210" s="763"/>
      <c r="D210" s="764"/>
      <c r="E210" s="764"/>
    </row>
    <row r="211" spans="1:5">
      <c r="A211" s="762"/>
      <c r="B211" s="763"/>
      <c r="C211" s="763"/>
      <c r="D211" s="764"/>
      <c r="E211" s="764"/>
    </row>
    <row r="212" spans="1:5">
      <c r="A212" s="762"/>
      <c r="B212" s="763"/>
      <c r="C212" s="763"/>
      <c r="D212" s="764"/>
      <c r="E212" s="764"/>
    </row>
    <row r="213" spans="1:5">
      <c r="A213" s="762"/>
      <c r="B213" s="763"/>
      <c r="C213" s="763"/>
      <c r="D213" s="764"/>
      <c r="E213" s="764"/>
    </row>
    <row r="214" spans="1:5">
      <c r="A214" s="762"/>
      <c r="B214" s="763"/>
      <c r="C214" s="763"/>
      <c r="D214" s="764"/>
      <c r="E214" s="764"/>
    </row>
    <row r="215" spans="1:5">
      <c r="A215" s="762"/>
      <c r="B215" s="763"/>
      <c r="C215" s="763"/>
      <c r="D215" s="764"/>
      <c r="E215" s="764"/>
    </row>
    <row r="216" spans="1:5">
      <c r="A216" s="762"/>
      <c r="B216" s="763"/>
      <c r="C216" s="763"/>
      <c r="D216" s="764"/>
      <c r="E216" s="764"/>
    </row>
    <row r="217" spans="1:5">
      <c r="A217" s="762"/>
      <c r="B217" s="763"/>
      <c r="C217" s="763"/>
      <c r="D217" s="764"/>
      <c r="E217" s="764"/>
    </row>
    <row r="218" spans="1:5">
      <c r="A218" s="762"/>
      <c r="B218" s="763"/>
      <c r="C218" s="763"/>
      <c r="D218" s="764"/>
      <c r="E218" s="764"/>
    </row>
    <row r="219" spans="1:5">
      <c r="A219" s="762"/>
      <c r="B219" s="763"/>
      <c r="C219" s="763"/>
      <c r="D219" s="764"/>
      <c r="E219" s="764"/>
    </row>
    <row r="220" spans="1:5">
      <c r="A220" s="762"/>
      <c r="B220" s="763"/>
      <c r="C220" s="763"/>
      <c r="D220" s="764"/>
      <c r="E220" s="764"/>
    </row>
    <row r="221" spans="1:5">
      <c r="A221" s="762"/>
      <c r="B221" s="763"/>
      <c r="C221" s="763"/>
      <c r="D221" s="764"/>
      <c r="E221" s="764"/>
    </row>
    <row r="222" spans="1:5">
      <c r="A222" s="762"/>
      <c r="B222" s="763"/>
      <c r="C222" s="763"/>
      <c r="D222" s="764"/>
      <c r="E222" s="764"/>
    </row>
    <row r="223" spans="1:5">
      <c r="A223" s="762"/>
      <c r="B223" s="763"/>
      <c r="C223" s="763"/>
      <c r="D223" s="764"/>
      <c r="E223" s="764"/>
    </row>
    <row r="224" spans="1:5">
      <c r="A224" s="762"/>
      <c r="B224" s="763"/>
      <c r="C224" s="763"/>
      <c r="D224" s="764"/>
      <c r="E224" s="764"/>
    </row>
    <row r="225" spans="1:5">
      <c r="A225" s="762"/>
      <c r="B225" s="763"/>
      <c r="C225" s="763"/>
      <c r="D225" s="764"/>
      <c r="E225" s="764"/>
    </row>
    <row r="226" spans="1:5">
      <c r="A226" s="762"/>
      <c r="B226" s="763"/>
      <c r="C226" s="763"/>
      <c r="D226" s="764"/>
      <c r="E226" s="764"/>
    </row>
    <row r="227" spans="1:5">
      <c r="A227" s="762"/>
      <c r="B227" s="763"/>
      <c r="C227" s="763"/>
      <c r="D227" s="764"/>
      <c r="E227" s="764"/>
    </row>
    <row r="228" spans="1:5">
      <c r="A228" s="762"/>
      <c r="B228" s="763"/>
      <c r="C228" s="763"/>
      <c r="D228" s="764"/>
      <c r="E228" s="764"/>
    </row>
    <row r="229" spans="1:5">
      <c r="A229" s="762"/>
      <c r="B229" s="763"/>
      <c r="C229" s="763"/>
      <c r="D229" s="764"/>
      <c r="E229" s="764"/>
    </row>
    <row r="230" spans="1:5">
      <c r="A230" s="762"/>
      <c r="B230" s="763"/>
      <c r="C230" s="763"/>
      <c r="D230" s="764"/>
      <c r="E230" s="764"/>
    </row>
    <row r="231" spans="1:5">
      <c r="A231" s="762"/>
      <c r="B231" s="763"/>
      <c r="C231" s="763"/>
      <c r="D231" s="764"/>
      <c r="E231" s="764"/>
    </row>
    <row r="232" spans="1:5">
      <c r="A232" s="762"/>
      <c r="B232" s="763"/>
      <c r="C232" s="763"/>
      <c r="D232" s="764"/>
      <c r="E232" s="764"/>
    </row>
    <row r="233" spans="1:5">
      <c r="A233" s="762"/>
      <c r="B233" s="763"/>
      <c r="C233" s="763"/>
      <c r="D233" s="764"/>
      <c r="E233" s="764"/>
    </row>
    <row r="234" spans="1:5">
      <c r="A234" s="762"/>
      <c r="B234" s="763"/>
      <c r="C234" s="763"/>
      <c r="D234" s="764"/>
      <c r="E234" s="764"/>
    </row>
    <row r="235" spans="1:5">
      <c r="A235" s="762"/>
      <c r="B235" s="763"/>
      <c r="C235" s="763"/>
      <c r="D235" s="764"/>
      <c r="E235" s="764"/>
    </row>
    <row r="236" spans="1:5">
      <c r="A236" s="762"/>
      <c r="B236" s="763"/>
      <c r="C236" s="763"/>
      <c r="D236" s="764"/>
      <c r="E236" s="764"/>
    </row>
    <row r="237" spans="1:5">
      <c r="A237" s="762"/>
      <c r="B237" s="763"/>
      <c r="C237" s="763"/>
      <c r="D237" s="764"/>
      <c r="E237" s="764"/>
    </row>
    <row r="238" spans="1:5">
      <c r="A238" s="762"/>
      <c r="B238" s="763"/>
      <c r="C238" s="763"/>
      <c r="D238" s="764"/>
      <c r="E238" s="764"/>
    </row>
    <row r="239" spans="1:5">
      <c r="A239" s="762"/>
      <c r="B239" s="763"/>
      <c r="C239" s="763"/>
      <c r="D239" s="764"/>
      <c r="E239" s="764"/>
    </row>
    <row r="240" spans="1:5">
      <c r="A240" s="762"/>
      <c r="B240" s="763"/>
      <c r="C240" s="763"/>
      <c r="D240" s="764"/>
      <c r="E240" s="764"/>
    </row>
    <row r="241" spans="1:5">
      <c r="A241" s="762"/>
      <c r="B241" s="763"/>
      <c r="C241" s="763"/>
      <c r="D241" s="764"/>
      <c r="E241" s="764"/>
    </row>
    <row r="242" spans="1:5">
      <c r="A242" s="762"/>
      <c r="B242" s="763"/>
      <c r="C242" s="763"/>
      <c r="D242" s="764"/>
      <c r="E242" s="764"/>
    </row>
    <row r="243" spans="1:5">
      <c r="A243" s="762"/>
      <c r="B243" s="763"/>
      <c r="C243" s="763"/>
      <c r="D243" s="764"/>
      <c r="E243" s="764"/>
    </row>
    <row r="244" spans="1:5">
      <c r="A244" s="762"/>
      <c r="B244" s="763"/>
      <c r="C244" s="763"/>
      <c r="D244" s="764"/>
      <c r="E244" s="764"/>
    </row>
    <row r="245" spans="1:5">
      <c r="A245" s="762"/>
      <c r="B245" s="763"/>
      <c r="C245" s="763"/>
      <c r="D245" s="764"/>
      <c r="E245" s="764"/>
    </row>
    <row r="246" spans="1:5">
      <c r="A246" s="762"/>
      <c r="B246" s="763"/>
      <c r="C246" s="763"/>
      <c r="D246" s="764"/>
      <c r="E246" s="764"/>
    </row>
    <row r="247" spans="1:5">
      <c r="A247" s="762"/>
      <c r="B247" s="763"/>
      <c r="C247" s="763"/>
      <c r="D247" s="764"/>
      <c r="E247" s="764"/>
    </row>
    <row r="248" spans="1:5">
      <c r="A248" s="762"/>
      <c r="B248" s="763"/>
      <c r="C248" s="763"/>
      <c r="D248" s="764"/>
      <c r="E248" s="764"/>
    </row>
    <row r="249" spans="1:5">
      <c r="A249" s="762"/>
      <c r="B249" s="763"/>
      <c r="C249" s="763"/>
      <c r="D249" s="764"/>
      <c r="E249" s="764"/>
    </row>
    <row r="250" spans="1:5">
      <c r="A250" s="762"/>
      <c r="B250" s="763"/>
      <c r="C250" s="763"/>
      <c r="D250" s="764"/>
      <c r="E250" s="764"/>
    </row>
    <row r="251" spans="1:5">
      <c r="A251" s="762"/>
      <c r="B251" s="763"/>
      <c r="C251" s="763"/>
      <c r="D251" s="764"/>
      <c r="E251" s="764"/>
    </row>
    <row r="252" spans="1:5">
      <c r="A252" s="762"/>
      <c r="B252" s="763"/>
      <c r="C252" s="763"/>
      <c r="D252" s="764"/>
      <c r="E252" s="764"/>
    </row>
    <row r="253" spans="1:5">
      <c r="A253" s="762"/>
      <c r="B253" s="763"/>
      <c r="C253" s="763"/>
      <c r="D253" s="764"/>
      <c r="E253" s="764"/>
    </row>
    <row r="254" spans="1:5">
      <c r="A254" s="762"/>
      <c r="B254" s="763"/>
      <c r="C254" s="763"/>
      <c r="D254" s="764"/>
      <c r="E254" s="764"/>
    </row>
    <row r="255" spans="1:5">
      <c r="A255" s="762"/>
      <c r="B255" s="763"/>
      <c r="C255" s="763"/>
      <c r="D255" s="764"/>
      <c r="E255" s="764"/>
    </row>
    <row r="256" spans="1:5">
      <c r="A256" s="762"/>
      <c r="B256" s="763"/>
      <c r="C256" s="763"/>
      <c r="D256" s="764"/>
      <c r="E256" s="764"/>
    </row>
    <row r="257" spans="1:5">
      <c r="A257" s="762"/>
      <c r="B257" s="763"/>
      <c r="C257" s="763"/>
      <c r="D257" s="764"/>
      <c r="E257" s="764"/>
    </row>
    <row r="258" spans="1:5">
      <c r="A258" s="762"/>
      <c r="B258" s="763"/>
      <c r="C258" s="763"/>
      <c r="D258" s="764"/>
      <c r="E258" s="764"/>
    </row>
    <row r="259" spans="1:5">
      <c r="A259" s="762"/>
      <c r="B259" s="763"/>
      <c r="C259" s="763"/>
      <c r="D259" s="764"/>
      <c r="E259" s="764"/>
    </row>
    <row r="260" spans="1:5">
      <c r="A260" s="762"/>
      <c r="B260" s="763"/>
      <c r="C260" s="763"/>
      <c r="D260" s="764"/>
      <c r="E260" s="764"/>
    </row>
    <row r="261" spans="1:5">
      <c r="A261" s="762"/>
      <c r="B261" s="763"/>
      <c r="C261" s="763"/>
      <c r="D261" s="764"/>
      <c r="E261" s="764"/>
    </row>
    <row r="262" spans="1:5">
      <c r="A262" s="762"/>
      <c r="B262" s="763"/>
      <c r="C262" s="763"/>
      <c r="D262" s="764"/>
      <c r="E262" s="764"/>
    </row>
    <row r="263" spans="1:5">
      <c r="A263" s="762"/>
      <c r="B263" s="763"/>
      <c r="C263" s="763"/>
      <c r="D263" s="764"/>
      <c r="E263" s="764"/>
    </row>
    <row r="264" spans="1:5">
      <c r="A264" s="762"/>
      <c r="B264" s="763"/>
      <c r="C264" s="763"/>
      <c r="D264" s="764"/>
      <c r="E264" s="764"/>
    </row>
    <row r="265" spans="1:5">
      <c r="A265" s="762"/>
      <c r="B265" s="763"/>
      <c r="C265" s="763"/>
      <c r="D265" s="764"/>
      <c r="E265" s="764"/>
    </row>
    <row r="266" spans="1:5">
      <c r="A266" s="762"/>
      <c r="B266" s="763"/>
      <c r="C266" s="763"/>
      <c r="D266" s="764"/>
      <c r="E266" s="764"/>
    </row>
    <row r="267" spans="1:5">
      <c r="A267" s="762"/>
      <c r="B267" s="763"/>
      <c r="C267" s="763"/>
      <c r="D267" s="764"/>
      <c r="E267" s="764"/>
    </row>
    <row r="268" spans="1:5">
      <c r="A268" s="762"/>
      <c r="B268" s="763"/>
      <c r="C268" s="763"/>
      <c r="D268" s="764"/>
      <c r="E268" s="764"/>
    </row>
    <row r="269" spans="1:5">
      <c r="A269" s="762"/>
      <c r="B269" s="763"/>
      <c r="C269" s="763"/>
      <c r="D269" s="764"/>
      <c r="E269" s="764"/>
    </row>
    <row r="270" spans="1:5">
      <c r="A270" s="762"/>
      <c r="B270" s="763"/>
      <c r="C270" s="763"/>
      <c r="D270" s="764"/>
      <c r="E270" s="764"/>
    </row>
    <row r="271" spans="1:5">
      <c r="A271" s="762"/>
      <c r="B271" s="763"/>
      <c r="C271" s="763"/>
      <c r="D271" s="764"/>
      <c r="E271" s="764"/>
    </row>
    <row r="272" spans="1:5">
      <c r="A272" s="762"/>
      <c r="B272" s="763"/>
      <c r="C272" s="763"/>
      <c r="D272" s="764"/>
      <c r="E272" s="764"/>
    </row>
    <row r="273" spans="1:5">
      <c r="A273" s="762"/>
      <c r="B273" s="763"/>
      <c r="C273" s="763"/>
      <c r="D273" s="764"/>
      <c r="E273" s="764"/>
    </row>
    <row r="274" spans="1:5">
      <c r="A274" s="762"/>
      <c r="B274" s="763"/>
      <c r="C274" s="763"/>
      <c r="D274" s="764"/>
      <c r="E274" s="764"/>
    </row>
    <row r="275" spans="1:5">
      <c r="A275" s="762"/>
      <c r="B275" s="763"/>
      <c r="C275" s="763"/>
      <c r="D275" s="764"/>
      <c r="E275" s="764"/>
    </row>
    <row r="276" spans="1:5">
      <c r="A276" s="762"/>
      <c r="B276" s="763"/>
      <c r="C276" s="763"/>
      <c r="D276" s="764"/>
      <c r="E276" s="764"/>
    </row>
    <row r="277" spans="1:5">
      <c r="A277" s="762"/>
      <c r="B277" s="763"/>
      <c r="C277" s="763"/>
      <c r="D277" s="764"/>
      <c r="E277" s="764"/>
    </row>
    <row r="278" spans="1:5">
      <c r="A278" s="762"/>
      <c r="B278" s="763"/>
      <c r="C278" s="763"/>
      <c r="D278" s="764"/>
      <c r="E278" s="764"/>
    </row>
    <row r="279" spans="1:5">
      <c r="A279" s="762"/>
      <c r="B279" s="763"/>
      <c r="C279" s="763"/>
      <c r="D279" s="764"/>
      <c r="E279" s="764"/>
    </row>
    <row r="280" spans="1:5">
      <c r="A280" s="762"/>
      <c r="B280" s="763"/>
      <c r="C280" s="763"/>
      <c r="D280" s="764"/>
      <c r="E280" s="764"/>
    </row>
    <row r="281" spans="1:5">
      <c r="A281" s="762"/>
      <c r="B281" s="763"/>
      <c r="C281" s="763"/>
      <c r="D281" s="764"/>
      <c r="E281" s="764"/>
    </row>
    <row r="282" spans="1:5">
      <c r="A282" s="765"/>
      <c r="B282" s="763"/>
      <c r="C282" s="763"/>
      <c r="D282" s="764"/>
      <c r="E282" s="764"/>
    </row>
    <row r="283" spans="1:5">
      <c r="A283" s="765"/>
      <c r="B283" s="763"/>
      <c r="C283" s="763"/>
      <c r="D283" s="764"/>
      <c r="E283" s="764"/>
    </row>
    <row r="284" spans="1:5">
      <c r="A284" s="765"/>
      <c r="B284" s="763"/>
      <c r="C284" s="763"/>
      <c r="D284" s="764"/>
      <c r="E284" s="764"/>
    </row>
    <row r="285" spans="1:5">
      <c r="A285" s="765"/>
      <c r="B285" s="763"/>
      <c r="C285" s="763"/>
      <c r="D285" s="764"/>
      <c r="E285" s="764"/>
    </row>
    <row r="286" spans="1:5">
      <c r="A286" s="765"/>
      <c r="B286" s="763"/>
      <c r="C286" s="763"/>
      <c r="D286" s="764"/>
      <c r="E286" s="764"/>
    </row>
    <row r="287" spans="1:5">
      <c r="A287" s="765"/>
      <c r="B287" s="763"/>
      <c r="C287" s="763"/>
      <c r="D287" s="764"/>
      <c r="E287" s="764"/>
    </row>
    <row r="288" spans="1:5">
      <c r="A288" s="765"/>
      <c r="B288" s="763"/>
      <c r="C288" s="763"/>
      <c r="D288" s="764"/>
      <c r="E288" s="764"/>
    </row>
    <row r="289" spans="1:5">
      <c r="A289" s="765"/>
      <c r="B289" s="763"/>
      <c r="C289" s="763"/>
      <c r="D289" s="764"/>
      <c r="E289" s="764"/>
    </row>
    <row r="290" spans="1:5">
      <c r="A290" s="765"/>
      <c r="B290" s="763"/>
      <c r="C290" s="763"/>
      <c r="D290" s="764"/>
      <c r="E290" s="764"/>
    </row>
    <row r="291" spans="1:5">
      <c r="A291" s="765"/>
      <c r="B291" s="763"/>
      <c r="C291" s="763"/>
      <c r="D291" s="764"/>
      <c r="E291" s="764"/>
    </row>
    <row r="292" spans="1:5">
      <c r="A292" s="765"/>
      <c r="B292" s="763"/>
      <c r="C292" s="763"/>
      <c r="D292" s="764"/>
      <c r="E292" s="764"/>
    </row>
    <row r="293" spans="1:5">
      <c r="A293" s="765"/>
      <c r="B293" s="763"/>
      <c r="C293" s="763"/>
      <c r="D293" s="764"/>
      <c r="E293" s="764"/>
    </row>
    <row r="294" spans="1:5">
      <c r="A294" s="765"/>
      <c r="B294" s="763"/>
      <c r="C294" s="763"/>
      <c r="D294" s="764"/>
      <c r="E294" s="764"/>
    </row>
    <row r="295" spans="1:5">
      <c r="A295" s="765"/>
      <c r="B295" s="763"/>
      <c r="C295" s="763"/>
      <c r="D295" s="764"/>
      <c r="E295" s="764"/>
    </row>
    <row r="296" spans="1:5">
      <c r="A296" s="765"/>
      <c r="B296" s="763"/>
      <c r="C296" s="763"/>
      <c r="D296" s="764"/>
      <c r="E296" s="764"/>
    </row>
    <row r="297" spans="1:5">
      <c r="A297" s="765"/>
      <c r="B297" s="763"/>
      <c r="C297" s="763"/>
      <c r="D297" s="764"/>
      <c r="E297" s="764"/>
    </row>
    <row r="298" spans="1:5">
      <c r="A298" s="765"/>
      <c r="B298" s="763"/>
      <c r="C298" s="763"/>
      <c r="D298" s="764"/>
      <c r="E298" s="764"/>
    </row>
    <row r="299" spans="1:5">
      <c r="A299" s="765"/>
      <c r="B299" s="763"/>
      <c r="C299" s="763"/>
      <c r="D299" s="764"/>
      <c r="E299" s="764"/>
    </row>
    <row r="300" spans="1:5">
      <c r="A300" s="765"/>
      <c r="B300" s="763"/>
      <c r="C300" s="763"/>
      <c r="D300" s="764"/>
      <c r="E300" s="764"/>
    </row>
    <row r="301" spans="1:5">
      <c r="A301" s="765"/>
      <c r="B301" s="763"/>
      <c r="C301" s="763"/>
      <c r="D301" s="764"/>
      <c r="E301" s="764"/>
    </row>
    <row r="302" spans="1:5">
      <c r="A302" s="765"/>
      <c r="B302" s="763"/>
      <c r="C302" s="763"/>
      <c r="D302" s="764"/>
      <c r="E302" s="764"/>
    </row>
    <row r="303" spans="1:5">
      <c r="A303" s="765"/>
      <c r="B303" s="763"/>
      <c r="C303" s="763"/>
      <c r="D303" s="764"/>
      <c r="E303" s="764"/>
    </row>
    <row r="304" spans="1:5">
      <c r="A304" s="765"/>
      <c r="B304" s="763"/>
      <c r="C304" s="763"/>
      <c r="D304" s="764"/>
      <c r="E304" s="764"/>
    </row>
    <row r="305" spans="1:5">
      <c r="A305" s="765"/>
      <c r="B305" s="763"/>
      <c r="C305" s="763"/>
      <c r="D305" s="764"/>
      <c r="E305" s="764"/>
    </row>
    <row r="306" spans="1:5">
      <c r="A306" s="765"/>
      <c r="B306" s="763"/>
      <c r="C306" s="763"/>
      <c r="D306" s="764"/>
      <c r="E306" s="764"/>
    </row>
    <row r="307" spans="1:5">
      <c r="A307" s="765"/>
      <c r="B307" s="763"/>
      <c r="C307" s="763"/>
      <c r="D307" s="764"/>
      <c r="E307" s="764"/>
    </row>
    <row r="308" spans="1:5">
      <c r="A308" s="765"/>
      <c r="B308" s="763"/>
      <c r="C308" s="763"/>
      <c r="D308" s="764"/>
      <c r="E308" s="764"/>
    </row>
    <row r="309" spans="1:5">
      <c r="A309" s="765"/>
      <c r="B309" s="763"/>
      <c r="C309" s="763"/>
      <c r="D309" s="764"/>
      <c r="E309" s="764"/>
    </row>
    <row r="310" spans="1:5">
      <c r="A310" s="765"/>
      <c r="B310" s="763"/>
      <c r="C310" s="763"/>
      <c r="D310" s="764"/>
      <c r="E310" s="764"/>
    </row>
    <row r="311" spans="1:5">
      <c r="A311" s="765"/>
      <c r="B311" s="763"/>
      <c r="C311" s="763"/>
      <c r="D311" s="764"/>
      <c r="E311" s="764"/>
    </row>
    <row r="312" spans="1:5">
      <c r="A312" s="765"/>
      <c r="B312" s="763"/>
      <c r="C312" s="763"/>
      <c r="D312" s="764"/>
      <c r="E312" s="764"/>
    </row>
    <row r="313" spans="1:5">
      <c r="A313" s="765"/>
      <c r="B313" s="763"/>
      <c r="C313" s="763"/>
      <c r="D313" s="764"/>
      <c r="E313" s="764"/>
    </row>
    <row r="314" spans="1:5">
      <c r="A314" s="765"/>
      <c r="B314" s="763"/>
      <c r="C314" s="763"/>
      <c r="D314" s="764"/>
      <c r="E314" s="764"/>
    </row>
    <row r="315" spans="1:5">
      <c r="A315" s="765"/>
      <c r="B315" s="763"/>
      <c r="C315" s="763"/>
      <c r="D315" s="764"/>
      <c r="E315" s="764"/>
    </row>
    <row r="316" spans="1:5">
      <c r="A316" s="765"/>
      <c r="B316" s="763"/>
      <c r="C316" s="763"/>
      <c r="D316" s="764"/>
      <c r="E316" s="764"/>
    </row>
    <row r="317" spans="1:5">
      <c r="A317" s="765"/>
      <c r="B317" s="763"/>
      <c r="C317" s="763"/>
      <c r="D317" s="764"/>
      <c r="E317" s="764"/>
    </row>
    <row r="318" spans="1:5">
      <c r="A318" s="765"/>
      <c r="B318" s="763"/>
      <c r="C318" s="763"/>
      <c r="D318" s="764"/>
      <c r="E318" s="764"/>
    </row>
    <row r="319" spans="1:5">
      <c r="A319" s="765"/>
      <c r="B319" s="763"/>
      <c r="C319" s="763"/>
      <c r="D319" s="764"/>
      <c r="E319" s="764"/>
    </row>
    <row r="320" spans="1:5">
      <c r="A320" s="765"/>
      <c r="B320" s="763"/>
      <c r="C320" s="763"/>
      <c r="D320" s="764"/>
      <c r="E320" s="764"/>
    </row>
    <row r="321" spans="1:5">
      <c r="A321" s="765"/>
      <c r="B321" s="763"/>
      <c r="C321" s="763"/>
      <c r="D321" s="764"/>
      <c r="E321" s="764"/>
    </row>
    <row r="322" spans="1:5">
      <c r="A322" s="765"/>
      <c r="B322" s="763"/>
      <c r="C322" s="763"/>
      <c r="D322" s="764"/>
      <c r="E322" s="764"/>
    </row>
    <row r="323" spans="1:5">
      <c r="A323" s="765"/>
      <c r="B323" s="763"/>
      <c r="C323" s="763"/>
      <c r="D323" s="764"/>
      <c r="E323" s="764"/>
    </row>
    <row r="324" spans="1:5">
      <c r="A324" s="765"/>
      <c r="B324" s="763"/>
      <c r="C324" s="763"/>
      <c r="D324" s="764"/>
      <c r="E324" s="764"/>
    </row>
    <row r="325" spans="1:5">
      <c r="A325" s="765"/>
      <c r="B325" s="763"/>
      <c r="C325" s="763"/>
      <c r="D325" s="764"/>
      <c r="E325" s="764"/>
    </row>
    <row r="326" spans="1:5">
      <c r="A326" s="765"/>
      <c r="B326" s="763"/>
      <c r="C326" s="763"/>
      <c r="D326" s="764"/>
      <c r="E326" s="764"/>
    </row>
    <row r="327" spans="1:5">
      <c r="A327" s="765"/>
      <c r="B327" s="763"/>
      <c r="C327" s="763"/>
      <c r="D327" s="764"/>
      <c r="E327" s="764"/>
    </row>
    <row r="328" spans="1:5">
      <c r="A328" s="765"/>
      <c r="B328" s="763"/>
      <c r="C328" s="763"/>
      <c r="D328" s="764"/>
      <c r="E328" s="764"/>
    </row>
    <row r="329" spans="1:5">
      <c r="A329" s="765"/>
      <c r="B329" s="763"/>
      <c r="C329" s="763"/>
      <c r="D329" s="764"/>
      <c r="E329" s="764"/>
    </row>
    <row r="330" spans="1:5">
      <c r="A330" s="765"/>
      <c r="B330" s="763"/>
      <c r="C330" s="763"/>
      <c r="D330" s="764"/>
      <c r="E330" s="764"/>
    </row>
    <row r="331" spans="1:5">
      <c r="A331" s="765"/>
      <c r="B331" s="763"/>
      <c r="C331" s="763"/>
      <c r="D331" s="764"/>
      <c r="E331" s="764"/>
    </row>
    <row r="332" spans="1:5">
      <c r="A332" s="765"/>
      <c r="B332" s="763"/>
      <c r="C332" s="763"/>
      <c r="D332" s="764"/>
      <c r="E332" s="764"/>
    </row>
    <row r="333" spans="1:5">
      <c r="A333" s="765"/>
      <c r="B333" s="763"/>
      <c r="C333" s="763"/>
      <c r="D333" s="764"/>
      <c r="E333" s="764"/>
    </row>
    <row r="334" spans="1:5">
      <c r="A334" s="765"/>
      <c r="B334" s="763"/>
      <c r="C334" s="763"/>
      <c r="D334" s="764"/>
      <c r="E334" s="764"/>
    </row>
    <row r="335" spans="1:5">
      <c r="A335" s="765"/>
      <c r="B335" s="763"/>
      <c r="C335" s="763"/>
      <c r="D335" s="764"/>
      <c r="E335" s="764"/>
    </row>
    <row r="336" spans="1:5">
      <c r="A336" s="765"/>
      <c r="B336" s="763"/>
      <c r="C336" s="763"/>
      <c r="D336" s="764"/>
      <c r="E336" s="764"/>
    </row>
    <row r="337" spans="1:5">
      <c r="A337" s="765"/>
      <c r="B337" s="763"/>
      <c r="C337" s="763"/>
      <c r="D337" s="764"/>
      <c r="E337" s="764"/>
    </row>
    <row r="338" spans="1:5">
      <c r="A338" s="765"/>
      <c r="B338" s="763"/>
      <c r="C338" s="763"/>
      <c r="D338" s="764"/>
      <c r="E338" s="764"/>
    </row>
    <row r="339" spans="1:5">
      <c r="A339" s="765"/>
      <c r="B339" s="763"/>
      <c r="C339" s="763"/>
      <c r="D339" s="764"/>
      <c r="E339" s="764"/>
    </row>
    <row r="340" spans="1:5">
      <c r="A340" s="765"/>
      <c r="B340" s="763"/>
      <c r="C340" s="763"/>
      <c r="D340" s="764"/>
      <c r="E340" s="764"/>
    </row>
    <row r="341" spans="1:5">
      <c r="A341" s="765"/>
      <c r="B341" s="763"/>
      <c r="C341" s="763"/>
      <c r="D341" s="764"/>
      <c r="E341" s="764"/>
    </row>
    <row r="342" spans="1:5">
      <c r="A342" s="765"/>
      <c r="B342" s="763"/>
      <c r="C342" s="763"/>
      <c r="D342" s="764"/>
      <c r="E342" s="764"/>
    </row>
    <row r="343" spans="1:5">
      <c r="A343" s="765"/>
      <c r="B343" s="763"/>
      <c r="C343" s="763"/>
      <c r="D343" s="764"/>
      <c r="E343" s="764"/>
    </row>
    <row r="344" spans="1:5">
      <c r="A344" s="765"/>
      <c r="B344" s="763"/>
      <c r="C344" s="763"/>
      <c r="D344" s="764"/>
      <c r="E344" s="764"/>
    </row>
    <row r="345" spans="1:5">
      <c r="A345" s="765"/>
      <c r="B345" s="763"/>
      <c r="C345" s="763"/>
      <c r="D345" s="764"/>
      <c r="E345" s="764"/>
    </row>
    <row r="346" spans="1:5">
      <c r="A346" s="765"/>
      <c r="B346" s="763"/>
      <c r="C346" s="763"/>
      <c r="D346" s="764"/>
      <c r="E346" s="764"/>
    </row>
    <row r="347" spans="1:5">
      <c r="A347" s="765"/>
      <c r="B347" s="763"/>
      <c r="C347" s="763"/>
      <c r="D347" s="764"/>
      <c r="E347" s="764"/>
    </row>
    <row r="348" spans="1:5">
      <c r="A348" s="765"/>
      <c r="B348" s="763"/>
      <c r="C348" s="763"/>
      <c r="D348" s="764"/>
      <c r="E348" s="764"/>
    </row>
    <row r="349" spans="1:5">
      <c r="A349" s="765"/>
      <c r="B349" s="763"/>
      <c r="C349" s="763"/>
      <c r="D349" s="764"/>
      <c r="E349" s="764"/>
    </row>
    <row r="350" spans="1:5">
      <c r="A350" s="765"/>
      <c r="B350" s="763"/>
      <c r="C350" s="763"/>
      <c r="D350" s="764"/>
      <c r="E350" s="764"/>
    </row>
    <row r="351" spans="1:5">
      <c r="A351" s="765"/>
      <c r="B351" s="763"/>
      <c r="C351" s="763"/>
      <c r="D351" s="764"/>
      <c r="E351" s="764"/>
    </row>
    <row r="352" spans="1:5">
      <c r="A352" s="765"/>
      <c r="B352" s="763"/>
      <c r="C352" s="763"/>
      <c r="D352" s="764"/>
      <c r="E352" s="764"/>
    </row>
    <row r="353" spans="1:5">
      <c r="A353" s="765"/>
      <c r="B353" s="763"/>
      <c r="C353" s="763"/>
      <c r="D353" s="764"/>
      <c r="E353" s="764"/>
    </row>
    <row r="354" spans="1:5">
      <c r="A354" s="765"/>
      <c r="B354" s="763"/>
      <c r="C354" s="763"/>
      <c r="D354" s="764"/>
      <c r="E354" s="764"/>
    </row>
    <row r="355" spans="1:5">
      <c r="A355" s="765"/>
      <c r="B355" s="763"/>
      <c r="C355" s="763"/>
      <c r="D355" s="764"/>
      <c r="E355" s="764"/>
    </row>
    <row r="356" spans="1:5">
      <c r="A356" s="765"/>
      <c r="B356" s="763"/>
      <c r="C356" s="763"/>
      <c r="D356" s="764"/>
      <c r="E356" s="764"/>
    </row>
    <row r="357" spans="1:5">
      <c r="A357" s="765"/>
      <c r="B357" s="763"/>
      <c r="C357" s="763"/>
      <c r="D357" s="764"/>
      <c r="E357" s="764"/>
    </row>
    <row r="358" spans="1:5">
      <c r="A358" s="765"/>
      <c r="B358" s="763"/>
      <c r="C358" s="763"/>
      <c r="D358" s="764"/>
      <c r="E358" s="764"/>
    </row>
    <row r="359" spans="1:5">
      <c r="A359" s="765"/>
      <c r="B359" s="763"/>
      <c r="C359" s="763"/>
      <c r="D359" s="764"/>
      <c r="E359" s="764"/>
    </row>
    <row r="360" spans="1:5">
      <c r="A360" s="765"/>
      <c r="B360" s="763"/>
      <c r="C360" s="763"/>
      <c r="D360" s="764"/>
      <c r="E360" s="764"/>
    </row>
    <row r="361" spans="1:5">
      <c r="A361" s="765"/>
      <c r="B361" s="763"/>
      <c r="C361" s="763"/>
      <c r="D361" s="764"/>
      <c r="E361" s="764"/>
    </row>
    <row r="362" spans="1:5">
      <c r="A362" s="765"/>
      <c r="B362" s="763"/>
      <c r="C362" s="763"/>
      <c r="D362" s="764"/>
      <c r="E362" s="764"/>
    </row>
    <row r="363" spans="1:5">
      <c r="A363" s="765"/>
      <c r="B363" s="763"/>
      <c r="C363" s="763"/>
      <c r="D363" s="764"/>
      <c r="E363" s="764"/>
    </row>
    <row r="364" spans="1:5">
      <c r="A364" s="765"/>
      <c r="B364" s="763"/>
      <c r="C364" s="763"/>
      <c r="D364" s="764"/>
      <c r="E364" s="764"/>
    </row>
    <row r="365" spans="1:5">
      <c r="A365" s="765"/>
      <c r="B365" s="763"/>
      <c r="C365" s="763"/>
      <c r="D365" s="764"/>
      <c r="E365" s="764"/>
    </row>
    <row r="366" spans="1:5">
      <c r="A366" s="765"/>
      <c r="B366" s="763"/>
      <c r="C366" s="763"/>
      <c r="D366" s="764"/>
      <c r="E366" s="764"/>
    </row>
    <row r="367" spans="1:5">
      <c r="A367" s="765"/>
      <c r="B367" s="763"/>
      <c r="C367" s="763"/>
      <c r="D367" s="764"/>
      <c r="E367" s="764"/>
    </row>
    <row r="368" spans="1:5">
      <c r="A368" s="765"/>
      <c r="B368" s="763"/>
      <c r="C368" s="763"/>
      <c r="D368" s="764"/>
      <c r="E368" s="764"/>
    </row>
    <row r="369" spans="1:5">
      <c r="A369" s="765"/>
      <c r="B369" s="763"/>
      <c r="C369" s="763"/>
      <c r="D369" s="764"/>
      <c r="E369" s="764"/>
    </row>
    <row r="370" spans="1:5">
      <c r="A370" s="765"/>
      <c r="B370" s="763"/>
      <c r="C370" s="763"/>
      <c r="D370" s="764"/>
      <c r="E370" s="764"/>
    </row>
    <row r="371" spans="1:5">
      <c r="A371" s="765"/>
      <c r="B371" s="763"/>
      <c r="C371" s="763"/>
      <c r="D371" s="764"/>
      <c r="E371" s="764"/>
    </row>
    <row r="372" spans="1:5">
      <c r="A372" s="765"/>
      <c r="B372" s="763"/>
      <c r="C372" s="763"/>
      <c r="D372" s="764"/>
      <c r="E372" s="764"/>
    </row>
    <row r="373" spans="1:5">
      <c r="A373" s="765"/>
      <c r="B373" s="763"/>
      <c r="C373" s="763"/>
      <c r="D373" s="764"/>
      <c r="E373" s="764"/>
    </row>
    <row r="374" spans="1:5">
      <c r="A374" s="765"/>
      <c r="B374" s="763"/>
      <c r="C374" s="763"/>
      <c r="D374" s="764"/>
      <c r="E374" s="764"/>
    </row>
    <row r="375" spans="1:5">
      <c r="A375" s="765"/>
      <c r="B375" s="763"/>
      <c r="C375" s="763"/>
      <c r="D375" s="764"/>
      <c r="E375" s="764"/>
    </row>
    <row r="376" spans="1:5">
      <c r="A376" s="765"/>
      <c r="B376" s="763"/>
      <c r="C376" s="763"/>
      <c r="D376" s="764"/>
      <c r="E376" s="764"/>
    </row>
    <row r="377" spans="1:5">
      <c r="A377" s="765"/>
      <c r="B377" s="763"/>
      <c r="C377" s="763"/>
      <c r="D377" s="764"/>
      <c r="E377" s="764"/>
    </row>
    <row r="378" spans="1:5">
      <c r="A378" s="765"/>
      <c r="B378" s="763"/>
      <c r="C378" s="763"/>
      <c r="D378" s="764"/>
      <c r="E378" s="764"/>
    </row>
    <row r="379" spans="1:5">
      <c r="A379" s="765"/>
      <c r="B379" s="763"/>
      <c r="C379" s="763"/>
      <c r="D379" s="764"/>
      <c r="E379" s="764"/>
    </row>
    <row r="380" spans="1:5">
      <c r="A380" s="765"/>
      <c r="B380" s="763"/>
      <c r="C380" s="763"/>
      <c r="D380" s="764"/>
      <c r="E380" s="764"/>
    </row>
    <row r="381" spans="1:5">
      <c r="A381" s="765"/>
      <c r="B381" s="763"/>
      <c r="C381" s="763"/>
      <c r="D381" s="764"/>
      <c r="E381" s="764"/>
    </row>
    <row r="382" spans="1:5">
      <c r="A382" s="765"/>
      <c r="B382" s="763"/>
      <c r="C382" s="763"/>
      <c r="D382" s="764"/>
      <c r="E382" s="764"/>
    </row>
    <row r="383" spans="1:5">
      <c r="A383" s="765"/>
      <c r="B383" s="763"/>
      <c r="C383" s="763"/>
      <c r="D383" s="764"/>
      <c r="E383" s="764"/>
    </row>
    <row r="384" spans="1:5">
      <c r="A384" s="765"/>
      <c r="B384" s="763"/>
      <c r="C384" s="763"/>
      <c r="D384" s="764"/>
      <c r="E384" s="764"/>
    </row>
    <row r="385" spans="1:5">
      <c r="A385" s="765"/>
      <c r="B385" s="763"/>
      <c r="C385" s="763"/>
      <c r="D385" s="764"/>
      <c r="E385" s="764"/>
    </row>
    <row r="386" spans="1:5">
      <c r="A386" s="765"/>
      <c r="B386" s="763"/>
      <c r="C386" s="763"/>
      <c r="D386" s="764"/>
      <c r="E386" s="764"/>
    </row>
    <row r="387" spans="1:5">
      <c r="A387" s="765"/>
      <c r="B387" s="763"/>
      <c r="C387" s="763"/>
      <c r="D387" s="764"/>
      <c r="E387" s="764"/>
    </row>
    <row r="388" spans="1:5">
      <c r="A388" s="765"/>
      <c r="B388" s="763"/>
      <c r="C388" s="763"/>
      <c r="D388" s="764"/>
      <c r="E388" s="764"/>
    </row>
    <row r="389" spans="1:5">
      <c r="A389" s="765"/>
      <c r="B389" s="763"/>
      <c r="C389" s="763"/>
      <c r="D389" s="764"/>
      <c r="E389" s="764"/>
    </row>
    <row r="390" spans="1:5">
      <c r="A390" s="765"/>
      <c r="B390" s="763"/>
      <c r="C390" s="763"/>
      <c r="D390" s="764"/>
      <c r="E390" s="764"/>
    </row>
    <row r="391" spans="1:5">
      <c r="A391" s="765"/>
      <c r="B391" s="763"/>
      <c r="C391" s="763"/>
      <c r="D391" s="764"/>
      <c r="E391" s="764"/>
    </row>
    <row r="392" spans="1:5">
      <c r="A392" s="765"/>
      <c r="B392" s="763"/>
      <c r="C392" s="763"/>
      <c r="D392" s="764"/>
      <c r="E392" s="764"/>
    </row>
    <row r="393" spans="1:5">
      <c r="A393" s="765"/>
      <c r="B393" s="763"/>
      <c r="C393" s="763"/>
      <c r="D393" s="764"/>
      <c r="E393" s="764"/>
    </row>
    <row r="394" spans="1:5">
      <c r="A394" s="765"/>
      <c r="B394" s="763"/>
      <c r="C394" s="763"/>
      <c r="D394" s="764"/>
      <c r="E394" s="764"/>
    </row>
    <row r="395" spans="1:5">
      <c r="A395" s="765"/>
      <c r="B395" s="763"/>
      <c r="C395" s="763"/>
      <c r="D395" s="764"/>
      <c r="E395" s="764"/>
    </row>
    <row r="396" spans="1:5">
      <c r="A396" s="765"/>
      <c r="B396" s="763"/>
      <c r="C396" s="763"/>
      <c r="D396" s="764"/>
      <c r="E396" s="764"/>
    </row>
    <row r="397" spans="1:5">
      <c r="A397" s="765"/>
      <c r="B397" s="763"/>
      <c r="C397" s="763"/>
      <c r="D397" s="764"/>
      <c r="E397" s="764"/>
    </row>
    <row r="398" spans="1:5">
      <c r="A398" s="765"/>
      <c r="B398" s="763"/>
      <c r="C398" s="763"/>
      <c r="D398" s="764"/>
      <c r="E398" s="764"/>
    </row>
    <row r="399" spans="1:5">
      <c r="A399" s="765"/>
      <c r="B399" s="763"/>
      <c r="C399" s="763"/>
      <c r="D399" s="764"/>
      <c r="E399" s="764"/>
    </row>
    <row r="400" spans="1:5">
      <c r="A400" s="765"/>
      <c r="B400" s="763"/>
      <c r="C400" s="763"/>
      <c r="D400" s="764"/>
      <c r="E400" s="764"/>
    </row>
    <row r="401" spans="1:5">
      <c r="A401" s="765"/>
      <c r="B401" s="763"/>
      <c r="C401" s="763"/>
      <c r="D401" s="764"/>
      <c r="E401" s="764"/>
    </row>
    <row r="402" spans="1:5">
      <c r="A402" s="765"/>
      <c r="B402" s="763"/>
      <c r="C402" s="763"/>
      <c r="D402" s="764"/>
      <c r="E402" s="764"/>
    </row>
    <row r="403" spans="1:5">
      <c r="A403" s="765"/>
      <c r="B403" s="763"/>
      <c r="C403" s="763"/>
      <c r="D403" s="764"/>
      <c r="E403" s="764"/>
    </row>
    <row r="404" spans="1:5">
      <c r="A404" s="765"/>
      <c r="B404" s="763"/>
      <c r="C404" s="763"/>
      <c r="D404" s="764"/>
      <c r="E404" s="764"/>
    </row>
    <row r="405" spans="1:5">
      <c r="A405" s="765"/>
      <c r="B405" s="763"/>
      <c r="C405" s="763"/>
      <c r="D405" s="764"/>
      <c r="E405" s="764"/>
    </row>
    <row r="406" spans="1:5">
      <c r="A406" s="765"/>
      <c r="B406" s="763"/>
      <c r="C406" s="763"/>
      <c r="D406" s="764"/>
      <c r="E406" s="764"/>
    </row>
    <row r="407" spans="1:5">
      <c r="A407" s="765"/>
      <c r="B407" s="763"/>
      <c r="C407" s="763"/>
      <c r="D407" s="764"/>
      <c r="E407" s="764"/>
    </row>
    <row r="408" spans="1:5">
      <c r="A408" s="765"/>
      <c r="B408" s="763"/>
      <c r="C408" s="763"/>
      <c r="D408" s="764"/>
      <c r="E408" s="764"/>
    </row>
    <row r="409" spans="1:5">
      <c r="A409" s="765"/>
      <c r="B409" s="763"/>
      <c r="C409" s="763"/>
      <c r="D409" s="764"/>
      <c r="E409" s="764"/>
    </row>
    <row r="410" spans="1:5">
      <c r="A410" s="765"/>
      <c r="B410" s="763"/>
      <c r="C410" s="763"/>
      <c r="D410" s="764"/>
      <c r="E410" s="764"/>
    </row>
    <row r="411" spans="1:5">
      <c r="A411" s="765"/>
      <c r="B411" s="763"/>
      <c r="C411" s="763"/>
      <c r="D411" s="764"/>
      <c r="E411" s="764"/>
    </row>
    <row r="412" spans="1:5">
      <c r="A412" s="765"/>
      <c r="B412" s="763"/>
      <c r="C412" s="763"/>
      <c r="D412" s="764"/>
      <c r="E412" s="764"/>
    </row>
    <row r="413" spans="1:5">
      <c r="A413" s="765"/>
      <c r="B413" s="763"/>
      <c r="C413" s="763"/>
      <c r="D413" s="764"/>
      <c r="E413" s="764"/>
    </row>
    <row r="414" spans="1:5">
      <c r="A414" s="765"/>
      <c r="B414" s="763"/>
      <c r="C414" s="763"/>
      <c r="D414" s="764"/>
      <c r="E414" s="764"/>
    </row>
    <row r="415" spans="1:5">
      <c r="A415" s="765"/>
      <c r="B415" s="763"/>
      <c r="C415" s="763"/>
      <c r="D415" s="764"/>
      <c r="E415" s="764"/>
    </row>
    <row r="416" spans="1:5">
      <c r="A416" s="765"/>
      <c r="B416" s="763"/>
      <c r="C416" s="763"/>
      <c r="D416" s="764"/>
      <c r="E416" s="764"/>
    </row>
    <row r="417" spans="1:5">
      <c r="A417" s="765"/>
      <c r="B417" s="763"/>
      <c r="C417" s="763"/>
      <c r="D417" s="764"/>
      <c r="E417" s="764"/>
    </row>
    <row r="418" spans="1:5">
      <c r="A418" s="765"/>
      <c r="B418" s="763"/>
      <c r="C418" s="763"/>
      <c r="D418" s="764"/>
      <c r="E418" s="764"/>
    </row>
    <row r="419" spans="1:5">
      <c r="A419" s="765"/>
      <c r="B419" s="763"/>
      <c r="C419" s="763"/>
      <c r="D419" s="764"/>
      <c r="E419" s="764"/>
    </row>
    <row r="420" spans="1:5">
      <c r="A420" s="765"/>
      <c r="B420" s="763"/>
      <c r="C420" s="763"/>
      <c r="D420" s="764"/>
      <c r="E420" s="764"/>
    </row>
    <row r="421" spans="1:5">
      <c r="A421" s="765"/>
      <c r="B421" s="763"/>
      <c r="C421" s="763"/>
      <c r="D421" s="764"/>
      <c r="E421" s="764"/>
    </row>
    <row r="422" spans="1:5">
      <c r="A422" s="765"/>
      <c r="B422" s="763"/>
      <c r="C422" s="763"/>
      <c r="D422" s="764"/>
      <c r="E422" s="764"/>
    </row>
    <row r="423" spans="1:5">
      <c r="A423" s="765"/>
      <c r="B423" s="763"/>
      <c r="C423" s="763"/>
      <c r="D423" s="764"/>
      <c r="E423" s="764"/>
    </row>
    <row r="424" spans="1:5">
      <c r="A424" s="765"/>
      <c r="B424" s="763"/>
      <c r="C424" s="763"/>
      <c r="D424" s="764"/>
      <c r="E424" s="764"/>
    </row>
    <row r="425" spans="1:5">
      <c r="A425" s="765"/>
      <c r="B425" s="763"/>
      <c r="C425" s="763"/>
      <c r="D425" s="764"/>
      <c r="E425" s="764"/>
    </row>
    <row r="426" spans="1:5">
      <c r="A426" s="765"/>
      <c r="B426" s="763"/>
      <c r="C426" s="763"/>
      <c r="D426" s="764"/>
      <c r="E426" s="764"/>
    </row>
    <row r="427" spans="1:5">
      <c r="A427" s="765"/>
      <c r="B427" s="763"/>
      <c r="C427" s="763"/>
      <c r="D427" s="764"/>
      <c r="E427" s="764"/>
    </row>
    <row r="428" spans="1:5">
      <c r="A428" s="765"/>
      <c r="B428" s="763"/>
      <c r="C428" s="763"/>
      <c r="D428" s="764"/>
      <c r="E428" s="764"/>
    </row>
    <row r="429" spans="1:5">
      <c r="A429" s="765"/>
      <c r="B429" s="763"/>
      <c r="C429" s="763"/>
      <c r="D429" s="764"/>
      <c r="E429" s="764"/>
    </row>
    <row r="430" spans="1:5">
      <c r="A430" s="765"/>
      <c r="B430" s="763"/>
      <c r="C430" s="763"/>
      <c r="D430" s="764"/>
      <c r="E430" s="764"/>
    </row>
    <row r="431" spans="1:5">
      <c r="A431" s="765"/>
      <c r="B431" s="763"/>
      <c r="C431" s="763"/>
      <c r="D431" s="764"/>
      <c r="E431" s="764"/>
    </row>
    <row r="432" spans="1:5">
      <c r="A432" s="765"/>
      <c r="B432" s="763"/>
      <c r="C432" s="763"/>
      <c r="D432" s="764"/>
      <c r="E432" s="764"/>
    </row>
    <row r="433" spans="1:5">
      <c r="A433" s="765"/>
      <c r="B433" s="763"/>
      <c r="C433" s="763"/>
      <c r="D433" s="764"/>
      <c r="E433" s="764"/>
    </row>
    <row r="434" spans="1:5">
      <c r="A434" s="765"/>
      <c r="B434" s="763"/>
      <c r="C434" s="763"/>
      <c r="D434" s="764"/>
      <c r="E434" s="764"/>
    </row>
    <row r="435" spans="1:5">
      <c r="A435" s="765"/>
      <c r="B435" s="763"/>
      <c r="C435" s="763"/>
      <c r="D435" s="764"/>
      <c r="E435" s="764"/>
    </row>
    <row r="436" spans="1:5">
      <c r="A436" s="765"/>
      <c r="B436" s="763"/>
      <c r="C436" s="763"/>
      <c r="D436" s="764"/>
      <c r="E436" s="764"/>
    </row>
    <row r="437" spans="1:5">
      <c r="A437" s="765"/>
      <c r="B437" s="763"/>
      <c r="C437" s="763"/>
      <c r="D437" s="764"/>
      <c r="E437" s="764"/>
    </row>
    <row r="438" spans="1:5">
      <c r="A438" s="765"/>
      <c r="B438" s="763"/>
      <c r="C438" s="763"/>
      <c r="D438" s="764"/>
      <c r="E438" s="764"/>
    </row>
    <row r="439" spans="1:5">
      <c r="A439" s="765"/>
      <c r="B439" s="763"/>
      <c r="C439" s="763"/>
      <c r="D439" s="764"/>
      <c r="E439" s="764"/>
    </row>
    <row r="440" spans="1:5">
      <c r="A440" s="765"/>
      <c r="B440" s="763"/>
      <c r="C440" s="763"/>
      <c r="D440" s="764"/>
      <c r="E440" s="764"/>
    </row>
    <row r="441" spans="1:5">
      <c r="A441" s="765"/>
      <c r="B441" s="763"/>
      <c r="C441" s="763"/>
      <c r="D441" s="764"/>
      <c r="E441" s="764"/>
    </row>
    <row r="442" spans="1:5">
      <c r="A442" s="765"/>
      <c r="B442" s="763"/>
      <c r="C442" s="763"/>
      <c r="D442" s="764"/>
      <c r="E442" s="764"/>
    </row>
    <row r="443" spans="1:5">
      <c r="A443" s="765"/>
      <c r="B443" s="763"/>
      <c r="C443" s="763"/>
      <c r="D443" s="764"/>
      <c r="E443" s="764"/>
    </row>
    <row r="444" spans="1:5">
      <c r="A444" s="765"/>
      <c r="B444" s="763"/>
      <c r="C444" s="763"/>
      <c r="D444" s="764"/>
      <c r="E444" s="764"/>
    </row>
    <row r="445" spans="1:5">
      <c r="A445" s="765"/>
      <c r="B445" s="763"/>
      <c r="C445" s="763"/>
      <c r="D445" s="764"/>
      <c r="E445" s="764"/>
    </row>
    <row r="446" spans="1:5">
      <c r="A446" s="765"/>
      <c r="B446" s="763"/>
      <c r="C446" s="763"/>
      <c r="D446" s="764"/>
      <c r="E446" s="764"/>
    </row>
    <row r="447" spans="1:5">
      <c r="A447" s="765"/>
      <c r="B447" s="763"/>
      <c r="C447" s="763"/>
      <c r="D447" s="764"/>
      <c r="E447" s="764"/>
    </row>
    <row r="448" spans="1:5">
      <c r="A448" s="765"/>
      <c r="B448" s="763"/>
      <c r="C448" s="763"/>
      <c r="D448" s="764"/>
      <c r="E448" s="764"/>
    </row>
    <row r="449" spans="1:5">
      <c r="A449" s="765"/>
      <c r="B449" s="763"/>
      <c r="C449" s="763"/>
      <c r="D449" s="764"/>
      <c r="E449" s="764"/>
    </row>
    <row r="450" spans="1:5">
      <c r="A450" s="765"/>
      <c r="B450" s="763"/>
      <c r="C450" s="763"/>
      <c r="D450" s="764"/>
      <c r="E450" s="764"/>
    </row>
    <row r="451" spans="1:5">
      <c r="A451" s="765"/>
      <c r="B451" s="763"/>
      <c r="C451" s="763"/>
      <c r="D451" s="764"/>
      <c r="E451" s="764"/>
    </row>
    <row r="452" spans="1:5">
      <c r="A452" s="765"/>
      <c r="B452" s="763"/>
      <c r="C452" s="763"/>
      <c r="D452" s="764"/>
      <c r="E452" s="764"/>
    </row>
    <row r="453" spans="1:5">
      <c r="A453" s="765"/>
      <c r="B453" s="763"/>
      <c r="C453" s="763"/>
      <c r="D453" s="764"/>
      <c r="E453" s="764"/>
    </row>
    <row r="454" spans="1:5">
      <c r="A454" s="765"/>
      <c r="B454" s="763"/>
      <c r="C454" s="763"/>
      <c r="D454" s="764"/>
      <c r="E454" s="764"/>
    </row>
    <row r="455" spans="1:5">
      <c r="A455" s="765"/>
      <c r="B455" s="763"/>
      <c r="C455" s="763"/>
      <c r="D455" s="764"/>
      <c r="E455" s="764"/>
    </row>
    <row r="456" spans="1:5">
      <c r="A456" s="765"/>
      <c r="B456" s="763"/>
      <c r="C456" s="763"/>
      <c r="D456" s="764"/>
      <c r="E456" s="764"/>
    </row>
    <row r="457" spans="1:5">
      <c r="A457" s="765"/>
      <c r="B457" s="763"/>
      <c r="C457" s="763"/>
      <c r="D457" s="764"/>
      <c r="E457" s="764"/>
    </row>
    <row r="458" spans="1:5">
      <c r="A458" s="765"/>
      <c r="B458" s="763"/>
      <c r="C458" s="763"/>
      <c r="D458" s="764"/>
      <c r="E458" s="764"/>
    </row>
    <row r="459" spans="1:5">
      <c r="A459" s="765"/>
      <c r="B459" s="763"/>
      <c r="C459" s="763"/>
      <c r="D459" s="764"/>
      <c r="E459" s="764"/>
    </row>
    <row r="460" spans="1:5">
      <c r="A460" s="765"/>
      <c r="B460" s="763"/>
      <c r="C460" s="763"/>
      <c r="D460" s="764"/>
      <c r="E460" s="764"/>
    </row>
    <row r="461" spans="1:5">
      <c r="A461" s="765"/>
      <c r="B461" s="763"/>
      <c r="C461" s="763"/>
      <c r="D461" s="764"/>
      <c r="E461" s="764"/>
    </row>
    <row r="462" spans="1:5">
      <c r="A462" s="765"/>
      <c r="B462" s="763"/>
      <c r="C462" s="763"/>
      <c r="D462" s="764"/>
      <c r="E462" s="764"/>
    </row>
    <row r="463" spans="1:5">
      <c r="A463" s="765"/>
      <c r="B463" s="763"/>
      <c r="C463" s="763"/>
      <c r="D463" s="764"/>
      <c r="E463" s="764"/>
    </row>
    <row r="464" spans="1:5">
      <c r="A464" s="765"/>
      <c r="B464" s="763"/>
      <c r="C464" s="763"/>
      <c r="D464" s="764"/>
      <c r="E464" s="764"/>
    </row>
    <row r="465" spans="1:5">
      <c r="A465" s="765"/>
      <c r="B465" s="763"/>
      <c r="C465" s="763"/>
      <c r="D465" s="764"/>
      <c r="E465" s="764"/>
    </row>
    <row r="466" spans="1:5">
      <c r="A466" s="765"/>
      <c r="B466" s="763"/>
      <c r="C466" s="763"/>
      <c r="D466" s="764"/>
      <c r="E466" s="764"/>
    </row>
    <row r="467" spans="1:5">
      <c r="A467" s="765"/>
      <c r="B467" s="763"/>
      <c r="C467" s="763"/>
      <c r="D467" s="764"/>
      <c r="E467" s="764"/>
    </row>
    <row r="468" spans="1:5">
      <c r="A468" s="765"/>
      <c r="B468" s="763"/>
      <c r="C468" s="763"/>
      <c r="D468" s="764"/>
      <c r="E468" s="764"/>
    </row>
    <row r="469" spans="1:5">
      <c r="A469" s="765"/>
      <c r="B469" s="763"/>
      <c r="C469" s="763"/>
      <c r="D469" s="764"/>
      <c r="E469" s="764"/>
    </row>
    <row r="470" spans="1:5">
      <c r="A470" s="765"/>
      <c r="B470" s="763"/>
      <c r="C470" s="763"/>
      <c r="D470" s="764"/>
      <c r="E470" s="764"/>
    </row>
    <row r="471" spans="1:5">
      <c r="A471" s="765"/>
      <c r="B471" s="763"/>
      <c r="C471" s="763"/>
      <c r="D471" s="764"/>
      <c r="E471" s="764"/>
    </row>
    <row r="472" spans="1:5">
      <c r="A472" s="765"/>
      <c r="B472" s="763"/>
      <c r="C472" s="763"/>
      <c r="D472" s="764"/>
      <c r="E472" s="764"/>
    </row>
    <row r="473" spans="1:5">
      <c r="A473" s="765"/>
      <c r="B473" s="763"/>
      <c r="C473" s="763"/>
      <c r="D473" s="764"/>
      <c r="E473" s="764"/>
    </row>
    <row r="474" spans="1:5">
      <c r="A474" s="765"/>
      <c r="B474" s="763"/>
      <c r="C474" s="763"/>
      <c r="D474" s="764"/>
      <c r="E474" s="764"/>
    </row>
    <row r="475" spans="1:5">
      <c r="A475" s="765"/>
      <c r="B475" s="763"/>
      <c r="C475" s="763"/>
      <c r="D475" s="764"/>
      <c r="E475" s="764"/>
    </row>
    <row r="476" spans="1:5">
      <c r="A476" s="765"/>
      <c r="B476" s="763"/>
      <c r="C476" s="763"/>
      <c r="D476" s="764"/>
      <c r="E476" s="764"/>
    </row>
    <row r="477" spans="1:5">
      <c r="A477" s="765"/>
      <c r="B477" s="763"/>
      <c r="C477" s="763"/>
      <c r="D477" s="764"/>
      <c r="E477" s="764"/>
    </row>
    <row r="478" spans="1:5">
      <c r="A478" s="765"/>
      <c r="B478" s="763"/>
      <c r="C478" s="763"/>
      <c r="D478" s="764"/>
      <c r="E478" s="764"/>
    </row>
    <row r="479" spans="1:5">
      <c r="A479" s="765"/>
      <c r="B479" s="763"/>
      <c r="C479" s="763"/>
      <c r="D479" s="764"/>
      <c r="E479" s="764"/>
    </row>
    <row r="480" spans="1:5">
      <c r="A480" s="765"/>
      <c r="B480" s="763"/>
      <c r="C480" s="763"/>
      <c r="D480" s="764"/>
      <c r="E480" s="764"/>
    </row>
    <row r="481" spans="1:5">
      <c r="A481" s="765"/>
      <c r="B481" s="763"/>
      <c r="C481" s="763"/>
      <c r="D481" s="764"/>
      <c r="E481" s="764"/>
    </row>
    <row r="482" spans="1:5">
      <c r="A482" s="765"/>
      <c r="B482" s="763"/>
      <c r="C482" s="763"/>
      <c r="D482" s="764"/>
      <c r="E482" s="764"/>
    </row>
    <row r="483" spans="1:5">
      <c r="A483" s="765"/>
      <c r="B483" s="763"/>
      <c r="C483" s="763"/>
      <c r="D483" s="764"/>
      <c r="E483" s="764"/>
    </row>
    <row r="484" spans="1:5">
      <c r="A484" s="765"/>
      <c r="B484" s="763"/>
      <c r="C484" s="763"/>
      <c r="D484" s="764"/>
      <c r="E484" s="764"/>
    </row>
    <row r="485" spans="1:5">
      <c r="A485" s="765"/>
      <c r="B485" s="763"/>
      <c r="C485" s="763"/>
      <c r="D485" s="764"/>
      <c r="E485" s="764"/>
    </row>
    <row r="486" spans="1:5">
      <c r="A486" s="765"/>
      <c r="B486" s="763"/>
      <c r="C486" s="763"/>
      <c r="D486" s="764"/>
      <c r="E486" s="764"/>
    </row>
    <row r="487" spans="1:5">
      <c r="A487" s="765"/>
      <c r="B487" s="763"/>
      <c r="C487" s="763"/>
      <c r="D487" s="764"/>
      <c r="E487" s="764"/>
    </row>
    <row r="488" spans="1:5">
      <c r="A488" s="765"/>
      <c r="B488" s="763"/>
      <c r="C488" s="763"/>
      <c r="D488" s="764"/>
      <c r="E488" s="764"/>
    </row>
    <row r="489" spans="1:5">
      <c r="A489" s="765"/>
      <c r="B489" s="763"/>
      <c r="C489" s="763"/>
      <c r="D489" s="764"/>
      <c r="E489" s="764"/>
    </row>
    <row r="490" spans="1:5">
      <c r="A490" s="765"/>
      <c r="B490" s="763"/>
      <c r="C490" s="763"/>
      <c r="D490" s="764"/>
      <c r="E490" s="764"/>
    </row>
    <row r="491" spans="1:5">
      <c r="A491" s="765"/>
      <c r="B491" s="763"/>
      <c r="C491" s="763"/>
      <c r="D491" s="764"/>
      <c r="E491" s="764"/>
    </row>
    <row r="492" spans="1:5">
      <c r="A492" s="765"/>
      <c r="B492" s="763"/>
      <c r="C492" s="763"/>
      <c r="D492" s="764"/>
      <c r="E492" s="764"/>
    </row>
    <row r="493" spans="1:5">
      <c r="A493" s="765"/>
      <c r="B493" s="763"/>
      <c r="C493" s="763"/>
      <c r="D493" s="764"/>
      <c r="E493" s="764"/>
    </row>
    <row r="494" spans="1:5">
      <c r="A494" s="765"/>
      <c r="B494" s="763"/>
      <c r="C494" s="763"/>
      <c r="D494" s="764"/>
      <c r="E494" s="764"/>
    </row>
    <row r="495" spans="1:5">
      <c r="A495" s="765"/>
      <c r="B495" s="763"/>
      <c r="C495" s="763"/>
      <c r="D495" s="764"/>
      <c r="E495" s="764"/>
    </row>
    <row r="496" spans="1:5">
      <c r="A496" s="765"/>
      <c r="B496" s="763"/>
      <c r="C496" s="763"/>
      <c r="D496" s="764"/>
      <c r="E496" s="764"/>
    </row>
    <row r="497" spans="1:5">
      <c r="A497" s="765"/>
      <c r="B497" s="763"/>
      <c r="C497" s="763"/>
      <c r="D497" s="764"/>
      <c r="E497" s="764"/>
    </row>
    <row r="498" spans="1:5">
      <c r="A498" s="765"/>
      <c r="B498" s="763"/>
      <c r="C498" s="763"/>
      <c r="D498" s="764"/>
      <c r="E498" s="764"/>
    </row>
    <row r="499" spans="1:5">
      <c r="A499" s="765"/>
      <c r="B499" s="763"/>
      <c r="C499" s="763"/>
      <c r="D499" s="764"/>
      <c r="E499" s="764"/>
    </row>
    <row r="500" spans="1:5">
      <c r="A500" s="765"/>
      <c r="B500" s="763"/>
      <c r="C500" s="763"/>
      <c r="D500" s="764"/>
      <c r="E500" s="764"/>
    </row>
    <row r="501" spans="1:5">
      <c r="A501" s="765"/>
      <c r="B501" s="763"/>
      <c r="C501" s="763"/>
      <c r="D501" s="764"/>
      <c r="E501" s="764"/>
    </row>
    <row r="502" spans="1:5">
      <c r="A502" s="765"/>
      <c r="B502" s="763"/>
      <c r="C502" s="763"/>
      <c r="D502" s="764"/>
      <c r="E502" s="764"/>
    </row>
    <row r="503" spans="1:5">
      <c r="A503" s="765"/>
      <c r="B503" s="763"/>
      <c r="C503" s="763"/>
      <c r="D503" s="764"/>
      <c r="E503" s="764"/>
    </row>
    <row r="504" spans="1:5">
      <c r="A504" s="765"/>
      <c r="B504" s="763"/>
      <c r="C504" s="763"/>
      <c r="D504" s="764"/>
      <c r="E504" s="764"/>
    </row>
    <row r="505" spans="1:5">
      <c r="A505" s="765"/>
      <c r="B505" s="763"/>
      <c r="C505" s="763"/>
      <c r="D505" s="764"/>
      <c r="E505" s="764"/>
    </row>
    <row r="506" spans="1:5">
      <c r="A506" s="765"/>
      <c r="B506" s="763"/>
      <c r="C506" s="763"/>
      <c r="D506" s="764"/>
      <c r="E506" s="764"/>
    </row>
    <row r="507" spans="1:5">
      <c r="A507" s="765"/>
      <c r="B507" s="763"/>
      <c r="C507" s="763"/>
      <c r="D507" s="764"/>
      <c r="E507" s="764"/>
    </row>
    <row r="508" spans="1:5">
      <c r="A508" s="765"/>
      <c r="B508" s="763"/>
      <c r="C508" s="763"/>
      <c r="D508" s="764"/>
      <c r="E508" s="764"/>
    </row>
    <row r="509" spans="1:5">
      <c r="A509" s="765"/>
      <c r="B509" s="763"/>
      <c r="C509" s="763"/>
      <c r="D509" s="764"/>
      <c r="E509" s="764"/>
    </row>
    <row r="510" spans="1:5">
      <c r="A510" s="765"/>
      <c r="B510" s="763"/>
      <c r="C510" s="763"/>
      <c r="D510" s="764"/>
      <c r="E510" s="764"/>
    </row>
    <row r="511" spans="1:5">
      <c r="A511" s="765"/>
      <c r="B511" s="763"/>
      <c r="C511" s="763"/>
      <c r="D511" s="764"/>
      <c r="E511" s="764"/>
    </row>
    <row r="512" spans="1:5">
      <c r="A512" s="765"/>
      <c r="B512" s="763"/>
      <c r="C512" s="763"/>
      <c r="D512" s="764"/>
      <c r="E512" s="764"/>
    </row>
    <row r="513" spans="1:5">
      <c r="A513" s="765"/>
      <c r="B513" s="763"/>
      <c r="C513" s="763"/>
      <c r="D513" s="764"/>
      <c r="E513" s="764"/>
    </row>
    <row r="514" spans="1:5">
      <c r="A514" s="765"/>
      <c r="B514" s="763"/>
      <c r="C514" s="763"/>
      <c r="D514" s="764"/>
      <c r="E514" s="764"/>
    </row>
    <row r="515" spans="1:5">
      <c r="A515" s="765"/>
      <c r="B515" s="763"/>
      <c r="C515" s="763"/>
      <c r="D515" s="764"/>
      <c r="E515" s="764"/>
    </row>
    <row r="516" spans="1:5">
      <c r="A516" s="765"/>
      <c r="B516" s="763"/>
      <c r="C516" s="763"/>
      <c r="D516" s="764"/>
      <c r="E516" s="764"/>
    </row>
    <row r="517" spans="1:5">
      <c r="A517" s="765"/>
      <c r="B517" s="763"/>
      <c r="C517" s="763"/>
      <c r="D517" s="764"/>
      <c r="E517" s="764"/>
    </row>
    <row r="518" spans="1:5">
      <c r="A518" s="765"/>
      <c r="B518" s="763"/>
      <c r="C518" s="763"/>
      <c r="D518" s="764"/>
      <c r="E518" s="764"/>
    </row>
    <row r="519" spans="1:5">
      <c r="A519" s="765"/>
      <c r="B519" s="763"/>
      <c r="C519" s="763"/>
      <c r="D519" s="764"/>
      <c r="E519" s="764"/>
    </row>
    <row r="520" spans="1:5">
      <c r="A520" s="765"/>
      <c r="B520" s="763"/>
      <c r="C520" s="763"/>
      <c r="D520" s="764"/>
      <c r="E520" s="764"/>
    </row>
    <row r="521" spans="1:5">
      <c r="A521" s="765"/>
      <c r="B521" s="763"/>
      <c r="C521" s="763"/>
      <c r="D521" s="764"/>
      <c r="E521" s="764"/>
    </row>
    <row r="522" spans="1:5">
      <c r="A522" s="765"/>
      <c r="B522" s="763"/>
      <c r="C522" s="763"/>
      <c r="D522" s="764"/>
      <c r="E522" s="764"/>
    </row>
    <row r="523" spans="1:5">
      <c r="A523" s="765"/>
      <c r="B523" s="763"/>
      <c r="C523" s="763"/>
      <c r="D523" s="764"/>
      <c r="E523" s="764"/>
    </row>
    <row r="524" spans="1:5">
      <c r="A524" s="765"/>
      <c r="B524" s="763"/>
      <c r="C524" s="763"/>
      <c r="D524" s="764"/>
      <c r="E524" s="764"/>
    </row>
    <row r="525" spans="1:5">
      <c r="A525" s="765"/>
      <c r="B525" s="763"/>
      <c r="C525" s="763"/>
      <c r="D525" s="764"/>
      <c r="E525" s="764"/>
    </row>
    <row r="526" spans="1:5">
      <c r="A526" s="765"/>
      <c r="B526" s="763"/>
      <c r="C526" s="763"/>
      <c r="D526" s="764"/>
      <c r="E526" s="764"/>
    </row>
    <row r="527" spans="1:5">
      <c r="A527" s="765"/>
      <c r="B527" s="763"/>
      <c r="C527" s="763"/>
      <c r="D527" s="764"/>
      <c r="E527" s="764"/>
    </row>
    <row r="528" spans="1:5">
      <c r="A528" s="765"/>
      <c r="B528" s="763"/>
      <c r="C528" s="763"/>
      <c r="D528" s="764"/>
      <c r="E528" s="764"/>
    </row>
    <row r="529" spans="1:5">
      <c r="A529" s="765"/>
      <c r="B529" s="763"/>
      <c r="C529" s="763"/>
      <c r="D529" s="764"/>
      <c r="E529" s="764"/>
    </row>
    <row r="530" spans="1:5">
      <c r="A530" s="765"/>
      <c r="B530" s="763"/>
      <c r="C530" s="763"/>
      <c r="D530" s="764"/>
      <c r="E530" s="764"/>
    </row>
    <row r="531" spans="1:5">
      <c r="A531" s="765"/>
      <c r="B531" s="763"/>
      <c r="C531" s="763"/>
      <c r="D531" s="764"/>
      <c r="E531" s="764"/>
    </row>
    <row r="532" spans="1:5">
      <c r="A532" s="765"/>
      <c r="B532" s="763"/>
      <c r="C532" s="763"/>
      <c r="D532" s="764"/>
      <c r="E532" s="764"/>
    </row>
    <row r="533" spans="1:5">
      <c r="A533" s="765"/>
      <c r="B533" s="763"/>
      <c r="C533" s="763"/>
      <c r="D533" s="764"/>
      <c r="E533" s="764"/>
    </row>
    <row r="534" spans="1:5">
      <c r="A534" s="765"/>
      <c r="B534" s="763"/>
      <c r="C534" s="763"/>
      <c r="D534" s="764"/>
      <c r="E534" s="764"/>
    </row>
    <row r="535" spans="1:5">
      <c r="A535" s="765"/>
      <c r="B535" s="763"/>
      <c r="C535" s="763"/>
      <c r="D535" s="764"/>
      <c r="E535" s="764"/>
    </row>
    <row r="536" spans="1:5">
      <c r="A536" s="765"/>
      <c r="B536" s="763"/>
      <c r="C536" s="763"/>
      <c r="D536" s="764"/>
      <c r="E536" s="764"/>
    </row>
    <row r="537" spans="1:5">
      <c r="A537" s="765"/>
      <c r="B537" s="763"/>
      <c r="C537" s="763"/>
      <c r="D537" s="764"/>
      <c r="E537" s="764"/>
    </row>
    <row r="538" spans="1:5">
      <c r="A538" s="765"/>
      <c r="B538" s="763"/>
      <c r="C538" s="763"/>
      <c r="D538" s="764"/>
      <c r="E538" s="764"/>
    </row>
    <row r="539" spans="1:5">
      <c r="A539" s="765"/>
      <c r="B539" s="763"/>
      <c r="C539" s="763"/>
      <c r="D539" s="764"/>
      <c r="E539" s="764"/>
    </row>
    <row r="540" spans="1:5">
      <c r="A540" s="765"/>
      <c r="B540" s="763"/>
      <c r="C540" s="763"/>
      <c r="D540" s="764"/>
      <c r="E540" s="764"/>
    </row>
    <row r="541" spans="1:5">
      <c r="A541" s="765"/>
      <c r="B541" s="763"/>
      <c r="C541" s="763"/>
      <c r="D541" s="764"/>
      <c r="E541" s="764"/>
    </row>
    <row r="542" spans="1:5">
      <c r="A542" s="765"/>
      <c r="B542" s="763"/>
      <c r="C542" s="763"/>
      <c r="D542" s="764"/>
      <c r="E542" s="764"/>
    </row>
    <row r="543" spans="1:5">
      <c r="A543" s="765"/>
      <c r="B543" s="763"/>
      <c r="C543" s="763"/>
      <c r="D543" s="764"/>
      <c r="E543" s="764"/>
    </row>
    <row r="544" spans="1:5">
      <c r="A544" s="765"/>
      <c r="B544" s="763"/>
      <c r="C544" s="763"/>
      <c r="D544" s="764"/>
      <c r="E544" s="764"/>
    </row>
    <row r="545" spans="1:5">
      <c r="A545" s="765"/>
      <c r="B545" s="763"/>
      <c r="C545" s="763"/>
      <c r="D545" s="764"/>
      <c r="E545" s="764"/>
    </row>
    <row r="546" spans="1:5">
      <c r="A546" s="765"/>
      <c r="B546" s="763"/>
      <c r="C546" s="763"/>
      <c r="D546" s="764"/>
      <c r="E546" s="764"/>
    </row>
    <row r="547" spans="1:5">
      <c r="A547" s="765"/>
      <c r="B547" s="763"/>
      <c r="C547" s="763"/>
      <c r="D547" s="764"/>
      <c r="E547" s="764"/>
    </row>
    <row r="548" spans="1:5">
      <c r="A548" s="765"/>
      <c r="B548" s="763"/>
      <c r="C548" s="763"/>
      <c r="D548" s="764"/>
      <c r="E548" s="764"/>
    </row>
    <row r="549" spans="1:5">
      <c r="A549" s="765"/>
      <c r="B549" s="763"/>
      <c r="C549" s="763"/>
      <c r="D549" s="764"/>
      <c r="E549" s="764"/>
    </row>
    <row r="550" spans="1:5">
      <c r="A550" s="765"/>
      <c r="B550" s="763"/>
      <c r="C550" s="763"/>
      <c r="D550" s="764"/>
      <c r="E550" s="764"/>
    </row>
    <row r="551" spans="1:5">
      <c r="A551" s="765"/>
      <c r="B551" s="763"/>
      <c r="C551" s="763"/>
      <c r="D551" s="764"/>
      <c r="E551" s="764"/>
    </row>
    <row r="552" spans="1:5">
      <c r="A552" s="765"/>
      <c r="B552" s="763"/>
      <c r="C552" s="763"/>
      <c r="D552" s="764"/>
      <c r="E552" s="764"/>
    </row>
    <row r="553" spans="1:5">
      <c r="A553" s="765"/>
      <c r="B553" s="763"/>
      <c r="C553" s="763"/>
      <c r="D553" s="764"/>
      <c r="E553" s="764"/>
    </row>
    <row r="554" spans="1:5">
      <c r="A554" s="765"/>
      <c r="B554" s="763"/>
      <c r="C554" s="763"/>
      <c r="D554" s="764"/>
      <c r="E554" s="764"/>
    </row>
    <row r="555" spans="1:5">
      <c r="A555" s="765"/>
      <c r="B555" s="763"/>
      <c r="C555" s="763"/>
      <c r="D555" s="764"/>
      <c r="E555" s="764"/>
    </row>
    <row r="556" spans="1:5">
      <c r="A556" s="765"/>
      <c r="B556" s="763"/>
      <c r="C556" s="763"/>
      <c r="D556" s="764"/>
      <c r="E556" s="764"/>
    </row>
    <row r="557" spans="1:5">
      <c r="A557" s="765"/>
      <c r="B557" s="763"/>
      <c r="C557" s="763"/>
      <c r="D557" s="764"/>
      <c r="E557" s="764"/>
    </row>
    <row r="558" spans="1:5">
      <c r="A558" s="765"/>
      <c r="B558" s="763"/>
      <c r="C558" s="763"/>
      <c r="D558" s="764"/>
      <c r="E558" s="764"/>
    </row>
    <row r="559" spans="1:5">
      <c r="A559" s="765"/>
      <c r="B559" s="763"/>
      <c r="C559" s="763"/>
      <c r="D559" s="764"/>
      <c r="E559" s="764"/>
    </row>
    <row r="560" spans="1:5">
      <c r="A560" s="765"/>
      <c r="B560" s="763"/>
      <c r="C560" s="763"/>
      <c r="D560" s="764"/>
      <c r="E560" s="764"/>
    </row>
    <row r="561" spans="1:5">
      <c r="A561" s="765"/>
      <c r="B561" s="763"/>
      <c r="C561" s="763"/>
      <c r="D561" s="764"/>
      <c r="E561" s="764"/>
    </row>
    <row r="562" spans="1:5">
      <c r="A562" s="765"/>
      <c r="B562" s="763"/>
      <c r="C562" s="763"/>
      <c r="D562" s="764"/>
      <c r="E562" s="764"/>
    </row>
    <row r="563" spans="1:5">
      <c r="A563" s="765"/>
      <c r="B563" s="763"/>
      <c r="C563" s="763"/>
      <c r="D563" s="764"/>
      <c r="E563" s="764"/>
    </row>
    <row r="564" spans="1:5">
      <c r="A564" s="765"/>
      <c r="B564" s="763"/>
      <c r="C564" s="763"/>
      <c r="D564" s="764"/>
      <c r="E564" s="764"/>
    </row>
    <row r="565" spans="1:5">
      <c r="A565" s="765"/>
      <c r="B565" s="763"/>
      <c r="C565" s="763"/>
      <c r="D565" s="764"/>
      <c r="E565" s="764"/>
    </row>
    <row r="566" spans="1:5">
      <c r="A566" s="765"/>
      <c r="B566" s="763"/>
      <c r="C566" s="763"/>
      <c r="D566" s="764"/>
      <c r="E566" s="764"/>
    </row>
    <row r="567" spans="1:5">
      <c r="A567" s="765"/>
      <c r="B567" s="763"/>
      <c r="C567" s="763"/>
      <c r="D567" s="764"/>
      <c r="E567" s="764"/>
    </row>
    <row r="568" spans="1:5">
      <c r="A568" s="765"/>
      <c r="B568" s="763"/>
      <c r="C568" s="763"/>
      <c r="D568" s="764"/>
      <c r="E568" s="764"/>
    </row>
    <row r="569" spans="1:5">
      <c r="A569" s="765"/>
      <c r="B569" s="763"/>
      <c r="C569" s="763"/>
      <c r="D569" s="764"/>
      <c r="E569" s="764"/>
    </row>
    <row r="570" spans="1:5">
      <c r="A570" s="765"/>
      <c r="B570" s="763"/>
      <c r="C570" s="763"/>
      <c r="D570" s="764"/>
      <c r="E570" s="764"/>
    </row>
    <row r="571" spans="1:5">
      <c r="A571" s="765"/>
      <c r="B571" s="763"/>
      <c r="C571" s="763"/>
      <c r="D571" s="764"/>
      <c r="E571" s="764"/>
    </row>
    <row r="572" spans="1:5">
      <c r="A572" s="765"/>
      <c r="B572" s="763"/>
      <c r="C572" s="763"/>
      <c r="D572" s="764"/>
      <c r="E572" s="764"/>
    </row>
    <row r="573" spans="1:5">
      <c r="A573" s="765"/>
      <c r="B573" s="763"/>
      <c r="C573" s="763"/>
      <c r="D573" s="764"/>
      <c r="E573" s="764"/>
    </row>
    <row r="574" spans="1:5">
      <c r="A574" s="765"/>
      <c r="B574" s="763"/>
      <c r="C574" s="763"/>
      <c r="D574" s="764"/>
      <c r="E574" s="764"/>
    </row>
    <row r="575" spans="1:5">
      <c r="A575" s="765"/>
      <c r="B575" s="763"/>
      <c r="C575" s="763"/>
      <c r="D575" s="764"/>
      <c r="E575" s="764"/>
    </row>
    <row r="576" spans="1:5">
      <c r="A576" s="765"/>
      <c r="B576" s="763"/>
      <c r="C576" s="763"/>
      <c r="D576" s="764"/>
      <c r="E576" s="764"/>
    </row>
    <row r="577" spans="1:5">
      <c r="A577" s="765"/>
      <c r="B577" s="763"/>
      <c r="C577" s="763"/>
      <c r="D577" s="764"/>
      <c r="E577" s="764"/>
    </row>
    <row r="578" spans="1:5">
      <c r="A578" s="765"/>
      <c r="B578" s="763"/>
      <c r="C578" s="763"/>
      <c r="D578" s="764"/>
      <c r="E578" s="764"/>
    </row>
    <row r="579" spans="1:5">
      <c r="A579" s="765"/>
      <c r="B579" s="763"/>
      <c r="C579" s="763"/>
      <c r="D579" s="764"/>
      <c r="E579" s="764"/>
    </row>
    <row r="580" spans="1:5">
      <c r="A580" s="765"/>
      <c r="B580" s="763"/>
      <c r="C580" s="763"/>
      <c r="D580" s="764"/>
      <c r="E580" s="764"/>
    </row>
    <row r="581" spans="1:5">
      <c r="A581" s="765"/>
      <c r="B581" s="763"/>
      <c r="C581" s="763"/>
      <c r="D581" s="764"/>
      <c r="E581" s="764"/>
    </row>
    <row r="582" spans="1:5">
      <c r="A582" s="765"/>
      <c r="B582" s="763"/>
      <c r="C582" s="763"/>
      <c r="D582" s="764"/>
      <c r="E582" s="764"/>
    </row>
    <row r="583" spans="1:5">
      <c r="A583" s="765"/>
      <c r="B583" s="763"/>
      <c r="C583" s="763"/>
      <c r="D583" s="764"/>
      <c r="E583" s="764"/>
    </row>
    <row r="584" spans="1:5">
      <c r="A584" s="765"/>
      <c r="B584" s="763"/>
      <c r="C584" s="763"/>
      <c r="D584" s="764"/>
      <c r="E584" s="764"/>
    </row>
    <row r="585" spans="1:5">
      <c r="A585" s="765"/>
      <c r="B585" s="763"/>
      <c r="C585" s="763"/>
      <c r="D585" s="764"/>
      <c r="E585" s="764"/>
    </row>
    <row r="586" spans="1:5">
      <c r="A586" s="765"/>
      <c r="B586" s="763"/>
      <c r="C586" s="763"/>
      <c r="D586" s="764"/>
      <c r="E586" s="764"/>
    </row>
    <row r="587" spans="1:5">
      <c r="A587" s="765"/>
      <c r="B587" s="763"/>
      <c r="C587" s="763"/>
      <c r="D587" s="764"/>
      <c r="E587" s="764"/>
    </row>
    <row r="588" spans="1:5">
      <c r="A588" s="765"/>
      <c r="B588" s="763"/>
      <c r="C588" s="763"/>
      <c r="D588" s="764"/>
      <c r="E588" s="764"/>
    </row>
    <row r="589" spans="1:5">
      <c r="A589" s="765"/>
      <c r="B589" s="763"/>
      <c r="C589" s="763"/>
      <c r="D589" s="764"/>
      <c r="E589" s="764"/>
    </row>
    <row r="590" spans="1:5">
      <c r="A590" s="765"/>
      <c r="B590" s="763"/>
      <c r="C590" s="763"/>
      <c r="D590" s="764"/>
      <c r="E590" s="764"/>
    </row>
    <row r="591" spans="1:5">
      <c r="A591" s="765"/>
      <c r="B591" s="763"/>
      <c r="C591" s="763"/>
      <c r="D591" s="764"/>
      <c r="E591" s="764"/>
    </row>
    <row r="592" spans="1:5">
      <c r="A592" s="765"/>
      <c r="B592" s="763"/>
      <c r="C592" s="763"/>
      <c r="D592" s="764"/>
      <c r="E592" s="764"/>
    </row>
    <row r="593" spans="1:5">
      <c r="A593" s="765"/>
      <c r="B593" s="763"/>
      <c r="C593" s="763"/>
      <c r="D593" s="764"/>
      <c r="E593" s="764"/>
    </row>
    <row r="594" spans="1:5">
      <c r="A594" s="765"/>
      <c r="B594" s="763"/>
      <c r="C594" s="763"/>
      <c r="D594" s="764"/>
      <c r="E594" s="764"/>
    </row>
    <row r="595" spans="1:5">
      <c r="A595" s="765"/>
      <c r="B595" s="763"/>
      <c r="C595" s="763"/>
      <c r="D595" s="764"/>
      <c r="E595" s="764"/>
    </row>
    <row r="596" spans="1:5">
      <c r="A596" s="765"/>
      <c r="B596" s="763"/>
      <c r="C596" s="763"/>
      <c r="D596" s="764"/>
      <c r="E596" s="764"/>
    </row>
    <row r="597" spans="1:5">
      <c r="A597" s="765"/>
      <c r="B597" s="763"/>
      <c r="C597" s="763"/>
      <c r="D597" s="764"/>
      <c r="E597" s="764"/>
    </row>
    <row r="598" spans="1:5">
      <c r="A598" s="765"/>
      <c r="B598" s="763"/>
      <c r="C598" s="763"/>
      <c r="D598" s="764"/>
      <c r="E598" s="764"/>
    </row>
    <row r="599" spans="1:5">
      <c r="A599" s="765"/>
      <c r="B599" s="763"/>
      <c r="C599" s="763"/>
      <c r="D599" s="764"/>
      <c r="E599" s="764"/>
    </row>
    <row r="600" spans="1:5">
      <c r="A600" s="765"/>
      <c r="B600" s="763"/>
      <c r="C600" s="763"/>
      <c r="D600" s="764"/>
      <c r="E600" s="764"/>
    </row>
    <row r="601" spans="1:5">
      <c r="A601" s="765"/>
      <c r="B601" s="763"/>
      <c r="C601" s="763"/>
      <c r="D601" s="764"/>
      <c r="E601" s="764"/>
    </row>
    <row r="602" spans="1:5">
      <c r="A602" s="765"/>
      <c r="B602" s="763"/>
      <c r="C602" s="763"/>
      <c r="D602" s="764"/>
      <c r="E602" s="764"/>
    </row>
    <row r="603" spans="1:5">
      <c r="A603" s="765"/>
      <c r="B603" s="763"/>
      <c r="C603" s="763"/>
      <c r="D603" s="764"/>
      <c r="E603" s="764"/>
    </row>
    <row r="604" spans="1:5">
      <c r="A604" s="765"/>
      <c r="B604" s="763"/>
      <c r="C604" s="763"/>
      <c r="D604" s="764"/>
      <c r="E604" s="764"/>
    </row>
    <row r="605" spans="1:5">
      <c r="A605" s="765"/>
      <c r="B605" s="763"/>
      <c r="C605" s="763"/>
      <c r="D605" s="764"/>
      <c r="E605" s="764"/>
    </row>
    <row r="606" spans="1:5">
      <c r="A606" s="765"/>
      <c r="B606" s="763"/>
      <c r="C606" s="763"/>
      <c r="D606" s="764"/>
      <c r="E606" s="764"/>
    </row>
    <row r="607" spans="1:5">
      <c r="A607" s="765"/>
      <c r="B607" s="763"/>
      <c r="C607" s="763"/>
      <c r="D607" s="764"/>
      <c r="E607" s="764"/>
    </row>
    <row r="608" spans="1:5">
      <c r="A608" s="765"/>
      <c r="B608" s="763"/>
      <c r="C608" s="763"/>
      <c r="D608" s="764"/>
      <c r="E608" s="764"/>
    </row>
    <row r="609" spans="1:5">
      <c r="A609" s="765"/>
      <c r="B609" s="763"/>
      <c r="C609" s="763"/>
      <c r="D609" s="764"/>
      <c r="E609" s="764"/>
    </row>
    <row r="610" spans="1:5">
      <c r="A610" s="765"/>
      <c r="B610" s="763"/>
      <c r="C610" s="763"/>
      <c r="D610" s="764"/>
      <c r="E610" s="764"/>
    </row>
    <row r="611" spans="1:5">
      <c r="A611" s="765"/>
      <c r="B611" s="763"/>
      <c r="C611" s="763"/>
      <c r="D611" s="764"/>
      <c r="E611" s="764"/>
    </row>
    <row r="612" spans="1:5">
      <c r="A612" s="765"/>
      <c r="B612" s="763"/>
      <c r="C612" s="763"/>
      <c r="D612" s="764"/>
      <c r="E612" s="764"/>
    </row>
    <row r="613" spans="1:5">
      <c r="A613" s="765"/>
      <c r="B613" s="763"/>
      <c r="C613" s="763"/>
      <c r="D613" s="764"/>
      <c r="E613" s="764"/>
    </row>
    <row r="614" spans="1:5">
      <c r="A614" s="765"/>
      <c r="B614" s="763"/>
      <c r="C614" s="763"/>
      <c r="D614" s="764"/>
      <c r="E614" s="764"/>
    </row>
    <row r="615" spans="1:5">
      <c r="A615" s="765"/>
      <c r="B615" s="763"/>
      <c r="C615" s="763"/>
      <c r="D615" s="764"/>
      <c r="E615" s="764"/>
    </row>
    <row r="616" spans="1:5">
      <c r="A616" s="765"/>
      <c r="B616" s="763"/>
      <c r="C616" s="763"/>
      <c r="D616" s="764"/>
      <c r="E616" s="764"/>
    </row>
    <row r="617" spans="1:5">
      <c r="A617" s="765"/>
      <c r="B617" s="763"/>
      <c r="C617" s="763"/>
      <c r="D617" s="764"/>
      <c r="E617" s="764"/>
    </row>
    <row r="618" spans="1:5">
      <c r="A618" s="765"/>
      <c r="B618" s="763"/>
      <c r="C618" s="763"/>
      <c r="D618" s="764"/>
      <c r="E618" s="764"/>
    </row>
    <row r="619" spans="1:5">
      <c r="A619" s="765"/>
      <c r="B619" s="763"/>
      <c r="C619" s="763"/>
      <c r="D619" s="764"/>
      <c r="E619" s="764"/>
    </row>
    <row r="620" spans="1:5">
      <c r="A620" s="765"/>
      <c r="B620" s="763"/>
      <c r="C620" s="763"/>
      <c r="D620" s="764"/>
      <c r="E620" s="764"/>
    </row>
    <row r="621" spans="1:5">
      <c r="A621" s="765"/>
      <c r="B621" s="763"/>
      <c r="C621" s="763"/>
      <c r="D621" s="764"/>
      <c r="E621" s="764"/>
    </row>
    <row r="622" spans="1:5">
      <c r="A622" s="765"/>
      <c r="B622" s="763"/>
      <c r="C622" s="763"/>
      <c r="D622" s="764"/>
      <c r="E622" s="764"/>
    </row>
    <row r="623" spans="1:5">
      <c r="A623" s="765"/>
      <c r="B623" s="763"/>
      <c r="C623" s="763"/>
      <c r="D623" s="764"/>
      <c r="E623" s="764"/>
    </row>
    <row r="624" spans="1:5">
      <c r="A624" s="765"/>
      <c r="B624" s="763"/>
      <c r="C624" s="763"/>
      <c r="D624" s="764"/>
      <c r="E624" s="764"/>
    </row>
    <row r="625" spans="1:5">
      <c r="A625" s="765"/>
      <c r="B625" s="763"/>
      <c r="C625" s="763"/>
      <c r="D625" s="764"/>
      <c r="E625" s="764"/>
    </row>
    <row r="626" spans="1:5">
      <c r="A626" s="765"/>
      <c r="B626" s="763"/>
      <c r="C626" s="763"/>
      <c r="D626" s="764"/>
      <c r="E626" s="764"/>
    </row>
    <row r="627" spans="1:5">
      <c r="A627" s="765"/>
      <c r="B627" s="763"/>
      <c r="C627" s="763"/>
      <c r="D627" s="764"/>
      <c r="E627" s="764"/>
    </row>
    <row r="628" spans="1:5">
      <c r="A628" s="765"/>
      <c r="B628" s="763"/>
      <c r="C628" s="763"/>
      <c r="D628" s="764"/>
      <c r="E628" s="764"/>
    </row>
    <row r="629" spans="1:5">
      <c r="A629" s="765"/>
      <c r="B629" s="763"/>
      <c r="C629" s="763"/>
      <c r="D629" s="764"/>
      <c r="E629" s="764"/>
    </row>
    <row r="630" spans="1:5">
      <c r="A630" s="765"/>
      <c r="B630" s="763"/>
      <c r="C630" s="763"/>
      <c r="D630" s="764"/>
      <c r="E630" s="764"/>
    </row>
    <row r="631" spans="1:5">
      <c r="A631" s="765"/>
      <c r="B631" s="763"/>
      <c r="C631" s="763"/>
      <c r="D631" s="764"/>
      <c r="E631" s="764"/>
    </row>
    <row r="632" spans="1:5">
      <c r="A632" s="765"/>
      <c r="B632" s="763"/>
      <c r="C632" s="763"/>
      <c r="D632" s="764"/>
      <c r="E632" s="764"/>
    </row>
    <row r="633" spans="1:5">
      <c r="A633" s="765"/>
      <c r="B633" s="763"/>
      <c r="C633" s="763"/>
      <c r="D633" s="764"/>
      <c r="E633" s="764"/>
    </row>
    <row r="634" spans="1:5">
      <c r="A634" s="765"/>
      <c r="B634" s="763"/>
      <c r="C634" s="763"/>
      <c r="D634" s="764"/>
      <c r="E634" s="764"/>
    </row>
    <row r="635" spans="1:5">
      <c r="A635" s="765"/>
      <c r="B635" s="763"/>
      <c r="C635" s="763"/>
      <c r="D635" s="764"/>
      <c r="E635" s="764"/>
    </row>
    <row r="636" spans="1:5">
      <c r="A636" s="765"/>
      <c r="B636" s="763"/>
      <c r="C636" s="763"/>
      <c r="D636" s="764"/>
      <c r="E636" s="764"/>
    </row>
    <row r="637" spans="1:5">
      <c r="A637" s="765"/>
      <c r="B637" s="763"/>
      <c r="C637" s="763"/>
      <c r="D637" s="764"/>
      <c r="E637" s="764"/>
    </row>
    <row r="638" spans="1:5">
      <c r="A638" s="765"/>
      <c r="B638" s="763"/>
      <c r="C638" s="763"/>
      <c r="D638" s="764"/>
      <c r="E638" s="764"/>
    </row>
    <row r="639" spans="1:5">
      <c r="A639" s="765"/>
      <c r="B639" s="763"/>
      <c r="C639" s="763"/>
      <c r="D639" s="764"/>
      <c r="E639" s="764"/>
    </row>
    <row r="640" spans="1:5">
      <c r="A640" s="765"/>
      <c r="B640" s="763"/>
      <c r="C640" s="763"/>
      <c r="D640" s="764"/>
      <c r="E640" s="764"/>
    </row>
    <row r="641" spans="1:5">
      <c r="A641" s="765"/>
      <c r="B641" s="763"/>
      <c r="C641" s="763"/>
      <c r="D641" s="764"/>
      <c r="E641" s="764"/>
    </row>
    <row r="642" spans="1:5">
      <c r="A642" s="765"/>
      <c r="B642" s="763"/>
      <c r="C642" s="763"/>
      <c r="D642" s="764"/>
      <c r="E642" s="764"/>
    </row>
    <row r="643" spans="1:5">
      <c r="A643" s="765"/>
      <c r="B643" s="763"/>
      <c r="C643" s="763"/>
      <c r="D643" s="764"/>
      <c r="E643" s="764"/>
    </row>
    <row r="644" spans="1:5">
      <c r="A644" s="765"/>
      <c r="B644" s="763"/>
      <c r="C644" s="763"/>
      <c r="D644" s="764"/>
      <c r="E644" s="764"/>
    </row>
    <row r="645" spans="1:5">
      <c r="A645" s="765"/>
      <c r="B645" s="763"/>
      <c r="C645" s="763"/>
      <c r="D645" s="764"/>
      <c r="E645" s="764"/>
    </row>
    <row r="646" spans="1:5">
      <c r="A646" s="765"/>
      <c r="B646" s="763"/>
      <c r="C646" s="763"/>
      <c r="D646" s="764"/>
      <c r="E646" s="764"/>
    </row>
    <row r="647" spans="1:5">
      <c r="A647" s="765"/>
      <c r="B647" s="763"/>
      <c r="C647" s="763"/>
      <c r="D647" s="764"/>
      <c r="E647" s="764"/>
    </row>
    <row r="648" spans="1:5">
      <c r="A648" s="765"/>
      <c r="B648" s="763"/>
      <c r="C648" s="763"/>
      <c r="D648" s="764"/>
      <c r="E648" s="764"/>
    </row>
    <row r="649" spans="1:5">
      <c r="A649" s="765"/>
      <c r="B649" s="763"/>
      <c r="C649" s="763"/>
      <c r="D649" s="764"/>
      <c r="E649" s="764"/>
    </row>
    <row r="650" spans="1:5">
      <c r="A650" s="765"/>
      <c r="B650" s="763"/>
      <c r="C650" s="763"/>
      <c r="D650" s="764"/>
      <c r="E650" s="764"/>
    </row>
    <row r="651" spans="1:5">
      <c r="A651" s="765"/>
      <c r="B651" s="763"/>
      <c r="C651" s="763"/>
      <c r="D651" s="764"/>
      <c r="E651" s="764"/>
    </row>
    <row r="652" spans="1:5">
      <c r="A652" s="765"/>
      <c r="B652" s="763"/>
      <c r="C652" s="763"/>
      <c r="D652" s="764"/>
      <c r="E652" s="764"/>
    </row>
    <row r="653" spans="1:5">
      <c r="A653" s="765"/>
      <c r="B653" s="763"/>
      <c r="C653" s="763"/>
      <c r="D653" s="764"/>
      <c r="E653" s="764"/>
    </row>
    <row r="654" spans="1:5">
      <c r="A654" s="765"/>
      <c r="B654" s="763"/>
      <c r="C654" s="763"/>
      <c r="D654" s="764"/>
      <c r="E654" s="764"/>
    </row>
    <row r="655" spans="1:5">
      <c r="A655" s="765"/>
      <c r="B655" s="763"/>
      <c r="C655" s="763"/>
      <c r="D655" s="764"/>
      <c r="E655" s="764"/>
    </row>
    <row r="656" spans="1:5">
      <c r="A656" s="765"/>
      <c r="B656" s="763"/>
      <c r="C656" s="763"/>
      <c r="D656" s="764"/>
      <c r="E656" s="764"/>
    </row>
    <row r="657" spans="1:5">
      <c r="A657" s="765"/>
      <c r="B657" s="763"/>
      <c r="C657" s="763"/>
      <c r="D657" s="764"/>
      <c r="E657" s="764"/>
    </row>
    <row r="658" spans="1:5">
      <c r="A658" s="765"/>
      <c r="B658" s="763"/>
      <c r="C658" s="763"/>
      <c r="D658" s="764"/>
      <c r="E658" s="764"/>
    </row>
    <row r="659" spans="1:5">
      <c r="A659" s="765"/>
      <c r="B659" s="763"/>
      <c r="C659" s="763"/>
      <c r="D659" s="764"/>
      <c r="E659" s="764"/>
    </row>
    <row r="660" spans="1:5">
      <c r="A660" s="765"/>
      <c r="B660" s="763"/>
      <c r="C660" s="763"/>
      <c r="D660" s="764"/>
      <c r="E660" s="764"/>
    </row>
    <row r="661" spans="1:5">
      <c r="A661" s="765"/>
      <c r="B661" s="763"/>
      <c r="C661" s="763"/>
      <c r="D661" s="764"/>
      <c r="E661" s="764"/>
    </row>
    <row r="662" spans="1:5">
      <c r="A662" s="765"/>
      <c r="B662" s="763"/>
      <c r="C662" s="763"/>
      <c r="D662" s="764"/>
      <c r="E662" s="764"/>
    </row>
    <row r="663" spans="1:5">
      <c r="A663" s="765"/>
      <c r="B663" s="763"/>
      <c r="C663" s="763"/>
      <c r="D663" s="764"/>
      <c r="E663" s="764"/>
    </row>
    <row r="664" spans="1:5">
      <c r="A664" s="765"/>
      <c r="B664" s="763"/>
      <c r="C664" s="763"/>
      <c r="D664" s="764"/>
      <c r="E664" s="764"/>
    </row>
    <row r="665" spans="1:5">
      <c r="A665" s="765"/>
      <c r="B665" s="763"/>
      <c r="C665" s="763"/>
      <c r="D665" s="764"/>
      <c r="E665" s="764"/>
    </row>
    <row r="666" spans="1:5">
      <c r="A666" s="765"/>
      <c r="B666" s="763"/>
      <c r="C666" s="763"/>
      <c r="D666" s="764"/>
      <c r="E666" s="764"/>
    </row>
    <row r="667" spans="1:5">
      <c r="A667" s="765"/>
      <c r="B667" s="763"/>
      <c r="C667" s="763"/>
      <c r="D667" s="764"/>
      <c r="E667" s="764"/>
    </row>
    <row r="668" spans="1:5">
      <c r="A668" s="765"/>
      <c r="B668" s="763"/>
      <c r="C668" s="763"/>
      <c r="D668" s="764"/>
      <c r="E668" s="764"/>
    </row>
    <row r="669" spans="1:5">
      <c r="A669" s="765"/>
      <c r="B669" s="763"/>
      <c r="C669" s="763"/>
      <c r="D669" s="764"/>
      <c r="E669" s="764"/>
    </row>
    <row r="670" spans="1:5">
      <c r="A670" s="765"/>
      <c r="B670" s="763"/>
      <c r="C670" s="763"/>
      <c r="D670" s="764"/>
      <c r="E670" s="764"/>
    </row>
    <row r="671" spans="1:5">
      <c r="A671" s="765"/>
      <c r="B671" s="763"/>
      <c r="C671" s="763"/>
      <c r="D671" s="764"/>
      <c r="E671" s="764"/>
    </row>
    <row r="672" spans="1:5">
      <c r="A672" s="765"/>
      <c r="B672" s="763"/>
      <c r="C672" s="763"/>
      <c r="D672" s="764"/>
      <c r="E672" s="764"/>
    </row>
    <row r="673" spans="1:5">
      <c r="A673" s="765"/>
      <c r="B673" s="763"/>
      <c r="C673" s="763"/>
      <c r="D673" s="764"/>
      <c r="E673" s="764"/>
    </row>
    <row r="674" spans="1:5">
      <c r="A674" s="765"/>
      <c r="B674" s="763"/>
      <c r="C674" s="763"/>
      <c r="D674" s="764"/>
      <c r="E674" s="764"/>
    </row>
    <row r="675" spans="1:5">
      <c r="A675" s="765"/>
      <c r="B675" s="763"/>
      <c r="C675" s="763"/>
      <c r="D675" s="764"/>
      <c r="E675" s="764"/>
    </row>
    <row r="676" spans="1:5">
      <c r="A676" s="765"/>
      <c r="B676" s="763"/>
      <c r="C676" s="763"/>
      <c r="D676" s="764"/>
      <c r="E676" s="764"/>
    </row>
    <row r="677" spans="1:5">
      <c r="A677" s="765"/>
      <c r="B677" s="763"/>
      <c r="C677" s="763"/>
      <c r="D677" s="764"/>
      <c r="E677" s="764"/>
    </row>
    <row r="678" spans="1:5">
      <c r="A678" s="765"/>
      <c r="B678" s="763"/>
      <c r="C678" s="763"/>
      <c r="D678" s="764"/>
      <c r="E678" s="764"/>
    </row>
    <row r="679" spans="1:5">
      <c r="A679" s="765"/>
      <c r="B679" s="763"/>
      <c r="C679" s="763"/>
      <c r="D679" s="764"/>
      <c r="E679" s="764"/>
    </row>
    <row r="680" spans="1:5">
      <c r="A680" s="765"/>
      <c r="B680" s="763"/>
      <c r="C680" s="763"/>
      <c r="D680" s="764"/>
      <c r="E680" s="764"/>
    </row>
    <row r="681" spans="1:5">
      <c r="A681" s="765"/>
      <c r="B681" s="763"/>
      <c r="C681" s="763"/>
      <c r="D681" s="764"/>
      <c r="E681" s="764"/>
    </row>
    <row r="682" spans="1:5">
      <c r="A682" s="765"/>
      <c r="B682" s="763"/>
      <c r="C682" s="763"/>
      <c r="D682" s="764"/>
      <c r="E682" s="764"/>
    </row>
    <row r="683" spans="1:5">
      <c r="A683" s="765"/>
      <c r="B683" s="763"/>
      <c r="C683" s="763"/>
      <c r="D683" s="764"/>
      <c r="E683" s="764"/>
    </row>
    <row r="684" spans="1:5">
      <c r="A684" s="765"/>
      <c r="B684" s="763"/>
      <c r="C684" s="763"/>
      <c r="D684" s="764"/>
      <c r="E684" s="764"/>
    </row>
    <row r="685" spans="1:5">
      <c r="A685" s="765"/>
      <c r="B685" s="763"/>
      <c r="C685" s="763"/>
      <c r="D685" s="764"/>
      <c r="E685" s="764"/>
    </row>
    <row r="686" spans="1:5">
      <c r="A686" s="765"/>
      <c r="B686" s="763"/>
      <c r="C686" s="763"/>
      <c r="D686" s="764"/>
      <c r="E686" s="764"/>
    </row>
    <row r="687" spans="1:5">
      <c r="A687" s="765"/>
      <c r="B687" s="763"/>
      <c r="C687" s="763"/>
      <c r="D687" s="764"/>
      <c r="E687" s="764"/>
    </row>
    <row r="688" spans="1:5">
      <c r="A688" s="765"/>
      <c r="B688" s="763"/>
      <c r="C688" s="763"/>
      <c r="D688" s="764"/>
      <c r="E688" s="764"/>
    </row>
    <row r="689" spans="1:5">
      <c r="A689" s="765"/>
      <c r="B689" s="763"/>
      <c r="C689" s="763"/>
      <c r="D689" s="764"/>
      <c r="E689" s="764"/>
    </row>
    <row r="690" spans="1:5">
      <c r="A690" s="765"/>
      <c r="B690" s="763"/>
      <c r="C690" s="763"/>
      <c r="D690" s="764"/>
      <c r="E690" s="764"/>
    </row>
    <row r="691" spans="1:5">
      <c r="A691" s="765"/>
      <c r="B691" s="763"/>
      <c r="C691" s="763"/>
      <c r="D691" s="764"/>
      <c r="E691" s="764"/>
    </row>
    <row r="692" spans="1:5">
      <c r="A692" s="765"/>
      <c r="B692" s="763"/>
      <c r="C692" s="763"/>
      <c r="D692" s="764"/>
      <c r="E692" s="764"/>
    </row>
    <row r="693" spans="1:5">
      <c r="A693" s="765"/>
      <c r="B693" s="763"/>
      <c r="C693" s="763"/>
      <c r="D693" s="764"/>
      <c r="E693" s="764"/>
    </row>
    <row r="694" spans="1:5">
      <c r="A694" s="765"/>
      <c r="B694" s="763"/>
      <c r="C694" s="763"/>
      <c r="D694" s="764"/>
      <c r="E694" s="764"/>
    </row>
    <row r="695" spans="1:5">
      <c r="A695" s="765"/>
      <c r="B695" s="763"/>
      <c r="C695" s="763"/>
      <c r="D695" s="764"/>
      <c r="E695" s="764"/>
    </row>
    <row r="696" spans="1:5">
      <c r="A696" s="765"/>
      <c r="B696" s="763"/>
      <c r="C696" s="763"/>
      <c r="D696" s="764"/>
      <c r="E696" s="764"/>
    </row>
    <row r="697" spans="1:5">
      <c r="A697" s="765"/>
      <c r="B697" s="763"/>
      <c r="C697" s="763"/>
      <c r="D697" s="764"/>
      <c r="E697" s="764"/>
    </row>
    <row r="698" spans="1:5">
      <c r="A698" s="765"/>
      <c r="B698" s="763"/>
      <c r="C698" s="763"/>
      <c r="D698" s="764"/>
      <c r="E698" s="764"/>
    </row>
    <row r="699" spans="1:5">
      <c r="A699" s="765"/>
      <c r="B699" s="763"/>
      <c r="C699" s="763"/>
      <c r="D699" s="764"/>
      <c r="E699" s="764"/>
    </row>
    <row r="700" spans="1:5">
      <c r="A700" s="765"/>
      <c r="B700" s="763"/>
      <c r="C700" s="763"/>
      <c r="D700" s="764"/>
      <c r="E700" s="764"/>
    </row>
    <row r="701" spans="1:5">
      <c r="A701" s="765"/>
      <c r="B701" s="763"/>
      <c r="C701" s="763"/>
      <c r="D701" s="764"/>
      <c r="E701" s="764"/>
    </row>
    <row r="702" spans="1:5">
      <c r="A702" s="765"/>
      <c r="B702" s="763"/>
      <c r="C702" s="763"/>
      <c r="D702" s="764"/>
      <c r="E702" s="764"/>
    </row>
    <row r="703" spans="1:5">
      <c r="A703" s="765"/>
      <c r="B703" s="763"/>
      <c r="C703" s="763"/>
      <c r="D703" s="764"/>
      <c r="E703" s="764"/>
    </row>
    <row r="704" spans="1:5">
      <c r="A704" s="765"/>
      <c r="B704" s="763"/>
      <c r="C704" s="763"/>
      <c r="D704" s="764"/>
      <c r="E704" s="764"/>
    </row>
    <row r="705" spans="1:5">
      <c r="A705" s="765"/>
      <c r="B705" s="763"/>
      <c r="C705" s="763"/>
      <c r="D705" s="764"/>
      <c r="E705" s="764"/>
    </row>
    <row r="706" spans="1:5">
      <c r="A706" s="765"/>
      <c r="B706" s="763"/>
      <c r="C706" s="763"/>
      <c r="D706" s="764"/>
      <c r="E706" s="764"/>
    </row>
    <row r="707" spans="1:5">
      <c r="A707" s="765"/>
      <c r="B707" s="763"/>
      <c r="C707" s="763"/>
      <c r="D707" s="764"/>
      <c r="E707" s="764"/>
    </row>
    <row r="708" spans="1:5">
      <c r="A708" s="765"/>
      <c r="B708" s="763"/>
      <c r="C708" s="763"/>
      <c r="D708" s="764"/>
      <c r="E708" s="764"/>
    </row>
    <row r="709" spans="1:5">
      <c r="A709" s="765"/>
      <c r="B709" s="763"/>
      <c r="C709" s="763"/>
      <c r="D709" s="764"/>
      <c r="E709" s="764"/>
    </row>
    <row r="710" spans="1:5">
      <c r="A710" s="765"/>
      <c r="B710" s="763"/>
      <c r="C710" s="763"/>
      <c r="D710" s="764"/>
      <c r="E710" s="764"/>
    </row>
    <row r="711" spans="1:5">
      <c r="A711" s="765"/>
      <c r="B711" s="763"/>
      <c r="C711" s="763"/>
      <c r="D711" s="764"/>
      <c r="E711" s="764"/>
    </row>
    <row r="712" spans="1:5">
      <c r="A712" s="765"/>
      <c r="B712" s="763"/>
      <c r="C712" s="763"/>
      <c r="D712" s="764"/>
      <c r="E712" s="764"/>
    </row>
    <row r="713" spans="1:5">
      <c r="A713" s="765"/>
      <c r="B713" s="763"/>
      <c r="C713" s="763"/>
      <c r="D713" s="764"/>
      <c r="E713" s="764"/>
    </row>
    <row r="714" spans="1:5">
      <c r="A714" s="765"/>
      <c r="B714" s="763"/>
      <c r="C714" s="763"/>
      <c r="D714" s="764"/>
      <c r="E714" s="764"/>
    </row>
    <row r="715" spans="1:5">
      <c r="A715" s="765"/>
      <c r="B715" s="763"/>
      <c r="C715" s="763"/>
      <c r="D715" s="764"/>
      <c r="E715" s="764"/>
    </row>
    <row r="716" spans="1:5">
      <c r="A716" s="765"/>
      <c r="B716" s="763"/>
      <c r="C716" s="763"/>
      <c r="D716" s="764"/>
      <c r="E716" s="764"/>
    </row>
    <row r="717" spans="1:5">
      <c r="A717" s="765"/>
      <c r="B717" s="763"/>
      <c r="C717" s="763"/>
      <c r="D717" s="764"/>
      <c r="E717" s="764"/>
    </row>
    <row r="718" spans="1:5">
      <c r="A718" s="765"/>
      <c r="B718" s="763"/>
      <c r="C718" s="763"/>
      <c r="D718" s="764"/>
      <c r="E718" s="764"/>
    </row>
    <row r="719" spans="1:5">
      <c r="A719" s="765"/>
      <c r="B719" s="763"/>
      <c r="C719" s="763"/>
      <c r="D719" s="764"/>
      <c r="E719" s="764"/>
    </row>
    <row r="720" spans="1:5">
      <c r="A720" s="765"/>
      <c r="B720" s="763"/>
      <c r="C720" s="763"/>
      <c r="D720" s="764"/>
      <c r="E720" s="764"/>
    </row>
    <row r="721" spans="1:5">
      <c r="A721" s="765"/>
      <c r="B721" s="763"/>
      <c r="C721" s="763"/>
      <c r="D721" s="764"/>
      <c r="E721" s="764"/>
    </row>
    <row r="722" spans="1:5">
      <c r="A722" s="765"/>
      <c r="B722" s="763"/>
      <c r="C722" s="763"/>
      <c r="D722" s="764"/>
      <c r="E722" s="764"/>
    </row>
    <row r="723" spans="1:5">
      <c r="A723" s="765"/>
      <c r="B723" s="763"/>
      <c r="C723" s="763"/>
      <c r="D723" s="764"/>
      <c r="E723" s="764"/>
    </row>
    <row r="724" spans="1:5">
      <c r="A724" s="765"/>
      <c r="B724" s="763"/>
      <c r="C724" s="763"/>
      <c r="D724" s="764"/>
      <c r="E724" s="764"/>
    </row>
    <row r="725" spans="1:5">
      <c r="A725" s="765"/>
      <c r="B725" s="763"/>
      <c r="C725" s="763"/>
      <c r="D725" s="764"/>
      <c r="E725" s="764"/>
    </row>
    <row r="726" spans="1:5">
      <c r="A726" s="765"/>
      <c r="B726" s="763"/>
      <c r="C726" s="763"/>
      <c r="D726" s="764"/>
      <c r="E726" s="764"/>
    </row>
    <row r="727" spans="1:5">
      <c r="A727" s="765"/>
      <c r="B727" s="763"/>
      <c r="C727" s="763"/>
      <c r="D727" s="764"/>
      <c r="E727" s="764"/>
    </row>
    <row r="728" spans="1:5">
      <c r="A728" s="765"/>
      <c r="B728" s="763"/>
      <c r="C728" s="763"/>
      <c r="D728" s="764"/>
      <c r="E728" s="764"/>
    </row>
    <row r="729" spans="1:5">
      <c r="A729" s="765"/>
      <c r="B729" s="763"/>
      <c r="C729" s="763"/>
      <c r="D729" s="764"/>
      <c r="E729" s="764"/>
    </row>
    <row r="730" spans="1:5">
      <c r="A730" s="765"/>
      <c r="B730" s="763"/>
      <c r="C730" s="763"/>
      <c r="D730" s="764"/>
      <c r="E730" s="764"/>
    </row>
    <row r="731" spans="1:5">
      <c r="A731" s="765"/>
      <c r="B731" s="763"/>
      <c r="C731" s="763"/>
      <c r="D731" s="764"/>
      <c r="E731" s="764"/>
    </row>
    <row r="732" spans="1:5">
      <c r="A732" s="765"/>
      <c r="B732" s="763"/>
      <c r="C732" s="763"/>
      <c r="D732" s="764"/>
      <c r="E732" s="764"/>
    </row>
    <row r="733" spans="1:5">
      <c r="A733" s="765"/>
      <c r="B733" s="763"/>
      <c r="C733" s="763"/>
      <c r="D733" s="764"/>
      <c r="E733" s="764"/>
    </row>
    <row r="734" spans="1:5">
      <c r="A734" s="765"/>
      <c r="B734" s="763"/>
      <c r="C734" s="763"/>
      <c r="D734" s="764"/>
      <c r="E734" s="764"/>
    </row>
    <row r="735" spans="1:5">
      <c r="A735" s="765"/>
      <c r="B735" s="763"/>
      <c r="C735" s="763"/>
      <c r="D735" s="764"/>
      <c r="E735" s="764"/>
    </row>
    <row r="736" spans="1:5">
      <c r="A736" s="765"/>
      <c r="B736" s="763"/>
      <c r="C736" s="763"/>
      <c r="D736" s="764"/>
      <c r="E736" s="764"/>
    </row>
    <row r="737" spans="1:5">
      <c r="A737" s="765"/>
      <c r="B737" s="763"/>
      <c r="C737" s="763"/>
      <c r="D737" s="764"/>
      <c r="E737" s="764"/>
    </row>
    <row r="738" spans="1:5">
      <c r="A738" s="765"/>
      <c r="B738" s="763"/>
      <c r="C738" s="763"/>
      <c r="D738" s="764"/>
      <c r="E738" s="764"/>
    </row>
    <row r="739" spans="1:5">
      <c r="A739" s="765"/>
      <c r="B739" s="763"/>
      <c r="C739" s="763"/>
      <c r="D739" s="764"/>
      <c r="E739" s="764"/>
    </row>
    <row r="740" spans="1:5">
      <c r="A740" s="765"/>
      <c r="B740" s="763"/>
      <c r="C740" s="763"/>
      <c r="D740" s="764"/>
      <c r="E740" s="764"/>
    </row>
    <row r="741" spans="1:5">
      <c r="A741" s="765"/>
      <c r="B741" s="763"/>
      <c r="C741" s="763"/>
      <c r="D741" s="764"/>
      <c r="E741" s="764"/>
    </row>
    <row r="742" spans="1:5">
      <c r="A742" s="765"/>
      <c r="B742" s="763"/>
      <c r="C742" s="763"/>
      <c r="D742" s="764"/>
      <c r="E742" s="764"/>
    </row>
    <row r="743" spans="1:5">
      <c r="A743" s="765"/>
      <c r="B743" s="763"/>
      <c r="C743" s="763"/>
      <c r="D743" s="764"/>
      <c r="E743" s="764"/>
    </row>
    <row r="744" spans="1:5">
      <c r="A744" s="765"/>
      <c r="B744" s="763"/>
      <c r="C744" s="763"/>
      <c r="D744" s="764"/>
      <c r="E744" s="764"/>
    </row>
    <row r="745" spans="1:5">
      <c r="A745" s="765"/>
      <c r="B745" s="763"/>
      <c r="C745" s="763"/>
      <c r="D745" s="764"/>
      <c r="E745" s="764"/>
    </row>
    <row r="746" spans="1:5">
      <c r="A746" s="765"/>
      <c r="B746" s="763"/>
      <c r="C746" s="763"/>
      <c r="D746" s="764"/>
      <c r="E746" s="764"/>
    </row>
    <row r="747" spans="1:5">
      <c r="A747" s="765"/>
      <c r="B747" s="763"/>
      <c r="C747" s="763"/>
      <c r="D747" s="764"/>
      <c r="E747" s="764"/>
    </row>
    <row r="748" spans="1:5">
      <c r="A748" s="765"/>
      <c r="B748" s="763"/>
      <c r="C748" s="763"/>
      <c r="D748" s="764"/>
      <c r="E748" s="764"/>
    </row>
    <row r="749" spans="1:5">
      <c r="A749" s="765"/>
      <c r="B749" s="763"/>
      <c r="C749" s="763"/>
      <c r="D749" s="764"/>
      <c r="E749" s="764"/>
    </row>
    <row r="750" spans="1:5">
      <c r="A750" s="765"/>
      <c r="B750" s="763"/>
      <c r="C750" s="763"/>
      <c r="D750" s="764"/>
      <c r="E750" s="764"/>
    </row>
    <row r="751" spans="1:5">
      <c r="A751" s="765"/>
      <c r="B751" s="763"/>
      <c r="C751" s="763"/>
      <c r="D751" s="764"/>
      <c r="E751" s="764"/>
    </row>
    <row r="752" spans="1:5">
      <c r="A752" s="765"/>
      <c r="B752" s="763"/>
      <c r="C752" s="763"/>
      <c r="D752" s="764"/>
      <c r="E752" s="764"/>
    </row>
    <row r="753" spans="1:5">
      <c r="A753" s="765"/>
      <c r="B753" s="763"/>
      <c r="C753" s="763"/>
      <c r="D753" s="764"/>
      <c r="E753" s="764"/>
    </row>
    <row r="754" spans="1:5">
      <c r="A754" s="765"/>
      <c r="B754" s="763"/>
      <c r="C754" s="763"/>
      <c r="D754" s="764"/>
      <c r="E754" s="764"/>
    </row>
    <row r="755" spans="1:5">
      <c r="A755" s="765"/>
      <c r="B755" s="763"/>
      <c r="C755" s="763"/>
      <c r="D755" s="764"/>
      <c r="E755" s="764"/>
    </row>
    <row r="756" spans="1:5">
      <c r="A756" s="765"/>
      <c r="B756" s="763"/>
      <c r="C756" s="763"/>
      <c r="D756" s="764"/>
      <c r="E756" s="764"/>
    </row>
    <row r="757" spans="1:5">
      <c r="A757" s="765"/>
      <c r="B757" s="763"/>
      <c r="C757" s="763"/>
      <c r="D757" s="764"/>
      <c r="E757" s="764"/>
    </row>
    <row r="758" spans="1:5">
      <c r="A758" s="765"/>
      <c r="B758" s="763"/>
      <c r="C758" s="763"/>
      <c r="D758" s="764"/>
      <c r="E758" s="764"/>
    </row>
    <row r="759" spans="1:5">
      <c r="A759" s="765"/>
      <c r="B759" s="763"/>
      <c r="C759" s="763"/>
      <c r="D759" s="764"/>
      <c r="E759" s="764"/>
    </row>
    <row r="760" spans="1:5">
      <c r="A760" s="765"/>
      <c r="B760" s="763"/>
      <c r="C760" s="763"/>
      <c r="D760" s="764"/>
      <c r="E760" s="764"/>
    </row>
    <row r="761" spans="1:5">
      <c r="A761" s="765"/>
      <c r="B761" s="763"/>
      <c r="C761" s="763"/>
      <c r="D761" s="764"/>
      <c r="E761" s="764"/>
    </row>
    <row r="762" spans="1:5">
      <c r="A762" s="765"/>
      <c r="B762" s="763"/>
      <c r="C762" s="763"/>
      <c r="D762" s="764"/>
      <c r="E762" s="764"/>
    </row>
    <row r="763" spans="1:5">
      <c r="A763" s="765"/>
      <c r="B763" s="763"/>
      <c r="C763" s="763"/>
      <c r="D763" s="764"/>
      <c r="E763" s="764"/>
    </row>
    <row r="764" spans="1:5">
      <c r="A764" s="765"/>
      <c r="B764" s="763"/>
      <c r="C764" s="763"/>
      <c r="D764" s="764"/>
      <c r="E764" s="764"/>
    </row>
    <row r="765" spans="1:5">
      <c r="A765" s="765"/>
      <c r="B765" s="763"/>
      <c r="C765" s="763"/>
      <c r="D765" s="764"/>
      <c r="E765" s="764"/>
    </row>
    <row r="766" spans="1:5">
      <c r="A766" s="765"/>
      <c r="B766" s="763"/>
      <c r="C766" s="763"/>
      <c r="D766" s="764"/>
      <c r="E766" s="764"/>
    </row>
    <row r="767" spans="1:5">
      <c r="A767" s="765"/>
      <c r="B767" s="763"/>
      <c r="C767" s="763"/>
      <c r="D767" s="764"/>
      <c r="E767" s="764"/>
    </row>
    <row r="768" spans="1:5">
      <c r="A768" s="765"/>
      <c r="B768" s="763"/>
      <c r="C768" s="763"/>
      <c r="D768" s="764"/>
      <c r="E768" s="764"/>
    </row>
    <row r="769" spans="1:5">
      <c r="A769" s="765"/>
      <c r="B769" s="763"/>
      <c r="C769" s="763"/>
      <c r="D769" s="764"/>
      <c r="E769" s="764"/>
    </row>
    <row r="770" spans="1:5">
      <c r="A770" s="765"/>
      <c r="B770" s="763"/>
      <c r="C770" s="763"/>
      <c r="D770" s="764"/>
      <c r="E770" s="764"/>
    </row>
    <row r="771" spans="1:5">
      <c r="A771" s="765"/>
      <c r="B771" s="763"/>
      <c r="C771" s="763"/>
      <c r="D771" s="764"/>
      <c r="E771" s="764"/>
    </row>
    <row r="772" spans="1:5">
      <c r="A772" s="765"/>
      <c r="B772" s="763"/>
      <c r="C772" s="763"/>
      <c r="D772" s="764"/>
      <c r="E772" s="764"/>
    </row>
    <row r="773" spans="1:5">
      <c r="A773" s="765"/>
      <c r="B773" s="763"/>
      <c r="C773" s="763"/>
      <c r="D773" s="764"/>
      <c r="E773" s="764"/>
    </row>
    <row r="774" spans="1:5">
      <c r="A774" s="765"/>
      <c r="B774" s="763"/>
      <c r="C774" s="763"/>
      <c r="D774" s="764"/>
      <c r="E774" s="764"/>
    </row>
    <row r="775" spans="1:5">
      <c r="A775" s="765"/>
      <c r="B775" s="763"/>
      <c r="C775" s="763"/>
      <c r="D775" s="764"/>
      <c r="E775" s="764"/>
    </row>
    <row r="776" spans="1:5">
      <c r="A776" s="765"/>
      <c r="B776" s="763"/>
      <c r="C776" s="763"/>
      <c r="D776" s="764"/>
      <c r="E776" s="764"/>
    </row>
    <row r="777" spans="1:5">
      <c r="A777" s="765"/>
      <c r="B777" s="763"/>
      <c r="C777" s="763"/>
      <c r="D777" s="764"/>
      <c r="E777" s="764"/>
    </row>
    <row r="778" spans="1:5">
      <c r="A778" s="765"/>
      <c r="B778" s="763"/>
      <c r="C778" s="763"/>
      <c r="D778" s="764"/>
      <c r="E778" s="764"/>
    </row>
    <row r="779" spans="1:5">
      <c r="A779" s="765"/>
      <c r="B779" s="763"/>
      <c r="C779" s="763"/>
      <c r="D779" s="764"/>
      <c r="E779" s="764"/>
    </row>
    <row r="780" spans="1:5">
      <c r="A780" s="765"/>
      <c r="B780" s="763"/>
      <c r="C780" s="763"/>
      <c r="D780" s="764"/>
      <c r="E780" s="764"/>
    </row>
    <row r="781" spans="1:5">
      <c r="A781" s="765"/>
      <c r="B781" s="763"/>
      <c r="C781" s="763"/>
      <c r="D781" s="764"/>
      <c r="E781" s="764"/>
    </row>
    <row r="782" spans="1:5">
      <c r="A782" s="765"/>
      <c r="B782" s="763"/>
      <c r="C782" s="763"/>
      <c r="D782" s="764"/>
      <c r="E782" s="764"/>
    </row>
    <row r="783" spans="1:5">
      <c r="A783" s="765"/>
      <c r="B783" s="763"/>
      <c r="C783" s="763"/>
      <c r="D783" s="764"/>
      <c r="E783" s="764"/>
    </row>
    <row r="784" spans="1:5">
      <c r="A784" s="765"/>
      <c r="B784" s="763"/>
      <c r="C784" s="763"/>
      <c r="D784" s="764"/>
      <c r="E784" s="764"/>
    </row>
    <row r="785" spans="1:5">
      <c r="A785" s="765"/>
      <c r="B785" s="763"/>
      <c r="C785" s="763"/>
      <c r="D785" s="764"/>
      <c r="E785" s="764"/>
    </row>
    <row r="786" spans="1:5">
      <c r="A786" s="765"/>
      <c r="B786" s="763"/>
      <c r="C786" s="763"/>
      <c r="D786" s="764"/>
      <c r="E786" s="764"/>
    </row>
    <row r="787" spans="1:5">
      <c r="A787" s="765"/>
      <c r="B787" s="763"/>
      <c r="C787" s="763"/>
      <c r="D787" s="764"/>
      <c r="E787" s="764"/>
    </row>
    <row r="788" spans="1:5">
      <c r="A788" s="765"/>
      <c r="B788" s="763"/>
      <c r="C788" s="763"/>
      <c r="D788" s="764"/>
      <c r="E788" s="764"/>
    </row>
    <row r="789" spans="1:5">
      <c r="A789" s="765"/>
      <c r="B789" s="763"/>
      <c r="C789" s="763"/>
      <c r="D789" s="764"/>
      <c r="E789" s="764"/>
    </row>
    <row r="790" spans="1:5">
      <c r="A790" s="765"/>
      <c r="B790" s="763"/>
      <c r="C790" s="763"/>
      <c r="D790" s="764"/>
      <c r="E790" s="764"/>
    </row>
    <row r="791" spans="1:5">
      <c r="A791" s="765"/>
      <c r="B791" s="763"/>
      <c r="C791" s="763"/>
      <c r="D791" s="764"/>
      <c r="E791" s="764"/>
    </row>
    <row r="792" spans="1:5">
      <c r="A792" s="765"/>
      <c r="B792" s="763"/>
      <c r="C792" s="763"/>
      <c r="D792" s="764"/>
      <c r="E792" s="764"/>
    </row>
    <row r="793" spans="1:5">
      <c r="A793" s="765"/>
      <c r="B793" s="763"/>
      <c r="C793" s="763"/>
      <c r="D793" s="764"/>
      <c r="E793" s="764"/>
    </row>
    <row r="794" spans="1:5">
      <c r="A794" s="765"/>
      <c r="B794" s="763"/>
      <c r="C794" s="763"/>
      <c r="D794" s="764"/>
      <c r="E794" s="764"/>
    </row>
    <row r="795" spans="1:5">
      <c r="A795" s="765"/>
      <c r="B795" s="763"/>
      <c r="C795" s="763"/>
      <c r="D795" s="764"/>
      <c r="E795" s="764"/>
    </row>
    <row r="796" spans="1:5">
      <c r="A796" s="765"/>
      <c r="B796" s="763"/>
      <c r="C796" s="763"/>
      <c r="D796" s="764"/>
      <c r="E796" s="764"/>
    </row>
    <row r="797" spans="1:5">
      <c r="A797" s="765"/>
      <c r="B797" s="763"/>
      <c r="C797" s="763"/>
      <c r="D797" s="764"/>
      <c r="E797" s="764"/>
    </row>
    <row r="798" spans="1:5">
      <c r="A798" s="765"/>
      <c r="B798" s="763"/>
      <c r="C798" s="763"/>
      <c r="D798" s="764"/>
      <c r="E798" s="764"/>
    </row>
    <row r="799" spans="1:5">
      <c r="A799" s="765"/>
      <c r="B799" s="763"/>
      <c r="C799" s="763"/>
      <c r="D799" s="764"/>
      <c r="E799" s="764"/>
    </row>
    <row r="800" spans="1:5">
      <c r="A800" s="765"/>
      <c r="B800" s="763"/>
      <c r="C800" s="763"/>
      <c r="D800" s="764"/>
      <c r="E800" s="764"/>
    </row>
    <row r="801" spans="1:5">
      <c r="A801" s="765"/>
      <c r="B801" s="763"/>
      <c r="C801" s="763"/>
      <c r="D801" s="764"/>
      <c r="E801" s="764"/>
    </row>
    <row r="802" spans="1:5">
      <c r="A802" s="765"/>
      <c r="B802" s="763"/>
      <c r="C802" s="763"/>
      <c r="D802" s="764"/>
      <c r="E802" s="764"/>
    </row>
    <row r="803" spans="1:5">
      <c r="A803" s="765"/>
      <c r="B803" s="763"/>
      <c r="C803" s="763"/>
      <c r="D803" s="764"/>
      <c r="E803" s="764"/>
    </row>
    <row r="804" spans="1:5">
      <c r="A804" s="765"/>
      <c r="B804" s="763"/>
      <c r="C804" s="763"/>
      <c r="D804" s="764"/>
      <c r="E804" s="764"/>
    </row>
    <row r="805" spans="1:5">
      <c r="A805" s="765"/>
      <c r="B805" s="763"/>
      <c r="C805" s="763"/>
      <c r="D805" s="764"/>
      <c r="E805" s="764"/>
    </row>
    <row r="806" spans="1:5">
      <c r="A806" s="765"/>
      <c r="B806" s="763"/>
      <c r="C806" s="763"/>
      <c r="D806" s="764"/>
      <c r="E806" s="764"/>
    </row>
    <row r="807" spans="1:5">
      <c r="A807" s="765"/>
      <c r="B807" s="763"/>
      <c r="C807" s="763"/>
      <c r="D807" s="764"/>
      <c r="E807" s="764"/>
    </row>
    <row r="808" spans="1:5">
      <c r="A808" s="765"/>
      <c r="B808" s="763"/>
      <c r="C808" s="763"/>
      <c r="D808" s="764"/>
      <c r="E808" s="764"/>
    </row>
    <row r="809" spans="1:5">
      <c r="A809" s="765"/>
      <c r="B809" s="763"/>
      <c r="C809" s="763"/>
      <c r="D809" s="764"/>
      <c r="E809" s="764"/>
    </row>
    <row r="810" spans="1:5">
      <c r="A810" s="765"/>
      <c r="B810" s="763"/>
      <c r="C810" s="763"/>
      <c r="D810" s="764"/>
      <c r="E810" s="764"/>
    </row>
    <row r="811" spans="1:5">
      <c r="A811" s="765"/>
      <c r="B811" s="763"/>
      <c r="C811" s="763"/>
      <c r="D811" s="764"/>
      <c r="E811" s="764"/>
    </row>
    <row r="812" spans="1:5">
      <c r="A812" s="765"/>
      <c r="B812" s="763"/>
      <c r="C812" s="763"/>
      <c r="D812" s="764"/>
      <c r="E812" s="764"/>
    </row>
    <row r="813" spans="1:5">
      <c r="A813" s="765"/>
      <c r="B813" s="763"/>
      <c r="C813" s="763"/>
      <c r="D813" s="764"/>
      <c r="E813" s="764"/>
    </row>
    <row r="814" spans="1:5">
      <c r="A814" s="765"/>
      <c r="B814" s="763"/>
      <c r="C814" s="763"/>
      <c r="D814" s="764"/>
      <c r="E814" s="764"/>
    </row>
    <row r="815" spans="1:5">
      <c r="A815" s="765"/>
      <c r="B815" s="763"/>
      <c r="C815" s="763"/>
      <c r="D815" s="764"/>
      <c r="E815" s="764"/>
    </row>
    <row r="816" spans="1:5">
      <c r="A816" s="765"/>
      <c r="B816" s="763"/>
      <c r="C816" s="763"/>
      <c r="D816" s="764"/>
      <c r="E816" s="764"/>
    </row>
    <row r="817" spans="1:5">
      <c r="A817" s="765"/>
      <c r="B817" s="763"/>
      <c r="C817" s="763"/>
      <c r="D817" s="764"/>
      <c r="E817" s="764"/>
    </row>
    <row r="818" spans="1:5">
      <c r="A818" s="765"/>
      <c r="B818" s="763"/>
      <c r="C818" s="763"/>
      <c r="D818" s="764"/>
      <c r="E818" s="764"/>
    </row>
    <row r="819" spans="1:5">
      <c r="A819" s="765"/>
      <c r="B819" s="763"/>
      <c r="C819" s="763"/>
      <c r="D819" s="764"/>
      <c r="E819" s="764"/>
    </row>
    <row r="820" spans="1:5">
      <c r="A820" s="765"/>
      <c r="B820" s="763"/>
      <c r="C820" s="763"/>
      <c r="D820" s="764"/>
      <c r="E820" s="764"/>
    </row>
    <row r="821" spans="1:5">
      <c r="A821" s="765"/>
      <c r="B821" s="763"/>
      <c r="C821" s="763"/>
      <c r="D821" s="764"/>
      <c r="E821" s="764"/>
    </row>
    <row r="822" spans="1:5">
      <c r="A822" s="765"/>
      <c r="B822" s="763"/>
      <c r="C822" s="763"/>
      <c r="D822" s="764"/>
      <c r="E822" s="764"/>
    </row>
    <row r="823" spans="1:5">
      <c r="A823" s="765"/>
      <c r="B823" s="763"/>
      <c r="C823" s="763"/>
      <c r="D823" s="764"/>
      <c r="E823" s="764"/>
    </row>
    <row r="824" spans="1:5">
      <c r="A824" s="765"/>
      <c r="B824" s="763"/>
      <c r="C824" s="763"/>
      <c r="D824" s="764"/>
      <c r="E824" s="764"/>
    </row>
    <row r="825" spans="1:5">
      <c r="A825" s="765"/>
      <c r="B825" s="763"/>
      <c r="C825" s="763"/>
      <c r="D825" s="764"/>
      <c r="E825" s="764"/>
    </row>
    <row r="826" spans="1:5">
      <c r="A826" s="765"/>
      <c r="B826" s="763"/>
      <c r="C826" s="763"/>
      <c r="D826" s="764"/>
      <c r="E826" s="764"/>
    </row>
    <row r="827" spans="1:5">
      <c r="A827" s="765"/>
      <c r="B827" s="763"/>
      <c r="C827" s="763"/>
      <c r="D827" s="764"/>
      <c r="E827" s="764"/>
    </row>
    <row r="828" spans="1:5">
      <c r="A828" s="765"/>
      <c r="B828" s="763"/>
      <c r="C828" s="763"/>
      <c r="D828" s="764"/>
      <c r="E828" s="764"/>
    </row>
    <row r="829" spans="1:5">
      <c r="A829" s="765"/>
      <c r="B829" s="763"/>
      <c r="C829" s="763"/>
      <c r="D829" s="764"/>
      <c r="E829" s="764"/>
    </row>
    <row r="830" spans="1:5">
      <c r="A830" s="765"/>
      <c r="B830" s="763"/>
      <c r="C830" s="763"/>
      <c r="D830" s="764"/>
      <c r="E830" s="764"/>
    </row>
    <row r="831" spans="1:5">
      <c r="A831" s="765"/>
      <c r="B831" s="763"/>
      <c r="C831" s="763"/>
      <c r="D831" s="764"/>
      <c r="E831" s="764"/>
    </row>
    <row r="832" spans="1:5">
      <c r="A832" s="765"/>
      <c r="B832" s="763"/>
      <c r="C832" s="763"/>
      <c r="D832" s="764"/>
      <c r="E832" s="764"/>
    </row>
    <row r="833" spans="1:5">
      <c r="A833" s="765"/>
      <c r="B833" s="763"/>
      <c r="C833" s="763"/>
      <c r="D833" s="764"/>
      <c r="E833" s="764"/>
    </row>
    <row r="834" spans="1:5">
      <c r="A834" s="765"/>
      <c r="B834" s="763"/>
      <c r="C834" s="763"/>
      <c r="D834" s="764"/>
      <c r="E834" s="764"/>
    </row>
    <row r="835" spans="1:5">
      <c r="A835" s="765"/>
      <c r="B835" s="763"/>
      <c r="C835" s="763"/>
      <c r="D835" s="764"/>
      <c r="E835" s="764"/>
    </row>
    <row r="836" spans="1:5">
      <c r="A836" s="765"/>
      <c r="B836" s="763"/>
      <c r="C836" s="763"/>
      <c r="D836" s="764"/>
      <c r="E836" s="764"/>
    </row>
    <row r="837" spans="1:5">
      <c r="A837" s="765"/>
      <c r="B837" s="763"/>
      <c r="C837" s="763"/>
      <c r="D837" s="764"/>
      <c r="E837" s="764"/>
    </row>
    <row r="838" spans="1:5">
      <c r="A838" s="765"/>
      <c r="B838" s="763"/>
      <c r="C838" s="763"/>
      <c r="D838" s="764"/>
      <c r="E838" s="764"/>
    </row>
    <row r="839" spans="1:5">
      <c r="A839" s="765"/>
      <c r="B839" s="763"/>
      <c r="C839" s="763"/>
      <c r="D839" s="764"/>
      <c r="E839" s="764"/>
    </row>
    <row r="840" spans="1:5">
      <c r="A840" s="765"/>
      <c r="B840" s="763"/>
      <c r="C840" s="763"/>
      <c r="D840" s="764"/>
      <c r="E840" s="764"/>
    </row>
    <row r="841" spans="1:5">
      <c r="A841" s="765"/>
      <c r="B841" s="763"/>
      <c r="C841" s="763"/>
      <c r="D841" s="764"/>
      <c r="E841" s="764"/>
    </row>
    <row r="842" spans="1:5">
      <c r="A842" s="765"/>
      <c r="B842" s="763"/>
      <c r="C842" s="763"/>
      <c r="D842" s="764"/>
      <c r="E842" s="764"/>
    </row>
    <row r="843" spans="1:5">
      <c r="A843" s="765"/>
      <c r="B843" s="763"/>
      <c r="C843" s="763"/>
      <c r="D843" s="764"/>
      <c r="E843" s="764"/>
    </row>
    <row r="844" spans="1:5">
      <c r="A844" s="765"/>
      <c r="B844" s="763"/>
      <c r="C844" s="763"/>
      <c r="D844" s="764"/>
      <c r="E844" s="764"/>
    </row>
    <row r="845" spans="1:5">
      <c r="A845" s="765"/>
      <c r="B845" s="763"/>
      <c r="C845" s="763"/>
      <c r="D845" s="764"/>
      <c r="E845" s="764"/>
    </row>
    <row r="846" spans="1:5">
      <c r="A846" s="765"/>
      <c r="B846" s="763"/>
      <c r="C846" s="763"/>
      <c r="D846" s="764"/>
      <c r="E846" s="764"/>
    </row>
    <row r="847" spans="1:5">
      <c r="A847" s="765"/>
      <c r="B847" s="763"/>
      <c r="C847" s="763"/>
      <c r="D847" s="764"/>
      <c r="E847" s="764"/>
    </row>
    <row r="848" spans="1:5">
      <c r="A848" s="765"/>
      <c r="B848" s="763"/>
      <c r="C848" s="763"/>
      <c r="D848" s="764"/>
      <c r="E848" s="764"/>
    </row>
    <row r="849" spans="1:5">
      <c r="A849" s="765"/>
      <c r="B849" s="763"/>
      <c r="C849" s="763"/>
      <c r="D849" s="764"/>
      <c r="E849" s="764"/>
    </row>
    <row r="850" spans="1:5">
      <c r="A850" s="765"/>
      <c r="B850" s="763"/>
      <c r="C850" s="763"/>
      <c r="D850" s="764"/>
      <c r="E850" s="764"/>
    </row>
    <row r="851" spans="1:5">
      <c r="A851" s="765"/>
      <c r="B851" s="763"/>
      <c r="C851" s="763"/>
      <c r="D851" s="764"/>
      <c r="E851" s="764"/>
    </row>
    <row r="852" spans="1:5">
      <c r="A852" s="765"/>
      <c r="B852" s="763"/>
      <c r="C852" s="763"/>
      <c r="D852" s="764"/>
      <c r="E852" s="764"/>
    </row>
    <row r="853" spans="1:5">
      <c r="A853" s="765"/>
      <c r="B853" s="763"/>
      <c r="C853" s="763"/>
      <c r="D853" s="764"/>
      <c r="E853" s="764"/>
    </row>
    <row r="854" spans="1:5">
      <c r="A854" s="765"/>
      <c r="B854" s="763"/>
      <c r="C854" s="763"/>
      <c r="D854" s="764"/>
      <c r="E854" s="764"/>
    </row>
    <row r="855" spans="1:5">
      <c r="A855" s="765"/>
      <c r="B855" s="763"/>
      <c r="C855" s="763"/>
      <c r="D855" s="764"/>
      <c r="E855" s="764"/>
    </row>
    <row r="856" spans="1:5">
      <c r="A856" s="765"/>
      <c r="B856" s="763"/>
      <c r="C856" s="763"/>
      <c r="D856" s="764"/>
      <c r="E856" s="764"/>
    </row>
    <row r="857" spans="1:5">
      <c r="A857" s="765"/>
      <c r="B857" s="763"/>
      <c r="C857" s="763"/>
      <c r="D857" s="764"/>
      <c r="E857" s="764"/>
    </row>
    <row r="858" spans="1:5">
      <c r="A858" s="765"/>
      <c r="B858" s="763"/>
      <c r="C858" s="763"/>
      <c r="D858" s="764"/>
      <c r="E858" s="764"/>
    </row>
    <row r="859" spans="1:5">
      <c r="A859" s="765"/>
      <c r="B859" s="763"/>
      <c r="C859" s="763"/>
      <c r="D859" s="764"/>
      <c r="E859" s="764"/>
    </row>
    <row r="860" spans="1:5">
      <c r="A860" s="765"/>
      <c r="B860" s="763"/>
      <c r="C860" s="763"/>
      <c r="D860" s="764"/>
      <c r="E860" s="764"/>
    </row>
    <row r="861" spans="1:5">
      <c r="A861" s="765"/>
      <c r="B861" s="763"/>
      <c r="C861" s="763"/>
      <c r="D861" s="764"/>
      <c r="E861" s="764"/>
    </row>
    <row r="862" spans="1:5">
      <c r="A862" s="765"/>
      <c r="B862" s="763"/>
      <c r="C862" s="763"/>
      <c r="D862" s="764"/>
      <c r="E862" s="764"/>
    </row>
    <row r="863" spans="1:5">
      <c r="A863" s="765"/>
      <c r="B863" s="763"/>
      <c r="C863" s="763"/>
      <c r="D863" s="764"/>
      <c r="E863" s="764"/>
    </row>
    <row r="864" spans="1:5">
      <c r="A864" s="765"/>
      <c r="B864" s="763"/>
      <c r="C864" s="763"/>
      <c r="D864" s="764"/>
      <c r="E864" s="764"/>
    </row>
    <row r="865" spans="1:5">
      <c r="A865" s="765"/>
      <c r="B865" s="763"/>
      <c r="C865" s="763"/>
      <c r="D865" s="764"/>
      <c r="E865" s="764"/>
    </row>
    <row r="866" spans="1:5">
      <c r="A866" s="765"/>
      <c r="B866" s="763"/>
      <c r="C866" s="763"/>
      <c r="D866" s="764"/>
      <c r="E866" s="764"/>
    </row>
    <row r="867" spans="1:5">
      <c r="A867" s="765"/>
      <c r="B867" s="763"/>
      <c r="C867" s="763"/>
      <c r="D867" s="764"/>
      <c r="E867" s="764"/>
    </row>
    <row r="868" spans="1:5">
      <c r="A868" s="765"/>
      <c r="B868" s="763"/>
      <c r="C868" s="763"/>
      <c r="D868" s="764"/>
      <c r="E868" s="764"/>
    </row>
    <row r="869" spans="1:5">
      <c r="A869" s="765"/>
      <c r="B869" s="763"/>
      <c r="C869" s="763"/>
      <c r="D869" s="764"/>
      <c r="E869" s="764"/>
    </row>
    <row r="870" spans="1:5">
      <c r="A870" s="765"/>
      <c r="B870" s="763"/>
      <c r="C870" s="763"/>
      <c r="D870" s="764"/>
      <c r="E870" s="764"/>
    </row>
    <row r="871" spans="1:5">
      <c r="A871" s="765"/>
      <c r="B871" s="763"/>
      <c r="C871" s="763"/>
      <c r="D871" s="764"/>
      <c r="E871" s="764"/>
    </row>
    <row r="872" spans="1:5">
      <c r="A872" s="765"/>
      <c r="B872" s="763"/>
      <c r="C872" s="763"/>
      <c r="D872" s="764"/>
      <c r="E872" s="764"/>
    </row>
    <row r="873" spans="1:5">
      <c r="A873" s="765"/>
      <c r="B873" s="763"/>
      <c r="C873" s="763"/>
      <c r="D873" s="764"/>
      <c r="E873" s="764"/>
    </row>
    <row r="874" spans="1:5">
      <c r="A874" s="765"/>
      <c r="B874" s="763"/>
      <c r="C874" s="763"/>
      <c r="D874" s="764"/>
      <c r="E874" s="764"/>
    </row>
    <row r="875" spans="1:5">
      <c r="A875" s="765"/>
      <c r="B875" s="763"/>
      <c r="C875" s="763"/>
      <c r="D875" s="764"/>
      <c r="E875" s="764"/>
    </row>
    <row r="876" spans="1:5">
      <c r="A876" s="765"/>
      <c r="B876" s="763"/>
      <c r="C876" s="763"/>
      <c r="D876" s="764"/>
      <c r="E876" s="764"/>
    </row>
    <row r="877" spans="1:5">
      <c r="A877" s="765"/>
      <c r="B877" s="763"/>
      <c r="C877" s="763"/>
      <c r="D877" s="764"/>
      <c r="E877" s="764"/>
    </row>
    <row r="878" spans="1:5">
      <c r="A878" s="765"/>
      <c r="B878" s="763"/>
      <c r="C878" s="763"/>
      <c r="D878" s="764"/>
      <c r="E878" s="764"/>
    </row>
    <row r="879" spans="1:5">
      <c r="A879" s="765"/>
      <c r="B879" s="763"/>
      <c r="C879" s="763"/>
      <c r="D879" s="764"/>
      <c r="E879" s="764"/>
    </row>
    <row r="880" spans="1:5">
      <c r="A880" s="765"/>
      <c r="B880" s="763"/>
      <c r="C880" s="763"/>
      <c r="D880" s="764"/>
      <c r="E880" s="764"/>
    </row>
    <row r="881" spans="1:5">
      <c r="A881" s="765"/>
      <c r="B881" s="763"/>
      <c r="C881" s="763"/>
      <c r="D881" s="764"/>
      <c r="E881" s="764"/>
    </row>
    <row r="882" spans="1:5">
      <c r="A882" s="765"/>
      <c r="B882" s="763"/>
      <c r="C882" s="763"/>
      <c r="D882" s="764"/>
      <c r="E882" s="764"/>
    </row>
    <row r="883" spans="1:5">
      <c r="A883" s="765"/>
      <c r="B883" s="763"/>
      <c r="C883" s="763"/>
      <c r="D883" s="764"/>
      <c r="E883" s="764"/>
    </row>
    <row r="884" spans="1:5">
      <c r="A884" s="765"/>
      <c r="B884" s="763"/>
      <c r="C884" s="763"/>
      <c r="D884" s="764"/>
      <c r="E884" s="764"/>
    </row>
    <row r="885" spans="1:5">
      <c r="A885" s="765"/>
      <c r="B885" s="763"/>
      <c r="C885" s="763"/>
      <c r="D885" s="764"/>
      <c r="E885" s="764"/>
    </row>
    <row r="886" spans="1:5">
      <c r="A886" s="765"/>
      <c r="B886" s="763"/>
      <c r="C886" s="763"/>
      <c r="D886" s="764"/>
      <c r="E886" s="764"/>
    </row>
    <row r="887" spans="1:5">
      <c r="A887" s="765"/>
      <c r="B887" s="763"/>
      <c r="C887" s="763"/>
      <c r="D887" s="764"/>
      <c r="E887" s="764"/>
    </row>
    <row r="888" spans="1:5">
      <c r="A888" s="765"/>
      <c r="B888" s="763"/>
      <c r="C888" s="763"/>
      <c r="D888" s="764"/>
      <c r="E888" s="764"/>
    </row>
    <row r="889" spans="1:5">
      <c r="A889" s="765"/>
      <c r="B889" s="763"/>
      <c r="C889" s="763"/>
      <c r="D889" s="764"/>
      <c r="E889" s="764"/>
    </row>
    <row r="890" spans="1:5">
      <c r="A890" s="765"/>
      <c r="B890" s="763"/>
      <c r="C890" s="763"/>
      <c r="D890" s="764"/>
      <c r="E890" s="764"/>
    </row>
    <row r="891" spans="1:5">
      <c r="A891" s="765"/>
      <c r="B891" s="763"/>
      <c r="C891" s="763"/>
      <c r="D891" s="764"/>
      <c r="E891" s="764"/>
    </row>
    <row r="892" spans="1:5">
      <c r="A892" s="765"/>
      <c r="B892" s="763"/>
      <c r="C892" s="763"/>
      <c r="D892" s="764"/>
      <c r="E892" s="764"/>
    </row>
    <row r="893" spans="1:5">
      <c r="A893" s="765"/>
      <c r="B893" s="763"/>
      <c r="C893" s="763"/>
      <c r="D893" s="764"/>
      <c r="E893" s="764"/>
    </row>
    <row r="894" spans="1:5">
      <c r="A894" s="765"/>
      <c r="B894" s="763"/>
      <c r="C894" s="763"/>
      <c r="D894" s="764"/>
      <c r="E894" s="764"/>
    </row>
    <row r="895" spans="1:5">
      <c r="A895" s="765"/>
      <c r="B895" s="763"/>
      <c r="C895" s="763"/>
      <c r="D895" s="764"/>
      <c r="E895" s="764"/>
    </row>
    <row r="896" spans="1:5">
      <c r="A896" s="765"/>
      <c r="B896" s="763"/>
      <c r="C896" s="763"/>
      <c r="D896" s="764"/>
      <c r="E896" s="764"/>
    </row>
    <row r="897" spans="1:5">
      <c r="A897" s="765"/>
      <c r="B897" s="763"/>
      <c r="C897" s="763"/>
      <c r="D897" s="764"/>
      <c r="E897" s="764"/>
    </row>
    <row r="898" spans="1:5">
      <c r="A898" s="765"/>
      <c r="B898" s="763"/>
      <c r="C898" s="763"/>
      <c r="D898" s="764"/>
      <c r="E898" s="764"/>
    </row>
    <row r="899" spans="1:5">
      <c r="A899" s="765"/>
      <c r="B899" s="763"/>
      <c r="C899" s="763"/>
      <c r="D899" s="764"/>
      <c r="E899" s="764"/>
    </row>
    <row r="900" spans="1:5">
      <c r="A900" s="765"/>
      <c r="B900" s="763"/>
      <c r="C900" s="763"/>
      <c r="D900" s="764"/>
      <c r="E900" s="764"/>
    </row>
    <row r="901" spans="1:5">
      <c r="A901" s="765"/>
      <c r="B901" s="763"/>
      <c r="C901" s="763"/>
      <c r="D901" s="764"/>
      <c r="E901" s="764"/>
    </row>
    <row r="902" spans="1:5">
      <c r="A902" s="765"/>
      <c r="B902" s="763"/>
      <c r="C902" s="763"/>
      <c r="D902" s="764"/>
      <c r="E902" s="764"/>
    </row>
    <row r="903" spans="1:5">
      <c r="A903" s="765"/>
      <c r="B903" s="763"/>
      <c r="C903" s="763"/>
      <c r="D903" s="764"/>
      <c r="E903" s="764"/>
    </row>
    <row r="904" spans="1:5">
      <c r="A904" s="765"/>
      <c r="B904" s="763"/>
      <c r="C904" s="763"/>
      <c r="D904" s="764"/>
      <c r="E904" s="764"/>
    </row>
    <row r="905" spans="1:5">
      <c r="A905" s="765"/>
      <c r="B905" s="763"/>
      <c r="C905" s="763"/>
      <c r="D905" s="764"/>
      <c r="E905" s="764"/>
    </row>
    <row r="906" spans="1:5">
      <c r="A906" s="765"/>
      <c r="B906" s="763"/>
      <c r="C906" s="763"/>
      <c r="D906" s="764"/>
      <c r="E906" s="764"/>
    </row>
    <row r="907" spans="1:5">
      <c r="A907" s="765"/>
      <c r="B907" s="763"/>
      <c r="C907" s="763"/>
      <c r="D907" s="764"/>
      <c r="E907" s="764"/>
    </row>
    <row r="908" spans="1:5">
      <c r="A908" s="765"/>
      <c r="B908" s="763"/>
      <c r="C908" s="763"/>
      <c r="D908" s="764"/>
      <c r="E908" s="764"/>
    </row>
    <row r="909" spans="1:5">
      <c r="A909" s="765"/>
      <c r="B909" s="763"/>
      <c r="C909" s="763"/>
      <c r="D909" s="764"/>
      <c r="E909" s="764"/>
    </row>
    <row r="910" spans="1:5">
      <c r="A910" s="765"/>
      <c r="B910" s="763"/>
      <c r="C910" s="763"/>
      <c r="D910" s="764"/>
      <c r="E910" s="764"/>
    </row>
    <row r="911" spans="1:5">
      <c r="A911" s="765"/>
      <c r="B911" s="763"/>
      <c r="C911" s="763"/>
      <c r="D911" s="764"/>
      <c r="E911" s="764"/>
    </row>
    <row r="912" spans="1:5">
      <c r="A912" s="765"/>
      <c r="B912" s="763"/>
      <c r="C912" s="763"/>
      <c r="D912" s="764"/>
      <c r="E912" s="764"/>
    </row>
    <row r="913" spans="1:5">
      <c r="A913" s="765"/>
      <c r="B913" s="763"/>
      <c r="C913" s="763"/>
      <c r="D913" s="764"/>
      <c r="E913" s="764"/>
    </row>
    <row r="914" spans="1:5">
      <c r="A914" s="765"/>
      <c r="B914" s="763"/>
      <c r="C914" s="763"/>
      <c r="D914" s="764"/>
      <c r="E914" s="764"/>
    </row>
    <row r="915" spans="1:5">
      <c r="A915" s="765"/>
      <c r="B915" s="763"/>
      <c r="C915" s="763"/>
      <c r="D915" s="764"/>
      <c r="E915" s="764"/>
    </row>
    <row r="916" spans="1:5">
      <c r="A916" s="765"/>
      <c r="B916" s="763"/>
      <c r="C916" s="763"/>
      <c r="D916" s="764"/>
      <c r="E916" s="764"/>
    </row>
    <row r="917" spans="1:5">
      <c r="A917" s="765"/>
      <c r="B917" s="763"/>
      <c r="C917" s="763"/>
      <c r="D917" s="764"/>
      <c r="E917" s="764"/>
    </row>
    <row r="918" spans="1:5">
      <c r="A918" s="765"/>
      <c r="B918" s="763"/>
      <c r="C918" s="763"/>
      <c r="D918" s="764"/>
      <c r="E918" s="764"/>
    </row>
    <row r="919" spans="1:5">
      <c r="A919" s="765"/>
      <c r="B919" s="763"/>
      <c r="C919" s="763"/>
      <c r="D919" s="764"/>
      <c r="E919" s="764"/>
    </row>
    <row r="920" spans="1:5">
      <c r="A920" s="765"/>
      <c r="B920" s="763"/>
      <c r="C920" s="763"/>
      <c r="D920" s="764"/>
      <c r="E920" s="764"/>
    </row>
    <row r="921" spans="1:5">
      <c r="A921" s="765"/>
      <c r="B921" s="763"/>
      <c r="C921" s="763"/>
      <c r="D921" s="764"/>
      <c r="E921" s="764"/>
    </row>
    <row r="922" spans="1:5">
      <c r="A922" s="765"/>
      <c r="B922" s="763"/>
      <c r="C922" s="763"/>
      <c r="D922" s="764"/>
      <c r="E922" s="764"/>
    </row>
    <row r="923" spans="1:5">
      <c r="A923" s="765"/>
      <c r="B923" s="763"/>
      <c r="C923" s="763"/>
      <c r="D923" s="764"/>
      <c r="E923" s="764"/>
    </row>
    <row r="924" spans="1:5">
      <c r="A924" s="765"/>
      <c r="B924" s="763"/>
      <c r="C924" s="763"/>
      <c r="D924" s="764"/>
      <c r="E924" s="764"/>
    </row>
    <row r="925" spans="1:5">
      <c r="A925" s="765"/>
      <c r="B925" s="763"/>
      <c r="C925" s="763"/>
      <c r="D925" s="764"/>
      <c r="E925" s="764"/>
    </row>
    <row r="926" spans="1:5">
      <c r="A926" s="765"/>
      <c r="B926" s="763"/>
      <c r="C926" s="763"/>
      <c r="D926" s="764"/>
      <c r="E926" s="764"/>
    </row>
    <row r="927" spans="1:5">
      <c r="A927" s="765"/>
      <c r="B927" s="763"/>
      <c r="C927" s="763"/>
      <c r="D927" s="764"/>
      <c r="E927" s="764"/>
    </row>
    <row r="928" spans="1:5">
      <c r="A928" s="765"/>
      <c r="B928" s="763"/>
      <c r="C928" s="763"/>
      <c r="D928" s="764"/>
      <c r="E928" s="764"/>
    </row>
    <row r="929" spans="1:5">
      <c r="A929" s="765"/>
      <c r="B929" s="763"/>
      <c r="C929" s="763"/>
      <c r="D929" s="764"/>
      <c r="E929" s="764"/>
    </row>
    <row r="930" spans="1:5">
      <c r="A930" s="765"/>
      <c r="B930" s="763"/>
      <c r="C930" s="763"/>
      <c r="D930" s="764"/>
      <c r="E930" s="764"/>
    </row>
    <row r="931" spans="1:5">
      <c r="A931" s="765"/>
      <c r="B931" s="763"/>
      <c r="C931" s="763"/>
      <c r="D931" s="764"/>
      <c r="E931" s="764"/>
    </row>
    <row r="932" spans="1:5">
      <c r="A932" s="765"/>
      <c r="B932" s="763"/>
      <c r="C932" s="763"/>
      <c r="D932" s="764"/>
      <c r="E932" s="764"/>
    </row>
    <row r="933" spans="1:5">
      <c r="A933" s="765"/>
      <c r="B933" s="763"/>
      <c r="C933" s="763"/>
      <c r="D933" s="764"/>
      <c r="E933" s="764"/>
    </row>
    <row r="934" spans="1:5">
      <c r="A934" s="765"/>
      <c r="B934" s="763"/>
      <c r="C934" s="763"/>
      <c r="D934" s="764"/>
      <c r="E934" s="764"/>
    </row>
    <row r="935" spans="1:5">
      <c r="A935" s="765"/>
      <c r="B935" s="763"/>
      <c r="C935" s="763"/>
      <c r="D935" s="764"/>
      <c r="E935" s="764"/>
    </row>
    <row r="936" spans="1:5">
      <c r="A936" s="765"/>
      <c r="B936" s="763"/>
      <c r="C936" s="763"/>
      <c r="D936" s="764"/>
      <c r="E936" s="764"/>
    </row>
    <row r="937" spans="1:5">
      <c r="A937" s="765"/>
      <c r="B937" s="763"/>
      <c r="C937" s="763"/>
      <c r="D937" s="764"/>
      <c r="E937" s="764"/>
    </row>
    <row r="938" spans="1:5">
      <c r="A938" s="765"/>
      <c r="B938" s="763"/>
      <c r="C938" s="763"/>
      <c r="D938" s="764"/>
      <c r="E938" s="764"/>
    </row>
    <row r="939" spans="1:5">
      <c r="A939" s="765"/>
      <c r="B939" s="763"/>
      <c r="C939" s="763"/>
      <c r="D939" s="764"/>
      <c r="E939" s="764"/>
    </row>
    <row r="940" spans="1:5">
      <c r="A940" s="765"/>
      <c r="B940" s="763"/>
      <c r="C940" s="763"/>
      <c r="D940" s="764"/>
      <c r="E940" s="764"/>
    </row>
    <row r="941" spans="1:5">
      <c r="A941" s="765"/>
      <c r="B941" s="763"/>
      <c r="C941" s="763"/>
      <c r="D941" s="764"/>
      <c r="E941" s="764"/>
    </row>
    <row r="942" spans="1:5">
      <c r="A942" s="765"/>
      <c r="B942" s="763"/>
      <c r="C942" s="763"/>
      <c r="D942" s="764"/>
      <c r="E942" s="764"/>
    </row>
    <row r="943" spans="1:5">
      <c r="A943" s="765"/>
      <c r="B943" s="763"/>
      <c r="C943" s="763"/>
      <c r="D943" s="764"/>
      <c r="E943" s="764"/>
    </row>
    <row r="944" spans="1:5">
      <c r="A944" s="765"/>
      <c r="B944" s="763"/>
      <c r="C944" s="763"/>
      <c r="D944" s="764"/>
      <c r="E944" s="764"/>
    </row>
    <row r="945" spans="1:5">
      <c r="A945" s="765"/>
      <c r="B945" s="763"/>
      <c r="C945" s="763"/>
      <c r="D945" s="764"/>
      <c r="E945" s="764"/>
    </row>
    <row r="946" spans="1:5">
      <c r="A946" s="765"/>
      <c r="B946" s="763"/>
      <c r="C946" s="763"/>
      <c r="D946" s="764"/>
      <c r="E946" s="764"/>
    </row>
    <row r="947" spans="1:5">
      <c r="A947" s="765"/>
      <c r="B947" s="763"/>
      <c r="C947" s="763"/>
      <c r="D947" s="764"/>
      <c r="E947" s="764"/>
    </row>
    <row r="948" spans="1:5">
      <c r="A948" s="765"/>
      <c r="B948" s="763"/>
      <c r="C948" s="763"/>
      <c r="D948" s="764"/>
      <c r="E948" s="764"/>
    </row>
    <row r="949" spans="1:5">
      <c r="A949" s="765"/>
      <c r="B949" s="763"/>
      <c r="C949" s="763"/>
      <c r="D949" s="764"/>
      <c r="E949" s="764"/>
    </row>
    <row r="950" spans="1:5">
      <c r="A950" s="765"/>
      <c r="B950" s="763"/>
      <c r="C950" s="763"/>
      <c r="D950" s="764"/>
      <c r="E950" s="764"/>
    </row>
    <row r="951" spans="1:5">
      <c r="A951" s="765"/>
      <c r="B951" s="763"/>
      <c r="C951" s="763"/>
      <c r="D951" s="764"/>
      <c r="E951" s="764"/>
    </row>
    <row r="952" spans="1:5">
      <c r="A952" s="765"/>
      <c r="B952" s="763"/>
      <c r="C952" s="763"/>
      <c r="D952" s="764"/>
      <c r="E952" s="764"/>
    </row>
    <row r="953" spans="1:5">
      <c r="A953" s="765"/>
      <c r="B953" s="763"/>
      <c r="C953" s="763"/>
      <c r="D953" s="764"/>
      <c r="E953" s="764"/>
    </row>
    <row r="954" spans="1:5">
      <c r="A954" s="765"/>
      <c r="B954" s="763"/>
      <c r="C954" s="763"/>
      <c r="D954" s="764"/>
      <c r="E954" s="764"/>
    </row>
    <row r="955" spans="1:5">
      <c r="A955" s="765"/>
      <c r="B955" s="763"/>
      <c r="C955" s="763"/>
      <c r="D955" s="764"/>
      <c r="E955" s="764"/>
    </row>
    <row r="956" spans="1:5">
      <c r="A956" s="765"/>
      <c r="B956" s="763"/>
      <c r="C956" s="763"/>
      <c r="D956" s="764"/>
      <c r="E956" s="764"/>
    </row>
    <row r="957" spans="1:5">
      <c r="A957" s="765"/>
      <c r="B957" s="763"/>
      <c r="C957" s="763"/>
      <c r="D957" s="764"/>
      <c r="E957" s="764"/>
    </row>
    <row r="958" spans="1:5">
      <c r="A958" s="765"/>
      <c r="B958" s="763"/>
      <c r="C958" s="763"/>
      <c r="D958" s="764"/>
      <c r="E958" s="764"/>
    </row>
    <row r="959" spans="1:5">
      <c r="A959" s="765"/>
      <c r="B959" s="763"/>
      <c r="C959" s="763"/>
      <c r="D959" s="764"/>
      <c r="E959" s="764"/>
    </row>
    <row r="960" spans="1:5">
      <c r="A960" s="765"/>
      <c r="B960" s="763"/>
      <c r="C960" s="763"/>
      <c r="D960" s="764"/>
      <c r="E960" s="764"/>
    </row>
    <row r="961" spans="1:5">
      <c r="A961" s="765"/>
      <c r="B961" s="763"/>
      <c r="C961" s="763"/>
      <c r="D961" s="764"/>
      <c r="E961" s="764"/>
    </row>
    <row r="962" spans="1:5">
      <c r="A962" s="765"/>
      <c r="B962" s="763"/>
      <c r="C962" s="763"/>
      <c r="D962" s="764"/>
      <c r="E962" s="764"/>
    </row>
    <row r="963" spans="1:5">
      <c r="A963" s="765"/>
      <c r="B963" s="763"/>
      <c r="C963" s="763"/>
      <c r="D963" s="764"/>
      <c r="E963" s="764"/>
    </row>
    <row r="964" spans="1:5">
      <c r="A964" s="765"/>
      <c r="B964" s="763"/>
      <c r="C964" s="763"/>
      <c r="D964" s="764"/>
      <c r="E964" s="764"/>
    </row>
    <row r="965" spans="1:5">
      <c r="A965" s="765"/>
      <c r="B965" s="763"/>
      <c r="C965" s="763"/>
      <c r="D965" s="764"/>
      <c r="E965" s="764"/>
    </row>
    <row r="966" spans="1:5">
      <c r="A966" s="766"/>
      <c r="D966" s="767"/>
      <c r="E966" s="767"/>
    </row>
    <row r="967" spans="1:5">
      <c r="A967" s="766"/>
      <c r="D967" s="767"/>
      <c r="E967" s="767"/>
    </row>
    <row r="968" spans="1:5">
      <c r="A968" s="766"/>
      <c r="D968" s="767"/>
      <c r="E968" s="767"/>
    </row>
    <row r="969" spans="1:5">
      <c r="A969" s="766"/>
      <c r="D969" s="767"/>
      <c r="E969" s="767"/>
    </row>
    <row r="970" spans="1:5">
      <c r="A970" s="766"/>
      <c r="D970" s="767"/>
      <c r="E970" s="767"/>
    </row>
    <row r="971" spans="1:5">
      <c r="A971" s="766"/>
      <c r="D971" s="767"/>
      <c r="E971" s="767"/>
    </row>
    <row r="972" spans="1:5">
      <c r="A972" s="766"/>
      <c r="D972" s="767"/>
      <c r="E972" s="767"/>
    </row>
    <row r="973" spans="1:5">
      <c r="A973" s="766"/>
      <c r="D973" s="767"/>
      <c r="E973" s="767"/>
    </row>
    <row r="974" spans="1:5">
      <c r="A974" s="766"/>
      <c r="D974" s="767"/>
      <c r="E974" s="767"/>
    </row>
    <row r="975" spans="1:5">
      <c r="A975" s="766"/>
      <c r="D975" s="767"/>
      <c r="E975" s="767"/>
    </row>
    <row r="976" spans="1:5">
      <c r="A976" s="766"/>
      <c r="D976" s="767"/>
      <c r="E976" s="767"/>
    </row>
    <row r="977" spans="1:5">
      <c r="A977" s="766"/>
      <c r="D977" s="767"/>
      <c r="E977" s="767"/>
    </row>
    <row r="978" spans="1:5">
      <c r="A978" s="766"/>
      <c r="D978" s="767"/>
      <c r="E978" s="767"/>
    </row>
    <row r="979" spans="1:5">
      <c r="A979" s="766"/>
      <c r="D979" s="767"/>
      <c r="E979" s="767"/>
    </row>
    <row r="980" spans="1:5">
      <c r="A980" s="766"/>
      <c r="D980" s="767"/>
      <c r="E980" s="767"/>
    </row>
    <row r="981" spans="1:5">
      <c r="A981" s="766"/>
      <c r="D981" s="767"/>
      <c r="E981" s="767"/>
    </row>
    <row r="982" spans="1:5">
      <c r="A982" s="766"/>
      <c r="D982" s="767"/>
      <c r="E982" s="767"/>
    </row>
    <row r="983" spans="1:5">
      <c r="A983" s="766"/>
      <c r="D983" s="767"/>
      <c r="E983" s="767"/>
    </row>
    <row r="984" spans="1:5">
      <c r="A984" s="766"/>
      <c r="D984" s="767"/>
      <c r="E984" s="767"/>
    </row>
    <row r="985" spans="1:5">
      <c r="A985" s="766"/>
      <c r="D985" s="767"/>
      <c r="E985" s="767"/>
    </row>
    <row r="986" spans="1:5">
      <c r="A986" s="766"/>
      <c r="D986" s="767"/>
      <c r="E986" s="767"/>
    </row>
    <row r="987" spans="1:5">
      <c r="A987" s="766"/>
      <c r="D987" s="767"/>
      <c r="E987" s="767"/>
    </row>
    <row r="988" spans="1:5">
      <c r="A988" s="766"/>
      <c r="D988" s="767"/>
      <c r="E988" s="767"/>
    </row>
    <row r="989" spans="1:5">
      <c r="A989" s="766"/>
      <c r="D989" s="767"/>
      <c r="E989" s="767"/>
    </row>
    <row r="990" spans="1:5">
      <c r="A990" s="766"/>
      <c r="D990" s="767"/>
      <c r="E990" s="767"/>
    </row>
    <row r="991" spans="1:5">
      <c r="A991" s="766"/>
      <c r="D991" s="767"/>
      <c r="E991" s="767"/>
    </row>
    <row r="992" spans="1:5">
      <c r="A992" s="766"/>
      <c r="D992" s="767"/>
      <c r="E992" s="767"/>
    </row>
    <row r="993" spans="1:5">
      <c r="A993" s="766"/>
      <c r="D993" s="767"/>
      <c r="E993" s="767"/>
    </row>
    <row r="994" spans="1:5">
      <c r="A994" s="766"/>
      <c r="D994" s="767"/>
      <c r="E994" s="767"/>
    </row>
    <row r="995" spans="1:5">
      <c r="A995" s="766"/>
      <c r="D995" s="767"/>
      <c r="E995" s="767"/>
    </row>
    <row r="996" spans="1:5">
      <c r="A996" s="766"/>
      <c r="D996" s="767"/>
      <c r="E996" s="767"/>
    </row>
    <row r="997" spans="1:5">
      <c r="A997" s="766"/>
      <c r="D997" s="767"/>
      <c r="E997" s="767"/>
    </row>
    <row r="998" spans="1:5">
      <c r="A998" s="766"/>
      <c r="D998" s="767"/>
      <c r="E998" s="767"/>
    </row>
    <row r="999" spans="1:5">
      <c r="A999" s="766"/>
      <c r="D999" s="767"/>
      <c r="E999" s="767"/>
    </row>
    <row r="1000" spans="1:5">
      <c r="A1000" s="766"/>
      <c r="D1000" s="767"/>
      <c r="E1000" s="767"/>
    </row>
    <row r="1001" spans="1:5">
      <c r="A1001" s="766"/>
      <c r="D1001" s="767"/>
      <c r="E1001" s="767"/>
    </row>
    <row r="1002" spans="1:5">
      <c r="A1002" s="766"/>
      <c r="D1002" s="767"/>
      <c r="E1002" s="767"/>
    </row>
    <row r="1003" spans="1:5">
      <c r="A1003" s="766"/>
      <c r="D1003" s="767"/>
      <c r="E1003" s="767"/>
    </row>
    <row r="1004" spans="1:5">
      <c r="A1004" s="766"/>
      <c r="D1004" s="767"/>
      <c r="E1004" s="767"/>
    </row>
    <row r="1005" spans="1:5">
      <c r="A1005" s="766"/>
      <c r="D1005" s="767"/>
      <c r="E1005" s="767"/>
    </row>
    <row r="1006" spans="1:5">
      <c r="A1006" s="766"/>
      <c r="D1006" s="767"/>
      <c r="E1006" s="767"/>
    </row>
    <row r="1007" spans="1:5">
      <c r="A1007" s="766"/>
      <c r="D1007" s="767"/>
      <c r="E1007" s="767"/>
    </row>
    <row r="1008" spans="1:5">
      <c r="A1008" s="766"/>
      <c r="D1008" s="767"/>
      <c r="E1008" s="767"/>
    </row>
    <row r="1009" spans="1:5">
      <c r="A1009" s="766"/>
      <c r="D1009" s="767"/>
      <c r="E1009" s="767"/>
    </row>
    <row r="1010" spans="1:5">
      <c r="A1010" s="766"/>
      <c r="D1010" s="767"/>
      <c r="E1010" s="767"/>
    </row>
    <row r="1011" spans="1:5">
      <c r="A1011" s="766"/>
      <c r="D1011" s="767"/>
      <c r="E1011" s="767"/>
    </row>
    <row r="1012" spans="1:5">
      <c r="A1012" s="766"/>
      <c r="D1012" s="767"/>
      <c r="E1012" s="767"/>
    </row>
    <row r="1013" spans="1:5">
      <c r="A1013" s="766"/>
      <c r="D1013" s="767"/>
      <c r="E1013" s="767"/>
    </row>
    <row r="1014" spans="1:5">
      <c r="A1014" s="766"/>
      <c r="D1014" s="767"/>
      <c r="E1014" s="767"/>
    </row>
    <row r="1015" spans="1:5">
      <c r="A1015" s="766"/>
      <c r="D1015" s="767"/>
      <c r="E1015" s="767"/>
    </row>
    <row r="1016" spans="1:5">
      <c r="A1016" s="766"/>
      <c r="D1016" s="767"/>
      <c r="E1016" s="767"/>
    </row>
    <row r="1017" spans="1:5">
      <c r="A1017" s="766"/>
      <c r="D1017" s="767"/>
      <c r="E1017" s="767"/>
    </row>
    <row r="1018" spans="1:5">
      <c r="A1018" s="766"/>
      <c r="D1018" s="767"/>
      <c r="E1018" s="767"/>
    </row>
    <row r="1019" spans="1:5">
      <c r="A1019" s="766"/>
      <c r="D1019" s="767"/>
      <c r="E1019" s="767"/>
    </row>
    <row r="1020" spans="1:5">
      <c r="A1020" s="766"/>
      <c r="D1020" s="767"/>
      <c r="E1020" s="767"/>
    </row>
    <row r="1021" spans="1:5">
      <c r="A1021" s="766"/>
      <c r="D1021" s="767"/>
      <c r="E1021" s="767"/>
    </row>
    <row r="1022" spans="1:5">
      <c r="A1022" s="766"/>
      <c r="D1022" s="767"/>
      <c r="E1022" s="767"/>
    </row>
    <row r="1023" spans="1:5">
      <c r="A1023" s="766"/>
      <c r="D1023" s="767"/>
      <c r="E1023" s="767"/>
    </row>
    <row r="1024" spans="1:5">
      <c r="A1024" s="766"/>
      <c r="D1024" s="767"/>
      <c r="E1024" s="767"/>
    </row>
    <row r="1025" spans="1:5">
      <c r="A1025" s="766"/>
      <c r="D1025" s="767"/>
      <c r="E1025" s="767"/>
    </row>
    <row r="1026" spans="1:5">
      <c r="A1026" s="766"/>
      <c r="D1026" s="767"/>
      <c r="E1026" s="767"/>
    </row>
    <row r="1027" spans="1:5">
      <c r="A1027" s="766"/>
      <c r="D1027" s="767"/>
      <c r="E1027" s="767"/>
    </row>
    <row r="1028" spans="1:5">
      <c r="A1028" s="766"/>
      <c r="D1028" s="767"/>
      <c r="E1028" s="767"/>
    </row>
    <row r="1029" spans="1:5">
      <c r="A1029" s="766"/>
      <c r="D1029" s="767"/>
      <c r="E1029" s="767"/>
    </row>
    <row r="1030" spans="1:5">
      <c r="A1030" s="766"/>
      <c r="D1030" s="767"/>
      <c r="E1030" s="767"/>
    </row>
    <row r="1031" spans="1:5">
      <c r="A1031" s="766"/>
      <c r="D1031" s="767"/>
      <c r="E1031" s="767"/>
    </row>
    <row r="1032" spans="1:5">
      <c r="A1032" s="766"/>
      <c r="D1032" s="767"/>
      <c r="E1032" s="767"/>
    </row>
    <row r="1033" spans="1:5">
      <c r="A1033" s="766"/>
      <c r="D1033" s="767"/>
      <c r="E1033" s="767"/>
    </row>
    <row r="1034" spans="1:5">
      <c r="A1034" s="766"/>
      <c r="D1034" s="767"/>
      <c r="E1034" s="767"/>
    </row>
    <row r="1035" spans="1:5">
      <c r="A1035" s="766"/>
      <c r="D1035" s="767"/>
      <c r="E1035" s="767"/>
    </row>
    <row r="1036" spans="1:5">
      <c r="A1036" s="766"/>
      <c r="D1036" s="767"/>
      <c r="E1036" s="767"/>
    </row>
    <row r="1037" spans="1:5">
      <c r="A1037" s="766"/>
      <c r="D1037" s="767"/>
      <c r="E1037" s="767"/>
    </row>
    <row r="1038" spans="1:5">
      <c r="A1038" s="766"/>
      <c r="D1038" s="767"/>
      <c r="E1038" s="767"/>
    </row>
    <row r="1039" spans="1:5">
      <c r="A1039" s="766"/>
      <c r="D1039" s="767"/>
      <c r="E1039" s="767"/>
    </row>
    <row r="1040" spans="1:5">
      <c r="A1040" s="766"/>
      <c r="D1040" s="767"/>
      <c r="E1040" s="767"/>
    </row>
    <row r="1041" spans="1:5">
      <c r="A1041" s="766"/>
      <c r="D1041" s="767"/>
      <c r="E1041" s="767"/>
    </row>
    <row r="1042" spans="1:5">
      <c r="A1042" s="766"/>
      <c r="D1042" s="767"/>
      <c r="E1042" s="767"/>
    </row>
    <row r="1043" spans="1:5">
      <c r="A1043" s="766"/>
      <c r="D1043" s="767"/>
      <c r="E1043" s="767"/>
    </row>
    <row r="1044" spans="1:5">
      <c r="A1044" s="766"/>
      <c r="D1044" s="767"/>
      <c r="E1044" s="767"/>
    </row>
    <row r="1045" spans="1:5">
      <c r="A1045" s="766"/>
      <c r="D1045" s="767"/>
      <c r="E1045" s="767"/>
    </row>
    <row r="1046" spans="1:5">
      <c r="A1046" s="766"/>
      <c r="D1046" s="767"/>
      <c r="E1046" s="767"/>
    </row>
    <row r="1047" spans="1:5">
      <c r="A1047" s="766"/>
      <c r="D1047" s="767"/>
      <c r="E1047" s="767"/>
    </row>
    <row r="1048" spans="1:5">
      <c r="A1048" s="766"/>
      <c r="D1048" s="767"/>
      <c r="E1048" s="767"/>
    </row>
    <row r="1049" spans="1:5">
      <c r="A1049" s="766"/>
      <c r="D1049" s="767"/>
      <c r="E1049" s="767"/>
    </row>
    <row r="1050" spans="1:5">
      <c r="A1050" s="766"/>
      <c r="D1050" s="767"/>
      <c r="E1050" s="767"/>
    </row>
    <row r="1051" spans="1:5">
      <c r="A1051" s="766"/>
      <c r="D1051" s="767"/>
      <c r="E1051" s="767"/>
    </row>
    <row r="1052" spans="1:5">
      <c r="A1052" s="766"/>
      <c r="D1052" s="767"/>
      <c r="E1052" s="767"/>
    </row>
    <row r="1053" spans="1:5">
      <c r="A1053" s="766"/>
      <c r="D1053" s="767"/>
      <c r="E1053" s="767"/>
    </row>
    <row r="1054" spans="1:5">
      <c r="A1054" s="766"/>
      <c r="D1054" s="767"/>
      <c r="E1054" s="767"/>
    </row>
    <row r="1055" spans="1:5">
      <c r="A1055" s="766"/>
      <c r="D1055" s="767"/>
      <c r="E1055" s="767"/>
    </row>
    <row r="1056" spans="1:5">
      <c r="A1056" s="766"/>
      <c r="D1056" s="767"/>
      <c r="E1056" s="767"/>
    </row>
    <row r="1057" spans="1:5">
      <c r="A1057" s="766"/>
      <c r="D1057" s="767"/>
      <c r="E1057" s="767"/>
    </row>
    <row r="1058" spans="1:5">
      <c r="A1058" s="766"/>
      <c r="D1058" s="767"/>
      <c r="E1058" s="767"/>
    </row>
    <row r="1059" spans="1:5">
      <c r="A1059" s="766"/>
      <c r="D1059" s="767"/>
      <c r="E1059" s="767"/>
    </row>
    <row r="1060" spans="1:5">
      <c r="A1060" s="766"/>
      <c r="D1060" s="767"/>
      <c r="E1060" s="767"/>
    </row>
    <row r="1061" spans="1:5">
      <c r="A1061" s="766"/>
      <c r="D1061" s="767"/>
      <c r="E1061" s="767"/>
    </row>
    <row r="1062" spans="1:5">
      <c r="A1062" s="766"/>
      <c r="D1062" s="767"/>
      <c r="E1062" s="767"/>
    </row>
    <row r="1063" spans="1:5">
      <c r="A1063" s="766"/>
      <c r="D1063" s="767"/>
      <c r="E1063" s="767"/>
    </row>
    <row r="1064" spans="1:5">
      <c r="A1064" s="766"/>
      <c r="D1064" s="767"/>
      <c r="E1064" s="767"/>
    </row>
    <row r="1065" spans="1:5">
      <c r="A1065" s="766"/>
      <c r="D1065" s="767"/>
      <c r="E1065" s="767"/>
    </row>
    <row r="1066" spans="1:5">
      <c r="A1066" s="766"/>
      <c r="D1066" s="767"/>
      <c r="E1066" s="767"/>
    </row>
    <row r="1067" spans="1:5">
      <c r="A1067" s="766"/>
      <c r="D1067" s="767"/>
      <c r="E1067" s="767"/>
    </row>
    <row r="1068" spans="1:5">
      <c r="A1068" s="766"/>
      <c r="D1068" s="767"/>
      <c r="E1068" s="767"/>
    </row>
    <row r="1069" spans="1:5">
      <c r="A1069" s="766"/>
      <c r="D1069" s="767"/>
      <c r="E1069" s="767"/>
    </row>
    <row r="1070" spans="1:5">
      <c r="A1070" s="766"/>
      <c r="D1070" s="767"/>
      <c r="E1070" s="767"/>
    </row>
    <row r="1071" spans="1:5">
      <c r="A1071" s="766"/>
      <c r="D1071" s="767"/>
      <c r="E1071" s="767"/>
    </row>
    <row r="1072" spans="1:5">
      <c r="A1072" s="766"/>
      <c r="D1072" s="767"/>
      <c r="E1072" s="767"/>
    </row>
    <row r="1073" spans="1:5">
      <c r="A1073" s="766"/>
      <c r="D1073" s="767"/>
      <c r="E1073" s="767"/>
    </row>
    <row r="1074" spans="1:5">
      <c r="A1074" s="766"/>
      <c r="D1074" s="767"/>
      <c r="E1074" s="767"/>
    </row>
    <row r="1075" spans="1:5">
      <c r="A1075" s="766"/>
      <c r="D1075" s="767"/>
      <c r="E1075" s="767"/>
    </row>
    <row r="1076" spans="1:5">
      <c r="A1076" s="766"/>
      <c r="D1076" s="767"/>
      <c r="E1076" s="767"/>
    </row>
    <row r="1077" spans="1:5">
      <c r="A1077" s="766"/>
      <c r="D1077" s="767"/>
      <c r="E1077" s="767"/>
    </row>
    <row r="1078" spans="1:5">
      <c r="A1078" s="766"/>
      <c r="D1078" s="767"/>
      <c r="E1078" s="767"/>
    </row>
    <row r="1079" spans="1:5">
      <c r="A1079" s="766"/>
      <c r="D1079" s="767"/>
      <c r="E1079" s="767"/>
    </row>
    <row r="1080" spans="1:5">
      <c r="A1080" s="766"/>
      <c r="D1080" s="767"/>
      <c r="E1080" s="767"/>
    </row>
    <row r="1081" spans="1:5">
      <c r="A1081" s="766"/>
      <c r="D1081" s="767"/>
      <c r="E1081" s="767"/>
    </row>
    <row r="1082" spans="1:5">
      <c r="A1082" s="766"/>
      <c r="D1082" s="767"/>
      <c r="E1082" s="767"/>
    </row>
    <row r="1083" spans="1:5">
      <c r="A1083" s="766"/>
      <c r="D1083" s="767"/>
      <c r="E1083" s="767"/>
    </row>
    <row r="1084" spans="1:5">
      <c r="A1084" s="766"/>
      <c r="D1084" s="767"/>
      <c r="E1084" s="767"/>
    </row>
    <row r="1085" spans="1:5">
      <c r="A1085" s="766"/>
      <c r="D1085" s="767"/>
      <c r="E1085" s="767"/>
    </row>
    <row r="1086" spans="1:5">
      <c r="A1086" s="766"/>
      <c r="D1086" s="767"/>
      <c r="E1086" s="767"/>
    </row>
    <row r="1087" spans="1:5">
      <c r="A1087" s="766"/>
      <c r="D1087" s="767"/>
      <c r="E1087" s="767"/>
    </row>
    <row r="1088" spans="1:5">
      <c r="A1088" s="766"/>
      <c r="D1088" s="767"/>
      <c r="E1088" s="767"/>
    </row>
    <row r="1089" spans="1:5">
      <c r="A1089" s="766"/>
      <c r="D1089" s="767"/>
      <c r="E1089" s="767"/>
    </row>
    <row r="1090" spans="1:5">
      <c r="A1090" s="766"/>
      <c r="D1090" s="767"/>
      <c r="E1090" s="767"/>
    </row>
    <row r="1091" spans="1:5">
      <c r="A1091" s="766"/>
      <c r="D1091" s="767"/>
      <c r="E1091" s="767"/>
    </row>
    <row r="1092" spans="1:5">
      <c r="A1092" s="766"/>
      <c r="D1092" s="767"/>
      <c r="E1092" s="767"/>
    </row>
    <row r="1093" spans="1:5">
      <c r="A1093" s="766"/>
      <c r="D1093" s="767"/>
      <c r="E1093" s="767"/>
    </row>
    <row r="1094" spans="1:5">
      <c r="A1094" s="766"/>
      <c r="D1094" s="767"/>
      <c r="E1094" s="767"/>
    </row>
    <row r="1095" spans="1:5">
      <c r="A1095" s="766"/>
      <c r="D1095" s="767"/>
      <c r="E1095" s="767"/>
    </row>
    <row r="1096" spans="1:5">
      <c r="A1096" s="766"/>
      <c r="D1096" s="767"/>
      <c r="E1096" s="767"/>
    </row>
    <row r="1097" spans="1:5">
      <c r="A1097" s="766"/>
      <c r="D1097" s="767"/>
      <c r="E1097" s="767"/>
    </row>
    <row r="1098" spans="1:5">
      <c r="A1098" s="766"/>
      <c r="D1098" s="767"/>
      <c r="E1098" s="767"/>
    </row>
    <row r="1099" spans="1:5">
      <c r="A1099" s="766"/>
      <c r="D1099" s="767"/>
      <c r="E1099" s="767"/>
    </row>
    <row r="1100" spans="1:5">
      <c r="A1100" s="766"/>
      <c r="D1100" s="767"/>
      <c r="E1100" s="767"/>
    </row>
    <row r="1101" spans="1:5">
      <c r="A1101" s="766"/>
      <c r="D1101" s="767"/>
      <c r="E1101" s="767"/>
    </row>
    <row r="1102" spans="1:5">
      <c r="A1102" s="766"/>
      <c r="D1102" s="767"/>
      <c r="E1102" s="767"/>
    </row>
    <row r="1103" spans="1:5">
      <c r="A1103" s="766"/>
      <c r="D1103" s="767"/>
      <c r="E1103" s="767"/>
    </row>
    <row r="1104" spans="1:5">
      <c r="A1104" s="766"/>
      <c r="D1104" s="767"/>
      <c r="E1104" s="767"/>
    </row>
    <row r="1105" spans="1:5">
      <c r="A1105" s="766"/>
      <c r="D1105" s="767"/>
      <c r="E1105" s="767"/>
    </row>
    <row r="1106" spans="1:5">
      <c r="A1106" s="766"/>
      <c r="D1106" s="767"/>
      <c r="E1106" s="767"/>
    </row>
    <row r="1107" spans="1:5">
      <c r="A1107" s="766"/>
      <c r="D1107" s="767"/>
      <c r="E1107" s="767"/>
    </row>
    <row r="1108" spans="1:5">
      <c r="A1108" s="766"/>
      <c r="D1108" s="767"/>
      <c r="E1108" s="767"/>
    </row>
    <row r="1109" spans="1:5">
      <c r="A1109" s="766"/>
      <c r="D1109" s="767"/>
      <c r="E1109" s="767"/>
    </row>
    <row r="1110" spans="1:5">
      <c r="A1110" s="766"/>
      <c r="D1110" s="767"/>
      <c r="E1110" s="767"/>
    </row>
    <row r="1111" spans="1:5">
      <c r="A1111" s="766"/>
      <c r="D1111" s="767"/>
      <c r="E1111" s="767"/>
    </row>
    <row r="1112" spans="1:5">
      <c r="A1112" s="766"/>
      <c r="D1112" s="767"/>
      <c r="E1112" s="767"/>
    </row>
    <row r="1113" spans="1:5">
      <c r="A1113" s="766"/>
      <c r="D1113" s="767"/>
      <c r="E1113" s="767"/>
    </row>
    <row r="1114" spans="1:5">
      <c r="A1114" s="766"/>
      <c r="D1114" s="767"/>
      <c r="E1114" s="767"/>
    </row>
    <row r="1115" spans="1:5">
      <c r="A1115" s="766"/>
      <c r="D1115" s="767"/>
      <c r="E1115" s="767"/>
    </row>
    <row r="1116" spans="1:5">
      <c r="A1116" s="766"/>
      <c r="D1116" s="767"/>
      <c r="E1116" s="767"/>
    </row>
    <row r="1117" spans="1:5">
      <c r="A1117" s="766"/>
      <c r="D1117" s="767"/>
      <c r="E1117" s="767"/>
    </row>
    <row r="1118" spans="1:5">
      <c r="A1118" s="766"/>
      <c r="D1118" s="767"/>
      <c r="E1118" s="767"/>
    </row>
    <row r="1119" spans="1:5">
      <c r="A1119" s="766"/>
      <c r="D1119" s="767"/>
      <c r="E1119" s="767"/>
    </row>
    <row r="1120" spans="1:5">
      <c r="A1120" s="766"/>
      <c r="D1120" s="767"/>
      <c r="E1120" s="767"/>
    </row>
    <row r="1121" spans="1:5">
      <c r="A1121" s="766"/>
      <c r="D1121" s="767"/>
      <c r="E1121" s="767"/>
    </row>
    <row r="1122" spans="1:5">
      <c r="A1122" s="766"/>
      <c r="D1122" s="767"/>
      <c r="E1122" s="767"/>
    </row>
    <row r="1123" spans="1:5">
      <c r="A1123" s="766"/>
      <c r="D1123" s="767"/>
      <c r="E1123" s="767"/>
    </row>
    <row r="1124" spans="1:5">
      <c r="A1124" s="766"/>
      <c r="D1124" s="767"/>
      <c r="E1124" s="767"/>
    </row>
    <row r="1125" spans="1:5">
      <c r="A1125" s="766"/>
      <c r="D1125" s="767"/>
      <c r="E1125" s="767"/>
    </row>
    <row r="1126" spans="1:5">
      <c r="A1126" s="766"/>
      <c r="D1126" s="767"/>
      <c r="E1126" s="767"/>
    </row>
    <row r="1127" spans="1:5">
      <c r="A1127" s="766"/>
      <c r="D1127" s="767"/>
      <c r="E1127" s="767"/>
    </row>
    <row r="1128" spans="1:5">
      <c r="A1128" s="766"/>
      <c r="D1128" s="767"/>
      <c r="E1128" s="767"/>
    </row>
    <row r="1129" spans="1:5">
      <c r="A1129" s="766"/>
      <c r="D1129" s="767"/>
      <c r="E1129" s="767"/>
    </row>
    <row r="1130" spans="1:5">
      <c r="A1130" s="766"/>
      <c r="D1130" s="767"/>
      <c r="E1130" s="767"/>
    </row>
    <row r="1131" spans="1:5">
      <c r="A1131" s="766"/>
      <c r="D1131" s="767"/>
      <c r="E1131" s="767"/>
    </row>
    <row r="1132" spans="1:5">
      <c r="A1132" s="766"/>
      <c r="D1132" s="767"/>
      <c r="E1132" s="767"/>
    </row>
    <row r="1133" spans="1:5">
      <c r="A1133" s="766"/>
      <c r="D1133" s="767"/>
      <c r="E1133" s="767"/>
    </row>
    <row r="1134" spans="1:5">
      <c r="A1134" s="766"/>
      <c r="D1134" s="767"/>
      <c r="E1134" s="767"/>
    </row>
    <row r="1135" spans="1:5">
      <c r="A1135" s="766"/>
      <c r="D1135" s="767"/>
      <c r="E1135" s="767"/>
    </row>
    <row r="1136" spans="1:5">
      <c r="A1136" s="766"/>
      <c r="D1136" s="767"/>
      <c r="E1136" s="767"/>
    </row>
    <row r="1137" spans="1:5">
      <c r="A1137" s="766"/>
      <c r="D1137" s="767"/>
      <c r="E1137" s="767"/>
    </row>
    <row r="1138" spans="1:5">
      <c r="A1138" s="766"/>
      <c r="D1138" s="767"/>
      <c r="E1138" s="767"/>
    </row>
    <row r="1139" spans="1:5">
      <c r="A1139" s="766"/>
      <c r="D1139" s="767"/>
      <c r="E1139" s="767"/>
    </row>
    <row r="1140" spans="1:5">
      <c r="A1140" s="766"/>
      <c r="D1140" s="767"/>
      <c r="E1140" s="767"/>
    </row>
    <row r="1141" spans="1:5">
      <c r="A1141" s="766"/>
      <c r="D1141" s="767"/>
      <c r="E1141" s="767"/>
    </row>
    <row r="1142" spans="1:5">
      <c r="A1142" s="766"/>
      <c r="D1142" s="767"/>
      <c r="E1142" s="767"/>
    </row>
    <row r="1143" spans="1:5">
      <c r="A1143" s="766"/>
      <c r="D1143" s="767"/>
      <c r="E1143" s="767"/>
    </row>
    <row r="1144" spans="1:5">
      <c r="A1144" s="766"/>
      <c r="D1144" s="767"/>
      <c r="E1144" s="767"/>
    </row>
    <row r="1145" spans="1:5">
      <c r="A1145" s="766"/>
      <c r="D1145" s="767"/>
      <c r="E1145" s="767"/>
    </row>
    <row r="1146" spans="1:5">
      <c r="A1146" s="766"/>
      <c r="D1146" s="767"/>
      <c r="E1146" s="767"/>
    </row>
    <row r="1147" spans="1:5">
      <c r="A1147" s="766"/>
      <c r="D1147" s="767"/>
      <c r="E1147" s="767"/>
    </row>
    <row r="1148" spans="1:5">
      <c r="A1148" s="766"/>
      <c r="D1148" s="767"/>
      <c r="E1148" s="767"/>
    </row>
    <row r="1149" spans="1:5">
      <c r="A1149" s="766"/>
      <c r="D1149" s="767"/>
      <c r="E1149" s="767"/>
    </row>
    <row r="1150" spans="1:5">
      <c r="A1150" s="766"/>
      <c r="D1150" s="767"/>
      <c r="E1150" s="767"/>
    </row>
    <row r="1151" spans="1:5">
      <c r="A1151" s="766"/>
      <c r="D1151" s="767"/>
      <c r="E1151" s="767"/>
    </row>
    <row r="1152" spans="1:5">
      <c r="A1152" s="766"/>
      <c r="D1152" s="767"/>
      <c r="E1152" s="767"/>
    </row>
    <row r="1153" spans="1:5">
      <c r="A1153" s="766"/>
      <c r="D1153" s="767"/>
      <c r="E1153" s="767"/>
    </row>
    <row r="1154" spans="1:5">
      <c r="A1154" s="766"/>
      <c r="D1154" s="767"/>
      <c r="E1154" s="767"/>
    </row>
    <row r="1155" spans="1:5">
      <c r="A1155" s="766"/>
      <c r="D1155" s="767"/>
      <c r="E1155" s="767"/>
    </row>
    <row r="1156" spans="1:5">
      <c r="A1156" s="766"/>
      <c r="D1156" s="767"/>
      <c r="E1156" s="767"/>
    </row>
    <row r="1157" spans="1:5">
      <c r="A1157" s="766"/>
      <c r="D1157" s="767"/>
      <c r="E1157" s="767"/>
    </row>
    <row r="1158" spans="1:5">
      <c r="A1158" s="766"/>
      <c r="D1158" s="767"/>
      <c r="E1158" s="767"/>
    </row>
    <row r="1159" spans="1:5">
      <c r="A1159" s="766"/>
      <c r="D1159" s="767"/>
      <c r="E1159" s="767"/>
    </row>
    <row r="1160" spans="1:5">
      <c r="A1160" s="766"/>
      <c r="D1160" s="767"/>
      <c r="E1160" s="767"/>
    </row>
    <row r="1161" spans="1:5">
      <c r="A1161" s="766"/>
      <c r="D1161" s="767"/>
      <c r="E1161" s="767"/>
    </row>
    <row r="1162" spans="1:5">
      <c r="A1162" s="766"/>
      <c r="D1162" s="767"/>
      <c r="E1162" s="767"/>
    </row>
    <row r="1163" spans="1:5">
      <c r="A1163" s="766"/>
      <c r="D1163" s="767"/>
      <c r="E1163" s="767"/>
    </row>
    <row r="1164" spans="1:5">
      <c r="A1164" s="766"/>
      <c r="D1164" s="767"/>
      <c r="E1164" s="767"/>
    </row>
    <row r="1165" spans="1:5">
      <c r="A1165" s="766"/>
      <c r="D1165" s="767"/>
      <c r="E1165" s="767"/>
    </row>
    <row r="1166" spans="1:5">
      <c r="A1166" s="766"/>
      <c r="D1166" s="767"/>
      <c r="E1166" s="767"/>
    </row>
    <row r="1167" spans="1:5">
      <c r="A1167" s="766"/>
      <c r="D1167" s="767"/>
      <c r="E1167" s="767"/>
    </row>
    <row r="1168" spans="1:5">
      <c r="A1168" s="766"/>
      <c r="D1168" s="767"/>
      <c r="E1168" s="767"/>
    </row>
    <row r="1169" spans="1:5">
      <c r="A1169" s="766"/>
      <c r="D1169" s="767"/>
      <c r="E1169" s="767"/>
    </row>
    <row r="1170" spans="1:5">
      <c r="A1170" s="766"/>
      <c r="D1170" s="767"/>
      <c r="E1170" s="767"/>
    </row>
    <row r="1171" spans="1:5">
      <c r="A1171" s="766"/>
      <c r="D1171" s="767"/>
      <c r="E1171" s="767"/>
    </row>
    <row r="1172" spans="1:5">
      <c r="A1172" s="766"/>
      <c r="D1172" s="767"/>
      <c r="E1172" s="767"/>
    </row>
    <row r="1173" spans="1:5">
      <c r="A1173" s="766"/>
      <c r="D1173" s="767"/>
      <c r="E1173" s="767"/>
    </row>
    <row r="1174" spans="1:5">
      <c r="A1174" s="766"/>
      <c r="D1174" s="767"/>
      <c r="E1174" s="767"/>
    </row>
    <row r="1175" spans="1:5">
      <c r="A1175" s="766"/>
      <c r="D1175" s="767"/>
      <c r="E1175" s="767"/>
    </row>
    <row r="1176" spans="1:5">
      <c r="A1176" s="766"/>
      <c r="D1176" s="767"/>
      <c r="E1176" s="767"/>
    </row>
    <row r="1177" spans="1:5">
      <c r="A1177" s="766"/>
      <c r="D1177" s="767"/>
      <c r="E1177" s="767"/>
    </row>
    <row r="1178" spans="1:5">
      <c r="A1178" s="766"/>
      <c r="D1178" s="767"/>
      <c r="E1178" s="767"/>
    </row>
    <row r="1179" spans="1:5">
      <c r="A1179" s="766"/>
      <c r="D1179" s="767"/>
      <c r="E1179" s="767"/>
    </row>
    <row r="1180" spans="1:5">
      <c r="A1180" s="766"/>
      <c r="D1180" s="767"/>
      <c r="E1180" s="767"/>
    </row>
    <row r="1181" spans="1:5">
      <c r="A1181" s="766"/>
      <c r="D1181" s="767"/>
      <c r="E1181" s="767"/>
    </row>
    <row r="1182" spans="1:5">
      <c r="A1182" s="766"/>
      <c r="D1182" s="767"/>
      <c r="E1182" s="767"/>
    </row>
    <row r="1183" spans="1:5">
      <c r="A1183" s="766"/>
      <c r="D1183" s="767"/>
      <c r="E1183" s="767"/>
    </row>
    <row r="1184" spans="1:5">
      <c r="A1184" s="766"/>
      <c r="D1184" s="767"/>
      <c r="E1184" s="767"/>
    </row>
    <row r="1185" spans="1:5">
      <c r="A1185" s="766"/>
      <c r="D1185" s="767"/>
      <c r="E1185" s="767"/>
    </row>
    <row r="1186" spans="1:5">
      <c r="A1186" s="766"/>
      <c r="D1186" s="767"/>
      <c r="E1186" s="767"/>
    </row>
    <row r="1187" spans="1:5">
      <c r="A1187" s="766"/>
      <c r="D1187" s="767"/>
      <c r="E1187" s="767"/>
    </row>
    <row r="1188" spans="1:5">
      <c r="A1188" s="766"/>
      <c r="D1188" s="767"/>
      <c r="E1188" s="767"/>
    </row>
    <row r="1189" spans="1:5">
      <c r="A1189" s="766"/>
      <c r="D1189" s="767"/>
      <c r="E1189" s="767"/>
    </row>
    <row r="1190" spans="1:5">
      <c r="A1190" s="766"/>
      <c r="D1190" s="767"/>
      <c r="E1190" s="767"/>
    </row>
    <row r="1191" spans="1:5">
      <c r="A1191" s="766"/>
      <c r="D1191" s="767"/>
      <c r="E1191" s="767"/>
    </row>
    <row r="1192" spans="1:5">
      <c r="A1192" s="766"/>
      <c r="D1192" s="767"/>
      <c r="E1192" s="767"/>
    </row>
    <row r="1193" spans="1:5">
      <c r="A1193" s="766"/>
      <c r="D1193" s="767"/>
      <c r="E1193" s="767"/>
    </row>
    <row r="1194" spans="1:5">
      <c r="A1194" s="766"/>
      <c r="D1194" s="767"/>
      <c r="E1194" s="767"/>
    </row>
    <row r="1195" spans="1:5">
      <c r="A1195" s="766"/>
      <c r="D1195" s="767"/>
      <c r="E1195" s="767"/>
    </row>
    <row r="1196" spans="1:5">
      <c r="A1196" s="766"/>
      <c r="D1196" s="767"/>
      <c r="E1196" s="767"/>
    </row>
    <row r="1197" spans="1:5">
      <c r="A1197" s="766"/>
      <c r="D1197" s="767"/>
      <c r="E1197" s="767"/>
    </row>
    <row r="1198" spans="1:5">
      <c r="A1198" s="766"/>
      <c r="D1198" s="767"/>
      <c r="E1198" s="767"/>
    </row>
    <row r="1199" spans="1:5">
      <c r="A1199" s="766"/>
      <c r="D1199" s="767"/>
      <c r="E1199" s="767"/>
    </row>
    <row r="1200" spans="1:5">
      <c r="A1200" s="766"/>
      <c r="D1200" s="767"/>
      <c r="E1200" s="767"/>
    </row>
    <row r="1201" spans="1:5">
      <c r="A1201" s="766"/>
      <c r="D1201" s="767"/>
      <c r="E1201" s="767"/>
    </row>
    <row r="1202" spans="1:5">
      <c r="A1202" s="766"/>
      <c r="D1202" s="767"/>
      <c r="E1202" s="767"/>
    </row>
    <row r="1203" spans="1:5">
      <c r="A1203" s="766"/>
      <c r="D1203" s="767"/>
      <c r="E1203" s="767"/>
    </row>
    <row r="1204" spans="1:5">
      <c r="A1204" s="766"/>
      <c r="D1204" s="767"/>
      <c r="E1204" s="767"/>
    </row>
    <row r="1205" spans="1:5">
      <c r="A1205" s="766"/>
      <c r="D1205" s="767"/>
      <c r="E1205" s="767"/>
    </row>
    <row r="1206" spans="1:5">
      <c r="A1206" s="766"/>
      <c r="D1206" s="767"/>
      <c r="E1206" s="767"/>
    </row>
    <row r="1207" spans="1:5">
      <c r="A1207" s="766"/>
      <c r="D1207" s="767"/>
      <c r="E1207" s="767"/>
    </row>
    <row r="1208" spans="1:5">
      <c r="A1208" s="766"/>
      <c r="D1208" s="767"/>
      <c r="E1208" s="767"/>
    </row>
    <row r="1209" spans="1:5">
      <c r="A1209" s="766"/>
      <c r="D1209" s="767"/>
      <c r="E1209" s="767"/>
    </row>
    <row r="1210" spans="1:5">
      <c r="A1210" s="766"/>
      <c r="D1210" s="767"/>
      <c r="E1210" s="767"/>
    </row>
    <row r="1211" spans="1:5">
      <c r="A1211" s="766"/>
      <c r="D1211" s="767"/>
      <c r="E1211" s="767"/>
    </row>
    <row r="1212" spans="1:5">
      <c r="A1212" s="766"/>
      <c r="D1212" s="767"/>
      <c r="E1212" s="767"/>
    </row>
    <row r="1213" spans="1:5">
      <c r="A1213" s="766"/>
      <c r="D1213" s="767"/>
      <c r="E1213" s="767"/>
    </row>
    <row r="1214" spans="1:5">
      <c r="A1214" s="766"/>
      <c r="D1214" s="767"/>
      <c r="E1214" s="767"/>
    </row>
    <row r="1215" spans="1:5">
      <c r="A1215" s="766"/>
      <c r="D1215" s="767"/>
      <c r="E1215" s="767"/>
    </row>
    <row r="1216" spans="1:5">
      <c r="A1216" s="766"/>
      <c r="D1216" s="767"/>
      <c r="E1216" s="767"/>
    </row>
    <row r="1217" spans="1:5">
      <c r="A1217" s="766"/>
      <c r="D1217" s="767"/>
      <c r="E1217" s="767"/>
    </row>
    <row r="1218" spans="1:5">
      <c r="A1218" s="766"/>
      <c r="D1218" s="767"/>
      <c r="E1218" s="767"/>
    </row>
    <row r="1219" spans="1:5">
      <c r="A1219" s="766"/>
      <c r="D1219" s="767"/>
      <c r="E1219" s="767"/>
    </row>
    <row r="1220" spans="1:5">
      <c r="A1220" s="766"/>
      <c r="D1220" s="767"/>
      <c r="E1220" s="767"/>
    </row>
    <row r="1221" spans="1:5">
      <c r="A1221" s="766"/>
      <c r="D1221" s="767"/>
      <c r="E1221" s="767"/>
    </row>
    <row r="1222" spans="1:5">
      <c r="A1222" s="766"/>
      <c r="D1222" s="767"/>
      <c r="E1222" s="767"/>
    </row>
    <row r="1223" spans="1:5">
      <c r="A1223" s="766"/>
      <c r="D1223" s="767"/>
      <c r="E1223" s="767"/>
    </row>
    <row r="1224" spans="1:5">
      <c r="A1224" s="766"/>
      <c r="D1224" s="767"/>
      <c r="E1224" s="767"/>
    </row>
    <row r="1225" spans="1:5">
      <c r="A1225" s="766"/>
      <c r="D1225" s="767"/>
      <c r="E1225" s="767"/>
    </row>
    <row r="1226" spans="1:5">
      <c r="A1226" s="766"/>
      <c r="D1226" s="767"/>
      <c r="E1226" s="767"/>
    </row>
    <row r="1227" spans="1:5">
      <c r="A1227" s="766"/>
      <c r="D1227" s="767"/>
      <c r="E1227" s="767"/>
    </row>
    <row r="1228" spans="1:5">
      <c r="A1228" s="766"/>
      <c r="D1228" s="767"/>
      <c r="E1228" s="767"/>
    </row>
    <row r="1229" spans="1:5">
      <c r="A1229" s="766"/>
      <c r="D1229" s="767"/>
      <c r="E1229" s="767"/>
    </row>
    <row r="1230" spans="1:5">
      <c r="A1230" s="766"/>
      <c r="D1230" s="767"/>
      <c r="E1230" s="767"/>
    </row>
    <row r="1231" spans="1:5">
      <c r="A1231" s="766"/>
      <c r="D1231" s="767"/>
      <c r="E1231" s="767"/>
    </row>
    <row r="1232" spans="1:5">
      <c r="A1232" s="766"/>
      <c r="D1232" s="767"/>
      <c r="E1232" s="767"/>
    </row>
    <row r="1233" spans="1:5">
      <c r="A1233" s="766"/>
      <c r="D1233" s="767"/>
      <c r="E1233" s="767"/>
    </row>
    <row r="1234" spans="1:5">
      <c r="A1234" s="766"/>
      <c r="D1234" s="767"/>
      <c r="E1234" s="767"/>
    </row>
    <row r="1235" spans="1:5">
      <c r="A1235" s="766"/>
      <c r="D1235" s="767"/>
      <c r="E1235" s="767"/>
    </row>
    <row r="1236" spans="1:5">
      <c r="A1236" s="766"/>
      <c r="D1236" s="767"/>
      <c r="E1236" s="767"/>
    </row>
    <row r="1237" spans="1:5">
      <c r="A1237" s="766"/>
      <c r="D1237" s="767"/>
      <c r="E1237" s="767"/>
    </row>
    <row r="1238" spans="1:5">
      <c r="A1238" s="766"/>
      <c r="D1238" s="767"/>
      <c r="E1238" s="767"/>
    </row>
    <row r="1239" spans="1:5">
      <c r="A1239" s="766"/>
      <c r="D1239" s="767"/>
      <c r="E1239" s="767"/>
    </row>
    <row r="1240" spans="1:5">
      <c r="A1240" s="766"/>
      <c r="D1240" s="767"/>
      <c r="E1240" s="767"/>
    </row>
    <row r="1241" spans="1:5">
      <c r="A1241" s="766"/>
      <c r="D1241" s="767"/>
      <c r="E1241" s="767"/>
    </row>
    <row r="1242" spans="1:5">
      <c r="A1242" s="766"/>
      <c r="D1242" s="767"/>
      <c r="E1242" s="767"/>
    </row>
    <row r="1243" spans="1:5">
      <c r="A1243" s="766"/>
      <c r="D1243" s="767"/>
      <c r="E1243" s="767"/>
    </row>
    <row r="1244" spans="1:5">
      <c r="A1244" s="766"/>
      <c r="D1244" s="767"/>
      <c r="E1244" s="767"/>
    </row>
    <row r="1245" spans="1:5">
      <c r="A1245" s="766"/>
      <c r="D1245" s="767"/>
      <c r="E1245" s="767"/>
    </row>
    <row r="1246" spans="1:5">
      <c r="A1246" s="766"/>
      <c r="D1246" s="767"/>
      <c r="E1246" s="767"/>
    </row>
    <row r="1247" spans="1:5">
      <c r="A1247" s="766"/>
      <c r="D1247" s="767"/>
      <c r="E1247" s="767"/>
    </row>
    <row r="1248" spans="1:5">
      <c r="A1248" s="766"/>
      <c r="D1248" s="767"/>
      <c r="E1248" s="767"/>
    </row>
    <row r="1249" spans="1:5">
      <c r="A1249" s="766"/>
      <c r="D1249" s="767"/>
      <c r="E1249" s="767"/>
    </row>
    <row r="1250" spans="1:5">
      <c r="A1250" s="766"/>
      <c r="D1250" s="767"/>
      <c r="E1250" s="767"/>
    </row>
    <row r="1251" spans="1:5">
      <c r="A1251" s="766"/>
      <c r="D1251" s="767"/>
      <c r="E1251" s="767"/>
    </row>
    <row r="1252" spans="1:5">
      <c r="A1252" s="766"/>
      <c r="D1252" s="767"/>
      <c r="E1252" s="767"/>
    </row>
    <row r="1253" spans="1:5">
      <c r="A1253" s="766"/>
      <c r="D1253" s="767"/>
      <c r="E1253" s="767"/>
    </row>
    <row r="1254" spans="1:5">
      <c r="A1254" s="766"/>
      <c r="D1254" s="767"/>
      <c r="E1254" s="767"/>
    </row>
    <row r="1255" spans="1:5">
      <c r="A1255" s="766"/>
      <c r="D1255" s="767"/>
      <c r="E1255" s="767"/>
    </row>
    <row r="1256" spans="1:5">
      <c r="A1256" s="766"/>
      <c r="D1256" s="767"/>
      <c r="E1256" s="767"/>
    </row>
    <row r="1257" spans="1:5">
      <c r="A1257" s="766"/>
      <c r="D1257" s="767"/>
      <c r="E1257" s="767"/>
    </row>
    <row r="1258" spans="1:5">
      <c r="A1258" s="766"/>
      <c r="D1258" s="767"/>
      <c r="E1258" s="767"/>
    </row>
    <row r="1259" spans="1:5">
      <c r="A1259" s="766"/>
      <c r="D1259" s="767"/>
      <c r="E1259" s="767"/>
    </row>
    <row r="1260" spans="1:5">
      <c r="A1260" s="766"/>
      <c r="D1260" s="767"/>
      <c r="E1260" s="767"/>
    </row>
    <row r="1261" spans="1:5">
      <c r="A1261" s="766"/>
      <c r="D1261" s="767"/>
      <c r="E1261" s="767"/>
    </row>
    <row r="1262" spans="1:5">
      <c r="A1262" s="766"/>
      <c r="D1262" s="767"/>
      <c r="E1262" s="767"/>
    </row>
    <row r="1263" spans="1:5">
      <c r="A1263" s="766"/>
      <c r="D1263" s="767"/>
      <c r="E1263" s="767"/>
    </row>
    <row r="1264" spans="1:5">
      <c r="A1264" s="766"/>
      <c r="D1264" s="767"/>
      <c r="E1264" s="767"/>
    </row>
    <row r="1265" spans="1:5">
      <c r="A1265" s="766"/>
      <c r="D1265" s="767"/>
      <c r="E1265" s="767"/>
    </row>
    <row r="1266" spans="1:5">
      <c r="A1266" s="766"/>
      <c r="D1266" s="767"/>
      <c r="E1266" s="767"/>
    </row>
    <row r="1267" spans="1:5">
      <c r="A1267" s="766"/>
      <c r="D1267" s="767"/>
      <c r="E1267" s="767"/>
    </row>
    <row r="1268" spans="1:5">
      <c r="A1268" s="766"/>
      <c r="D1268" s="767"/>
      <c r="E1268" s="767"/>
    </row>
    <row r="1269" spans="1:5">
      <c r="A1269" s="766"/>
      <c r="D1269" s="767"/>
      <c r="E1269" s="767"/>
    </row>
    <row r="1270" spans="1:5">
      <c r="A1270" s="766"/>
      <c r="D1270" s="767"/>
      <c r="E1270" s="767"/>
    </row>
    <row r="1271" spans="1:5">
      <c r="A1271" s="766"/>
      <c r="D1271" s="767"/>
      <c r="E1271" s="767"/>
    </row>
    <row r="1272" spans="1:5">
      <c r="A1272" s="766"/>
      <c r="D1272" s="767"/>
      <c r="E1272" s="767"/>
    </row>
    <row r="1273" spans="1:5">
      <c r="A1273" s="766"/>
      <c r="D1273" s="767"/>
      <c r="E1273" s="767"/>
    </row>
    <row r="1274" spans="1:5">
      <c r="A1274" s="766"/>
      <c r="D1274" s="767"/>
      <c r="E1274" s="767"/>
    </row>
    <row r="1275" spans="1:5">
      <c r="A1275" s="766"/>
      <c r="D1275" s="767"/>
      <c r="E1275" s="767"/>
    </row>
    <row r="1276" spans="1:5">
      <c r="A1276" s="766"/>
      <c r="D1276" s="767"/>
      <c r="E1276" s="767"/>
    </row>
    <row r="1277" spans="1:5">
      <c r="A1277" s="766"/>
      <c r="D1277" s="767"/>
      <c r="E1277" s="767"/>
    </row>
    <row r="1278" spans="1:5">
      <c r="A1278" s="766"/>
      <c r="D1278" s="767"/>
      <c r="E1278" s="767"/>
    </row>
    <row r="1279" spans="1:5">
      <c r="A1279" s="766"/>
      <c r="D1279" s="767"/>
      <c r="E1279" s="767"/>
    </row>
    <row r="1280" spans="1:5">
      <c r="A1280" s="766"/>
      <c r="D1280" s="767"/>
      <c r="E1280" s="767"/>
    </row>
    <row r="1281" spans="1:5">
      <c r="A1281" s="766"/>
      <c r="D1281" s="767"/>
      <c r="E1281" s="767"/>
    </row>
    <row r="1282" spans="1:5">
      <c r="A1282" s="766"/>
      <c r="D1282" s="767"/>
      <c r="E1282" s="767"/>
    </row>
    <row r="1283" spans="1:5">
      <c r="A1283" s="766"/>
      <c r="D1283" s="767"/>
      <c r="E1283" s="767"/>
    </row>
    <row r="1284" spans="1:5">
      <c r="A1284" s="766"/>
      <c r="D1284" s="767"/>
      <c r="E1284" s="767"/>
    </row>
    <row r="1285" spans="1:5">
      <c r="A1285" s="766"/>
      <c r="D1285" s="767"/>
      <c r="E1285" s="767"/>
    </row>
    <row r="1286" spans="1:5">
      <c r="A1286" s="766"/>
      <c r="D1286" s="767"/>
      <c r="E1286" s="767"/>
    </row>
    <row r="1287" spans="1:5">
      <c r="A1287" s="766"/>
      <c r="D1287" s="767"/>
      <c r="E1287" s="767"/>
    </row>
    <row r="1288" spans="1:5">
      <c r="A1288" s="766"/>
      <c r="D1288" s="767"/>
      <c r="E1288" s="767"/>
    </row>
    <row r="1289" spans="1:5">
      <c r="A1289" s="766"/>
      <c r="D1289" s="767"/>
      <c r="E1289" s="767"/>
    </row>
    <row r="1290" spans="1:5">
      <c r="A1290" s="766"/>
      <c r="D1290" s="767"/>
      <c r="E1290" s="767"/>
    </row>
    <row r="1291" spans="1:5">
      <c r="A1291" s="766"/>
      <c r="D1291" s="767"/>
      <c r="E1291" s="767"/>
    </row>
    <row r="1292" spans="1:5">
      <c r="A1292" s="766"/>
      <c r="D1292" s="767"/>
      <c r="E1292" s="767"/>
    </row>
    <row r="1293" spans="1:5">
      <c r="A1293" s="766"/>
      <c r="D1293" s="767"/>
      <c r="E1293" s="767"/>
    </row>
    <row r="1294" spans="1:5">
      <c r="A1294" s="766"/>
      <c r="D1294" s="767"/>
      <c r="E1294" s="767"/>
    </row>
    <row r="1295" spans="1:5">
      <c r="A1295" s="766"/>
      <c r="D1295" s="767"/>
      <c r="E1295" s="767"/>
    </row>
    <row r="1296" spans="1:5">
      <c r="A1296" s="766"/>
      <c r="D1296" s="767"/>
      <c r="E1296" s="767"/>
    </row>
    <row r="1297" spans="1:5">
      <c r="A1297" s="766"/>
      <c r="D1297" s="767"/>
      <c r="E1297" s="767"/>
    </row>
    <row r="1298" spans="1:5">
      <c r="A1298" s="766"/>
      <c r="D1298" s="767"/>
      <c r="E1298" s="767"/>
    </row>
    <row r="1299" spans="1:5">
      <c r="A1299" s="766"/>
      <c r="D1299" s="767"/>
      <c r="E1299" s="767"/>
    </row>
    <row r="1300" spans="1:5">
      <c r="A1300" s="766"/>
      <c r="D1300" s="767"/>
      <c r="E1300" s="767"/>
    </row>
    <row r="1301" spans="1:5">
      <c r="A1301" s="766"/>
      <c r="D1301" s="767"/>
      <c r="E1301" s="767"/>
    </row>
    <row r="1302" spans="1:5">
      <c r="A1302" s="766"/>
      <c r="D1302" s="767"/>
      <c r="E1302" s="767"/>
    </row>
    <row r="1303" spans="1:5">
      <c r="A1303" s="766"/>
      <c r="D1303" s="767"/>
      <c r="E1303" s="767"/>
    </row>
    <row r="1304" spans="1:5">
      <c r="A1304" s="766"/>
      <c r="D1304" s="767"/>
      <c r="E1304" s="767"/>
    </row>
    <row r="1305" spans="1:5">
      <c r="A1305" s="766"/>
      <c r="D1305" s="767"/>
      <c r="E1305" s="767"/>
    </row>
    <row r="1306" spans="1:5">
      <c r="A1306" s="766"/>
      <c r="D1306" s="767"/>
      <c r="E1306" s="767"/>
    </row>
    <row r="1307" spans="1:5">
      <c r="A1307" s="766"/>
      <c r="D1307" s="767"/>
      <c r="E1307" s="767"/>
    </row>
    <row r="1308" spans="1:5">
      <c r="A1308" s="766"/>
      <c r="D1308" s="767"/>
      <c r="E1308" s="767"/>
    </row>
    <row r="1309" spans="1:5">
      <c r="A1309" s="766"/>
      <c r="D1309" s="767"/>
      <c r="E1309" s="767"/>
    </row>
    <row r="1310" spans="1:5">
      <c r="A1310" s="766"/>
      <c r="D1310" s="767"/>
      <c r="E1310" s="767"/>
    </row>
    <row r="1311" spans="1:5">
      <c r="A1311" s="766"/>
      <c r="D1311" s="767"/>
      <c r="E1311" s="767"/>
    </row>
    <row r="1312" spans="1:5">
      <c r="A1312" s="766"/>
      <c r="D1312" s="767"/>
      <c r="E1312" s="767"/>
    </row>
    <row r="1313" spans="1:5">
      <c r="A1313" s="766"/>
      <c r="D1313" s="767"/>
      <c r="E1313" s="767"/>
    </row>
    <row r="1314" spans="1:5">
      <c r="A1314" s="766"/>
      <c r="D1314" s="767"/>
      <c r="E1314" s="767"/>
    </row>
    <row r="1315" spans="1:5">
      <c r="A1315" s="766"/>
      <c r="D1315" s="767"/>
      <c r="E1315" s="767"/>
    </row>
    <row r="1316" spans="1:5">
      <c r="A1316" s="766"/>
      <c r="D1316" s="767"/>
      <c r="E1316" s="767"/>
    </row>
    <row r="1317" spans="1:5">
      <c r="A1317" s="766"/>
      <c r="D1317" s="767"/>
      <c r="E1317" s="767"/>
    </row>
    <row r="1318" spans="1:5">
      <c r="A1318" s="766"/>
      <c r="D1318" s="767"/>
      <c r="E1318" s="767"/>
    </row>
    <row r="1319" spans="1:5">
      <c r="A1319" s="766"/>
      <c r="D1319" s="767"/>
      <c r="E1319" s="767"/>
    </row>
    <row r="1320" spans="1:5">
      <c r="A1320" s="766"/>
      <c r="D1320" s="767"/>
      <c r="E1320" s="767"/>
    </row>
    <row r="1321" spans="1:5">
      <c r="A1321" s="766"/>
      <c r="D1321" s="767"/>
      <c r="E1321" s="767"/>
    </row>
    <row r="1322" spans="1:5">
      <c r="A1322" s="766"/>
      <c r="D1322" s="767"/>
      <c r="E1322" s="767"/>
    </row>
    <row r="1323" spans="1:5">
      <c r="A1323" s="766"/>
      <c r="D1323" s="767"/>
      <c r="E1323" s="767"/>
    </row>
    <row r="1324" spans="1:5">
      <c r="A1324" s="766"/>
      <c r="D1324" s="767"/>
      <c r="E1324" s="767"/>
    </row>
    <row r="1325" spans="1:5">
      <c r="A1325" s="766"/>
      <c r="D1325" s="767"/>
      <c r="E1325" s="767"/>
    </row>
    <row r="1326" spans="1:5">
      <c r="A1326" s="766"/>
      <c r="D1326" s="767"/>
      <c r="E1326" s="767"/>
    </row>
    <row r="1327" spans="1:5">
      <c r="A1327" s="766"/>
      <c r="D1327" s="767"/>
      <c r="E1327" s="767"/>
    </row>
    <row r="1328" spans="1:5">
      <c r="A1328" s="766"/>
      <c r="D1328" s="767"/>
      <c r="E1328" s="767"/>
    </row>
    <row r="1329" spans="1:5">
      <c r="A1329" s="766"/>
      <c r="D1329" s="767"/>
      <c r="E1329" s="767"/>
    </row>
    <row r="1330" spans="1:5">
      <c r="A1330" s="766"/>
      <c r="D1330" s="767"/>
      <c r="E1330" s="767"/>
    </row>
    <row r="1331" spans="1:5">
      <c r="A1331" s="766"/>
      <c r="D1331" s="767"/>
      <c r="E1331" s="767"/>
    </row>
    <row r="1332" spans="1:5">
      <c r="A1332" s="766"/>
      <c r="D1332" s="767"/>
      <c r="E1332" s="767"/>
    </row>
    <row r="1333" spans="1:5">
      <c r="A1333" s="766"/>
      <c r="D1333" s="767"/>
      <c r="E1333" s="767"/>
    </row>
    <row r="1334" spans="1:5">
      <c r="A1334" s="766"/>
      <c r="D1334" s="767"/>
      <c r="E1334" s="767"/>
    </row>
    <row r="1335" spans="1:5">
      <c r="A1335" s="766"/>
      <c r="D1335" s="767"/>
      <c r="E1335" s="767"/>
    </row>
    <row r="1336" spans="1:5">
      <c r="A1336" s="766"/>
      <c r="D1336" s="767"/>
      <c r="E1336" s="767"/>
    </row>
    <row r="1337" spans="1:5">
      <c r="A1337" s="766"/>
      <c r="D1337" s="767"/>
      <c r="E1337" s="767"/>
    </row>
    <row r="1338" spans="1:5">
      <c r="A1338" s="766"/>
      <c r="D1338" s="767"/>
      <c r="E1338" s="767"/>
    </row>
    <row r="1339" spans="1:5">
      <c r="A1339" s="766"/>
      <c r="D1339" s="767"/>
      <c r="E1339" s="767"/>
    </row>
    <row r="1340" spans="1:5">
      <c r="A1340" s="766"/>
      <c r="D1340" s="767"/>
      <c r="E1340" s="767"/>
    </row>
    <row r="1341" spans="1:5">
      <c r="A1341" s="766"/>
      <c r="D1341" s="767"/>
      <c r="E1341" s="767"/>
    </row>
    <row r="1342" spans="1:5">
      <c r="A1342" s="766"/>
      <c r="D1342" s="767"/>
      <c r="E1342" s="767"/>
    </row>
    <row r="1343" spans="1:5">
      <c r="A1343" s="766"/>
      <c r="D1343" s="767"/>
      <c r="E1343" s="767"/>
    </row>
    <row r="1344" spans="1:5">
      <c r="A1344" s="766"/>
      <c r="D1344" s="767"/>
      <c r="E1344" s="767"/>
    </row>
    <row r="1345" spans="1:5">
      <c r="A1345" s="766"/>
      <c r="D1345" s="767"/>
      <c r="E1345" s="767"/>
    </row>
    <row r="1346" spans="1:5">
      <c r="A1346" s="766"/>
      <c r="D1346" s="767"/>
      <c r="E1346" s="767"/>
    </row>
    <row r="1347" spans="1:5">
      <c r="A1347" s="766"/>
      <c r="D1347" s="767"/>
      <c r="E1347" s="767"/>
    </row>
    <row r="1348" spans="1:5">
      <c r="A1348" s="766"/>
      <c r="D1348" s="767"/>
      <c r="E1348" s="767"/>
    </row>
    <row r="1349" spans="1:5">
      <c r="A1349" s="766"/>
      <c r="D1349" s="767"/>
      <c r="E1349" s="767"/>
    </row>
    <row r="1350" spans="1:5">
      <c r="A1350" s="766"/>
      <c r="D1350" s="767"/>
      <c r="E1350" s="767"/>
    </row>
    <row r="1351" spans="1:5">
      <c r="A1351" s="766"/>
      <c r="D1351" s="767"/>
      <c r="E1351" s="767"/>
    </row>
    <row r="1352" spans="1:5">
      <c r="A1352" s="766"/>
      <c r="D1352" s="767"/>
      <c r="E1352" s="767"/>
    </row>
    <row r="1353" spans="1:5">
      <c r="A1353" s="766"/>
      <c r="D1353" s="767"/>
      <c r="E1353" s="767"/>
    </row>
    <row r="1354" spans="1:5">
      <c r="A1354" s="766"/>
      <c r="D1354" s="767"/>
      <c r="E1354" s="767"/>
    </row>
    <row r="1355" spans="1:5">
      <c r="A1355" s="766"/>
      <c r="D1355" s="767"/>
      <c r="E1355" s="767"/>
    </row>
    <row r="1356" spans="1:5">
      <c r="A1356" s="766"/>
      <c r="D1356" s="767"/>
      <c r="E1356" s="767"/>
    </row>
    <row r="1357" spans="1:5">
      <c r="A1357" s="766"/>
      <c r="D1357" s="767"/>
      <c r="E1357" s="767"/>
    </row>
    <row r="1358" spans="1:5">
      <c r="A1358" s="766"/>
      <c r="D1358" s="767"/>
      <c r="E1358" s="767"/>
    </row>
    <row r="1359" spans="1:5">
      <c r="A1359" s="766"/>
      <c r="D1359" s="767"/>
      <c r="E1359" s="767"/>
    </row>
    <row r="1360" spans="1:5">
      <c r="A1360" s="766"/>
      <c r="D1360" s="767"/>
      <c r="E1360" s="767"/>
    </row>
    <row r="1361" spans="1:5">
      <c r="A1361" s="766"/>
      <c r="D1361" s="767"/>
      <c r="E1361" s="767"/>
    </row>
    <row r="1362" spans="1:5">
      <c r="A1362" s="766"/>
      <c r="D1362" s="767"/>
      <c r="E1362" s="767"/>
    </row>
    <row r="1363" spans="1:5">
      <c r="A1363" s="766"/>
      <c r="D1363" s="767"/>
      <c r="E1363" s="767"/>
    </row>
    <row r="1364" spans="1:5">
      <c r="A1364" s="766"/>
      <c r="D1364" s="767"/>
      <c r="E1364" s="767"/>
    </row>
    <row r="1365" spans="1:5">
      <c r="A1365" s="766"/>
      <c r="D1365" s="767"/>
      <c r="E1365" s="767"/>
    </row>
    <row r="1366" spans="1:5">
      <c r="A1366" s="766"/>
      <c r="D1366" s="767"/>
      <c r="E1366" s="767"/>
    </row>
    <row r="1367" spans="1:5">
      <c r="A1367" s="766"/>
      <c r="D1367" s="767"/>
      <c r="E1367" s="767"/>
    </row>
    <row r="1368" spans="1:5">
      <c r="A1368" s="766"/>
      <c r="D1368" s="767"/>
      <c r="E1368" s="767"/>
    </row>
    <row r="1369" spans="1:5">
      <c r="A1369" s="766"/>
      <c r="D1369" s="767"/>
      <c r="E1369" s="767"/>
    </row>
    <row r="1370" spans="1:5">
      <c r="A1370" s="766"/>
      <c r="D1370" s="767"/>
      <c r="E1370" s="767"/>
    </row>
    <row r="1371" spans="1:5">
      <c r="A1371" s="766"/>
      <c r="D1371" s="767"/>
      <c r="E1371" s="767"/>
    </row>
    <row r="1372" spans="1:5">
      <c r="A1372" s="766"/>
      <c r="D1372" s="767"/>
      <c r="E1372" s="767"/>
    </row>
    <row r="1373" spans="1:5">
      <c r="A1373" s="766"/>
      <c r="D1373" s="767"/>
      <c r="E1373" s="767"/>
    </row>
    <row r="1374" spans="1:5">
      <c r="A1374" s="766"/>
      <c r="D1374" s="767"/>
      <c r="E1374" s="767"/>
    </row>
    <row r="1375" spans="1:5">
      <c r="A1375" s="766"/>
      <c r="D1375" s="767"/>
      <c r="E1375" s="767"/>
    </row>
    <row r="1376" spans="1:5">
      <c r="A1376" s="766"/>
      <c r="D1376" s="767"/>
      <c r="E1376" s="767"/>
    </row>
    <row r="1377" spans="1:5">
      <c r="A1377" s="766"/>
      <c r="D1377" s="767"/>
      <c r="E1377" s="767"/>
    </row>
    <row r="1378" spans="1:5">
      <c r="A1378" s="766"/>
      <c r="D1378" s="767"/>
      <c r="E1378" s="767"/>
    </row>
    <row r="1379" spans="1:5">
      <c r="A1379" s="766"/>
      <c r="D1379" s="767"/>
      <c r="E1379" s="767"/>
    </row>
    <row r="1380" spans="1:5">
      <c r="A1380" s="766"/>
      <c r="D1380" s="767"/>
      <c r="E1380" s="767"/>
    </row>
    <row r="1381" spans="1:5">
      <c r="A1381" s="766"/>
      <c r="D1381" s="767"/>
      <c r="E1381" s="767"/>
    </row>
    <row r="1382" spans="1:5">
      <c r="A1382" s="766"/>
      <c r="D1382" s="767"/>
      <c r="E1382" s="767"/>
    </row>
    <row r="1383" spans="1:5">
      <c r="A1383" s="766"/>
      <c r="D1383" s="767"/>
      <c r="E1383" s="767"/>
    </row>
    <row r="1384" spans="1:5">
      <c r="A1384" s="766"/>
      <c r="D1384" s="767"/>
      <c r="E1384" s="767"/>
    </row>
    <row r="1385" spans="1:5">
      <c r="A1385" s="766"/>
      <c r="D1385" s="767"/>
      <c r="E1385" s="767"/>
    </row>
    <row r="1386" spans="1:5">
      <c r="A1386" s="766"/>
      <c r="D1386" s="767"/>
      <c r="E1386" s="767"/>
    </row>
    <row r="1387" spans="1:5">
      <c r="A1387" s="766"/>
      <c r="D1387" s="767"/>
      <c r="E1387" s="767"/>
    </row>
    <row r="1388" spans="1:5">
      <c r="A1388" s="766"/>
      <c r="D1388" s="767"/>
      <c r="E1388" s="767"/>
    </row>
    <row r="1389" spans="1:5">
      <c r="A1389" s="766"/>
      <c r="D1389" s="767"/>
      <c r="E1389" s="767"/>
    </row>
    <row r="1390" spans="1:5">
      <c r="A1390" s="766"/>
      <c r="D1390" s="767"/>
      <c r="E1390" s="767"/>
    </row>
    <row r="1391" spans="1:5">
      <c r="A1391" s="766"/>
      <c r="D1391" s="767"/>
      <c r="E1391" s="767"/>
    </row>
    <row r="1392" spans="1:5">
      <c r="A1392" s="766"/>
      <c r="D1392" s="767"/>
      <c r="E1392" s="767"/>
    </row>
    <row r="1393" spans="1:5">
      <c r="A1393" s="766"/>
      <c r="D1393" s="767"/>
      <c r="E1393" s="767"/>
    </row>
    <row r="1394" spans="1:5">
      <c r="A1394" s="766"/>
      <c r="D1394" s="767"/>
      <c r="E1394" s="767"/>
    </row>
    <row r="1395" spans="1:5">
      <c r="A1395" s="766"/>
      <c r="D1395" s="767"/>
      <c r="E1395" s="767"/>
    </row>
    <row r="1396" spans="1:5">
      <c r="A1396" s="766"/>
      <c r="D1396" s="767"/>
      <c r="E1396" s="767"/>
    </row>
    <row r="1397" spans="1:5">
      <c r="A1397" s="766"/>
      <c r="D1397" s="767"/>
      <c r="E1397" s="767"/>
    </row>
    <row r="1398" spans="1:5">
      <c r="A1398" s="766"/>
      <c r="D1398" s="767"/>
      <c r="E1398" s="767"/>
    </row>
    <row r="1399" spans="1:5">
      <c r="A1399" s="766"/>
      <c r="D1399" s="767"/>
      <c r="E1399" s="767"/>
    </row>
    <row r="1400" spans="1:5">
      <c r="A1400" s="766"/>
      <c r="D1400" s="767"/>
      <c r="E1400" s="767"/>
    </row>
    <row r="1401" spans="1:5">
      <c r="A1401" s="766"/>
      <c r="D1401" s="767"/>
      <c r="E1401" s="767"/>
    </row>
    <row r="1402" spans="1:5">
      <c r="A1402" s="766"/>
      <c r="D1402" s="767"/>
      <c r="E1402" s="767"/>
    </row>
    <row r="1403" spans="1:5">
      <c r="A1403" s="766"/>
      <c r="D1403" s="767"/>
      <c r="E1403" s="767"/>
    </row>
    <row r="1404" spans="1:5">
      <c r="A1404" s="766"/>
      <c r="D1404" s="767"/>
      <c r="E1404" s="767"/>
    </row>
    <row r="1405" spans="1:5">
      <c r="A1405" s="766"/>
      <c r="D1405" s="767"/>
      <c r="E1405" s="767"/>
    </row>
    <row r="1406" spans="1:5">
      <c r="A1406" s="766"/>
      <c r="D1406" s="767"/>
      <c r="E1406" s="767"/>
    </row>
    <row r="1407" spans="1:5">
      <c r="A1407" s="766"/>
      <c r="D1407" s="767"/>
      <c r="E1407" s="767"/>
    </row>
    <row r="1408" spans="1:5">
      <c r="A1408" s="766"/>
      <c r="D1408" s="767"/>
      <c r="E1408" s="767"/>
    </row>
    <row r="1409" spans="1:5">
      <c r="A1409" s="766"/>
      <c r="D1409" s="767"/>
      <c r="E1409" s="767"/>
    </row>
    <row r="1410" spans="1:5">
      <c r="A1410" s="766"/>
      <c r="D1410" s="767"/>
      <c r="E1410" s="767"/>
    </row>
    <row r="1411" spans="1:5">
      <c r="A1411" s="766"/>
      <c r="D1411" s="767"/>
      <c r="E1411" s="767"/>
    </row>
    <row r="1412" spans="1:5">
      <c r="A1412" s="766"/>
      <c r="D1412" s="767"/>
      <c r="E1412" s="767"/>
    </row>
    <row r="1413" spans="1:5">
      <c r="A1413" s="766"/>
      <c r="D1413" s="767"/>
      <c r="E1413" s="767"/>
    </row>
    <row r="1414" spans="1:5">
      <c r="A1414" s="766"/>
      <c r="D1414" s="767"/>
      <c r="E1414" s="767"/>
    </row>
    <row r="1415" spans="1:5">
      <c r="A1415" s="766"/>
      <c r="D1415" s="767"/>
      <c r="E1415" s="767"/>
    </row>
    <row r="1416" spans="1:5">
      <c r="A1416" s="766"/>
      <c r="D1416" s="767"/>
      <c r="E1416" s="767"/>
    </row>
    <row r="1417" spans="1:5">
      <c r="A1417" s="766"/>
      <c r="D1417" s="767"/>
      <c r="E1417" s="767"/>
    </row>
    <row r="1418" spans="1:5">
      <c r="A1418" s="766"/>
      <c r="D1418" s="767"/>
      <c r="E1418" s="767"/>
    </row>
    <row r="1419" spans="1:5">
      <c r="A1419" s="766"/>
      <c r="D1419" s="767"/>
      <c r="E1419" s="767"/>
    </row>
    <row r="1420" spans="1:5">
      <c r="A1420" s="766"/>
      <c r="D1420" s="767"/>
      <c r="E1420" s="767"/>
    </row>
    <row r="1421" spans="1:5">
      <c r="A1421" s="766"/>
      <c r="D1421" s="767"/>
      <c r="E1421" s="767"/>
    </row>
    <row r="1422" spans="1:5">
      <c r="A1422" s="766"/>
      <c r="D1422" s="767"/>
      <c r="E1422" s="767"/>
    </row>
    <row r="1423" spans="1:5">
      <c r="A1423" s="766"/>
      <c r="D1423" s="767"/>
      <c r="E1423" s="767"/>
    </row>
    <row r="1424" spans="1:5">
      <c r="A1424" s="766"/>
      <c r="D1424" s="767"/>
      <c r="E1424" s="767"/>
    </row>
    <row r="1425" spans="1:5">
      <c r="A1425" s="766"/>
      <c r="D1425" s="767"/>
      <c r="E1425" s="767"/>
    </row>
    <row r="1426" spans="1:5">
      <c r="A1426" s="766"/>
      <c r="D1426" s="767"/>
      <c r="E1426" s="767"/>
    </row>
    <row r="1427" spans="1:5">
      <c r="A1427" s="766"/>
      <c r="D1427" s="767"/>
      <c r="E1427" s="767"/>
    </row>
    <row r="1428" spans="1:5">
      <c r="A1428" s="766"/>
      <c r="D1428" s="767"/>
      <c r="E1428" s="767"/>
    </row>
    <row r="1429" spans="1:5">
      <c r="A1429" s="766"/>
      <c r="D1429" s="767"/>
      <c r="E1429" s="767"/>
    </row>
    <row r="1430" spans="1:5">
      <c r="A1430" s="766"/>
      <c r="D1430" s="767"/>
      <c r="E1430" s="767"/>
    </row>
    <row r="1431" spans="1:5">
      <c r="A1431" s="766"/>
      <c r="D1431" s="767"/>
      <c r="E1431" s="767"/>
    </row>
    <row r="1432" spans="1:5">
      <c r="A1432" s="766"/>
      <c r="D1432" s="767"/>
      <c r="E1432" s="767"/>
    </row>
    <row r="1433" spans="1:5">
      <c r="A1433" s="766"/>
      <c r="D1433" s="767"/>
      <c r="E1433" s="767"/>
    </row>
    <row r="1434" spans="1:5">
      <c r="A1434" s="766"/>
      <c r="D1434" s="767"/>
      <c r="E1434" s="767"/>
    </row>
    <row r="1435" spans="1:5">
      <c r="A1435" s="766"/>
      <c r="D1435" s="767"/>
      <c r="E1435" s="767"/>
    </row>
    <row r="1436" spans="1:5">
      <c r="A1436" s="766"/>
      <c r="D1436" s="767"/>
      <c r="E1436" s="767"/>
    </row>
    <row r="1437" spans="1:5">
      <c r="A1437" s="766"/>
      <c r="D1437" s="767"/>
      <c r="E1437" s="767"/>
    </row>
    <row r="1438" spans="1:5">
      <c r="A1438" s="766"/>
      <c r="D1438" s="767"/>
      <c r="E1438" s="767"/>
    </row>
    <row r="1439" spans="1:5">
      <c r="A1439" s="766"/>
      <c r="D1439" s="767"/>
      <c r="E1439" s="767"/>
    </row>
    <row r="1440" spans="1:5">
      <c r="A1440" s="766"/>
      <c r="D1440" s="767"/>
      <c r="E1440" s="767"/>
    </row>
    <row r="1441" spans="1:5">
      <c r="A1441" s="766"/>
      <c r="D1441" s="767"/>
      <c r="E1441" s="767"/>
    </row>
    <row r="1442" spans="1:5">
      <c r="A1442" s="766"/>
      <c r="D1442" s="767"/>
      <c r="E1442" s="767"/>
    </row>
    <row r="1443" spans="1:5">
      <c r="A1443" s="766"/>
      <c r="D1443" s="767"/>
      <c r="E1443" s="767"/>
    </row>
    <row r="1444" spans="1:5">
      <c r="A1444" s="766"/>
      <c r="D1444" s="767"/>
      <c r="E1444" s="767"/>
    </row>
    <row r="1445" spans="1:5">
      <c r="A1445" s="766"/>
      <c r="D1445" s="767"/>
      <c r="E1445" s="767"/>
    </row>
    <row r="1446" spans="1:5">
      <c r="A1446" s="766"/>
      <c r="D1446" s="767"/>
      <c r="E1446" s="767"/>
    </row>
    <row r="1447" spans="1:5">
      <c r="A1447" s="766"/>
      <c r="D1447" s="767"/>
      <c r="E1447" s="767"/>
    </row>
    <row r="1448" spans="1:5">
      <c r="A1448" s="766"/>
      <c r="D1448" s="767"/>
      <c r="E1448" s="767"/>
    </row>
    <row r="1449" spans="1:5">
      <c r="A1449" s="766"/>
      <c r="D1449" s="767"/>
      <c r="E1449" s="767"/>
    </row>
    <row r="1450" spans="1:5">
      <c r="A1450" s="766"/>
      <c r="D1450" s="767"/>
      <c r="E1450" s="767"/>
    </row>
    <row r="1451" spans="1:5">
      <c r="A1451" s="766"/>
      <c r="D1451" s="767"/>
      <c r="E1451" s="767"/>
    </row>
    <row r="1452" spans="1:5">
      <c r="A1452" s="766"/>
      <c r="D1452" s="767"/>
      <c r="E1452" s="767"/>
    </row>
    <row r="1453" spans="1:5">
      <c r="A1453" s="766"/>
      <c r="D1453" s="767"/>
      <c r="E1453" s="767"/>
    </row>
    <row r="1454" spans="1:5">
      <c r="A1454" s="766"/>
      <c r="D1454" s="767"/>
      <c r="E1454" s="767"/>
    </row>
    <row r="1455" spans="1:5">
      <c r="A1455" s="766"/>
      <c r="D1455" s="767"/>
      <c r="E1455" s="767"/>
    </row>
    <row r="1456" spans="1:5">
      <c r="A1456" s="766"/>
      <c r="D1456" s="767"/>
      <c r="E1456" s="767"/>
    </row>
    <row r="1457" spans="1:5">
      <c r="A1457" s="766"/>
      <c r="D1457" s="767"/>
      <c r="E1457" s="767"/>
    </row>
    <row r="1458" spans="1:5">
      <c r="A1458" s="766"/>
      <c r="D1458" s="767"/>
      <c r="E1458" s="767"/>
    </row>
    <row r="1459" spans="1:5">
      <c r="A1459" s="766"/>
      <c r="D1459" s="767"/>
      <c r="E1459" s="767"/>
    </row>
    <row r="1460" spans="1:5">
      <c r="A1460" s="766"/>
      <c r="D1460" s="767"/>
      <c r="E1460" s="767"/>
    </row>
    <row r="1461" spans="1:5">
      <c r="A1461" s="766"/>
      <c r="D1461" s="767"/>
      <c r="E1461" s="767"/>
    </row>
    <row r="1462" spans="1:5">
      <c r="A1462" s="766"/>
      <c r="D1462" s="767"/>
      <c r="E1462" s="767"/>
    </row>
    <row r="1463" spans="1:5">
      <c r="A1463" s="766"/>
      <c r="D1463" s="767"/>
      <c r="E1463" s="767"/>
    </row>
    <row r="1464" spans="1:5">
      <c r="A1464" s="766"/>
      <c r="D1464" s="767"/>
      <c r="E1464" s="767"/>
    </row>
    <row r="1465" spans="1:5">
      <c r="A1465" s="766"/>
      <c r="D1465" s="767"/>
      <c r="E1465" s="767"/>
    </row>
    <row r="1466" spans="1:5">
      <c r="A1466" s="766"/>
      <c r="D1466" s="767"/>
      <c r="E1466" s="767"/>
    </row>
    <row r="1467" spans="1:5">
      <c r="A1467" s="766"/>
      <c r="D1467" s="767"/>
      <c r="E1467" s="767"/>
    </row>
    <row r="1468" spans="1:5">
      <c r="A1468" s="766"/>
      <c r="D1468" s="767"/>
      <c r="E1468" s="767"/>
    </row>
    <row r="1469" spans="1:5">
      <c r="A1469" s="766"/>
      <c r="D1469" s="767"/>
      <c r="E1469" s="767"/>
    </row>
    <row r="1470" spans="1:5">
      <c r="A1470" s="766"/>
      <c r="D1470" s="767"/>
      <c r="E1470" s="767"/>
    </row>
    <row r="1471" spans="1:5">
      <c r="A1471" s="766"/>
      <c r="D1471" s="767"/>
      <c r="E1471" s="767"/>
    </row>
    <row r="1472" spans="1:5">
      <c r="A1472" s="766"/>
      <c r="D1472" s="767"/>
      <c r="E1472" s="767"/>
    </row>
    <row r="1473" spans="1:5">
      <c r="A1473" s="766"/>
      <c r="D1473" s="767"/>
      <c r="E1473" s="767"/>
    </row>
    <row r="1474" spans="1:5">
      <c r="A1474" s="766"/>
      <c r="D1474" s="767"/>
      <c r="E1474" s="767"/>
    </row>
    <row r="1475" spans="1:5">
      <c r="A1475" s="766"/>
      <c r="D1475" s="767"/>
      <c r="E1475" s="767"/>
    </row>
    <row r="1476" spans="1:5">
      <c r="A1476" s="766"/>
      <c r="D1476" s="767"/>
      <c r="E1476" s="767"/>
    </row>
    <row r="1477" spans="1:5">
      <c r="A1477" s="766"/>
      <c r="D1477" s="767"/>
      <c r="E1477" s="767"/>
    </row>
    <row r="1478" spans="1:5">
      <c r="A1478" s="766"/>
      <c r="D1478" s="767"/>
      <c r="E1478" s="767"/>
    </row>
    <row r="1479" spans="1:5">
      <c r="A1479" s="766"/>
      <c r="D1479" s="767"/>
      <c r="E1479" s="767"/>
    </row>
    <row r="1480" spans="1:5">
      <c r="A1480" s="766"/>
      <c r="D1480" s="767"/>
      <c r="E1480" s="767"/>
    </row>
    <row r="1481" spans="1:5">
      <c r="A1481" s="766"/>
      <c r="D1481" s="767"/>
      <c r="E1481" s="767"/>
    </row>
    <row r="1482" spans="1:5">
      <c r="A1482" s="766"/>
      <c r="D1482" s="767"/>
      <c r="E1482" s="767"/>
    </row>
    <row r="1483" spans="1:5">
      <c r="A1483" s="766"/>
      <c r="D1483" s="767"/>
      <c r="E1483" s="767"/>
    </row>
    <row r="1484" spans="1:5">
      <c r="A1484" s="766"/>
      <c r="D1484" s="767"/>
      <c r="E1484" s="767"/>
    </row>
    <row r="1485" spans="1:5">
      <c r="A1485" s="766"/>
      <c r="D1485" s="767"/>
      <c r="E1485" s="767"/>
    </row>
    <row r="1486" spans="1:5">
      <c r="A1486" s="766"/>
      <c r="D1486" s="767"/>
      <c r="E1486" s="767"/>
    </row>
    <row r="1487" spans="1:5">
      <c r="A1487" s="766"/>
      <c r="D1487" s="767"/>
      <c r="E1487" s="767"/>
    </row>
    <row r="1488" spans="1:5">
      <c r="A1488" s="766"/>
      <c r="D1488" s="767"/>
      <c r="E1488" s="767"/>
    </row>
    <row r="1489" spans="1:5">
      <c r="A1489" s="766"/>
      <c r="D1489" s="767"/>
      <c r="E1489" s="767"/>
    </row>
    <row r="1490" spans="1:5">
      <c r="A1490" s="766"/>
      <c r="D1490" s="767"/>
      <c r="E1490" s="767"/>
    </row>
    <row r="1491" spans="1:5">
      <c r="A1491" s="766"/>
      <c r="D1491" s="767"/>
      <c r="E1491" s="767"/>
    </row>
    <row r="1492" spans="1:5">
      <c r="A1492" s="766"/>
      <c r="D1492" s="767"/>
      <c r="E1492" s="767"/>
    </row>
    <row r="1493" spans="1:5">
      <c r="A1493" s="766"/>
      <c r="D1493" s="767"/>
      <c r="E1493" s="767"/>
    </row>
    <row r="1494" spans="1:5">
      <c r="A1494" s="766"/>
      <c r="D1494" s="767"/>
      <c r="E1494" s="767"/>
    </row>
    <row r="1495" spans="1:5">
      <c r="A1495" s="766"/>
      <c r="D1495" s="767"/>
      <c r="E1495" s="767"/>
    </row>
    <row r="1496" spans="1:5">
      <c r="A1496" s="766"/>
      <c r="D1496" s="767"/>
      <c r="E1496" s="767"/>
    </row>
    <row r="1497" spans="1:5">
      <c r="A1497" s="766"/>
      <c r="D1497" s="767"/>
      <c r="E1497" s="767"/>
    </row>
    <row r="1498" spans="1:5">
      <c r="A1498" s="766"/>
      <c r="D1498" s="767"/>
      <c r="E1498" s="767"/>
    </row>
    <row r="1499" spans="1:5">
      <c r="A1499" s="766"/>
      <c r="D1499" s="767"/>
      <c r="E1499" s="767"/>
    </row>
    <row r="1500" spans="1:5">
      <c r="A1500" s="766"/>
      <c r="D1500" s="767"/>
      <c r="E1500" s="767"/>
    </row>
    <row r="1501" spans="1:5">
      <c r="A1501" s="766"/>
      <c r="D1501" s="767"/>
      <c r="E1501" s="767"/>
    </row>
    <row r="1502" spans="1:5">
      <c r="A1502" s="766"/>
      <c r="D1502" s="767"/>
      <c r="E1502" s="767"/>
    </row>
    <row r="1503" spans="1:5">
      <c r="A1503" s="766"/>
      <c r="D1503" s="767"/>
      <c r="E1503" s="767"/>
    </row>
    <row r="1504" spans="1:5">
      <c r="A1504" s="766"/>
      <c r="D1504" s="767"/>
      <c r="E1504" s="767"/>
    </row>
    <row r="1505" spans="1:5">
      <c r="A1505" s="766"/>
      <c r="D1505" s="767"/>
      <c r="E1505" s="767"/>
    </row>
    <row r="1506" spans="1:5">
      <c r="A1506" s="766"/>
      <c r="D1506" s="767"/>
      <c r="E1506" s="767"/>
    </row>
    <row r="1507" spans="1:5">
      <c r="A1507" s="766"/>
      <c r="D1507" s="767"/>
      <c r="E1507" s="767"/>
    </row>
    <row r="1508" spans="1:5">
      <c r="A1508" s="766"/>
      <c r="D1508" s="767"/>
      <c r="E1508" s="767"/>
    </row>
    <row r="1509" spans="1:5">
      <c r="A1509" s="766"/>
      <c r="D1509" s="767"/>
      <c r="E1509" s="767"/>
    </row>
    <row r="1510" spans="1:5">
      <c r="A1510" s="766"/>
      <c r="D1510" s="767"/>
      <c r="E1510" s="767"/>
    </row>
    <row r="1511" spans="1:5">
      <c r="A1511" s="766"/>
      <c r="D1511" s="767"/>
      <c r="E1511" s="767"/>
    </row>
    <row r="1512" spans="1:5">
      <c r="A1512" s="766"/>
      <c r="D1512" s="767"/>
      <c r="E1512" s="767"/>
    </row>
    <row r="1513" spans="1:5">
      <c r="A1513" s="766"/>
      <c r="D1513" s="767"/>
      <c r="E1513" s="767"/>
    </row>
    <row r="1514" spans="1:5">
      <c r="A1514" s="766"/>
      <c r="D1514" s="767"/>
      <c r="E1514" s="767"/>
    </row>
    <row r="1515" spans="1:5">
      <c r="A1515" s="766"/>
      <c r="D1515" s="767"/>
      <c r="E1515" s="767"/>
    </row>
    <row r="1516" spans="1:5">
      <c r="A1516" s="766"/>
      <c r="D1516" s="767"/>
      <c r="E1516" s="767"/>
    </row>
    <row r="1517" spans="1:5">
      <c r="A1517" s="766"/>
      <c r="D1517" s="767"/>
      <c r="E1517" s="767"/>
    </row>
    <row r="1518" spans="1:5">
      <c r="A1518" s="766"/>
      <c r="D1518" s="767"/>
      <c r="E1518" s="767"/>
    </row>
    <row r="1519" spans="1:5">
      <c r="A1519" s="766"/>
      <c r="D1519" s="767"/>
      <c r="E1519" s="767"/>
    </row>
    <row r="1520" spans="1:5">
      <c r="A1520" s="766"/>
      <c r="D1520" s="767"/>
      <c r="E1520" s="767"/>
    </row>
    <row r="1521" spans="1:5">
      <c r="A1521" s="766"/>
      <c r="D1521" s="767"/>
      <c r="E1521" s="767"/>
    </row>
    <row r="1522" spans="1:5">
      <c r="A1522" s="766"/>
      <c r="D1522" s="767"/>
      <c r="E1522" s="767"/>
    </row>
    <row r="1523" spans="1:5">
      <c r="A1523" s="766"/>
      <c r="D1523" s="767"/>
      <c r="E1523" s="767"/>
    </row>
    <row r="1524" spans="1:5">
      <c r="A1524" s="766"/>
      <c r="D1524" s="767"/>
      <c r="E1524" s="767"/>
    </row>
    <row r="1525" spans="1:5">
      <c r="A1525" s="766"/>
      <c r="D1525" s="767"/>
      <c r="E1525" s="767"/>
    </row>
    <row r="1526" spans="1:5">
      <c r="A1526" s="766"/>
      <c r="D1526" s="767"/>
      <c r="E1526" s="767"/>
    </row>
    <row r="1527" spans="1:5">
      <c r="A1527" s="766"/>
      <c r="D1527" s="767"/>
      <c r="E1527" s="767"/>
    </row>
    <row r="1528" spans="1:5">
      <c r="A1528" s="766"/>
      <c r="D1528" s="767"/>
      <c r="E1528" s="767"/>
    </row>
    <row r="1529" spans="1:5">
      <c r="A1529" s="766"/>
      <c r="D1529" s="767"/>
      <c r="E1529" s="767"/>
    </row>
    <row r="1530" spans="1:5">
      <c r="A1530" s="766"/>
      <c r="D1530" s="767"/>
      <c r="E1530" s="767"/>
    </row>
    <row r="1531" spans="1:5">
      <c r="A1531" s="766"/>
      <c r="D1531" s="767"/>
      <c r="E1531" s="767"/>
    </row>
    <row r="1532" spans="1:5">
      <c r="A1532" s="766"/>
      <c r="D1532" s="767"/>
      <c r="E1532" s="767"/>
    </row>
    <row r="1533" spans="1:5">
      <c r="A1533" s="766"/>
      <c r="D1533" s="767"/>
      <c r="E1533" s="767"/>
    </row>
    <row r="1534" spans="1:5">
      <c r="A1534" s="766"/>
      <c r="D1534" s="767"/>
      <c r="E1534" s="767"/>
    </row>
    <row r="1535" spans="1:5">
      <c r="A1535" s="766"/>
      <c r="D1535" s="767"/>
      <c r="E1535" s="767"/>
    </row>
    <row r="1536" spans="1:5">
      <c r="A1536" s="766"/>
      <c r="D1536" s="767"/>
      <c r="E1536" s="767"/>
    </row>
    <row r="1537" spans="1:5">
      <c r="A1537" s="766"/>
      <c r="D1537" s="767"/>
      <c r="E1537" s="767"/>
    </row>
    <row r="1538" spans="1:5">
      <c r="A1538" s="766"/>
      <c r="D1538" s="767"/>
      <c r="E1538" s="767"/>
    </row>
    <row r="1539" spans="1:5">
      <c r="A1539" s="766"/>
      <c r="D1539" s="767"/>
      <c r="E1539" s="767"/>
    </row>
    <row r="1540" spans="1:5">
      <c r="A1540" s="766"/>
      <c r="D1540" s="767"/>
      <c r="E1540" s="767"/>
    </row>
    <row r="1541" spans="1:5">
      <c r="A1541" s="766"/>
      <c r="D1541" s="767"/>
      <c r="E1541" s="767"/>
    </row>
    <row r="1542" spans="1:5">
      <c r="A1542" s="766"/>
      <c r="D1542" s="767"/>
      <c r="E1542" s="767"/>
    </row>
    <row r="1543" spans="1:5">
      <c r="A1543" s="766"/>
      <c r="D1543" s="767"/>
      <c r="E1543" s="767"/>
    </row>
    <row r="1544" spans="1:5">
      <c r="A1544" s="766"/>
      <c r="D1544" s="767"/>
      <c r="E1544" s="767"/>
    </row>
    <row r="1545" spans="1:5">
      <c r="A1545" s="766"/>
      <c r="D1545" s="767"/>
      <c r="E1545" s="767"/>
    </row>
    <row r="1546" spans="1:5">
      <c r="A1546" s="766"/>
      <c r="D1546" s="767"/>
      <c r="E1546" s="767"/>
    </row>
    <row r="1547" spans="1:5">
      <c r="A1547" s="766"/>
      <c r="D1547" s="767"/>
      <c r="E1547" s="767"/>
    </row>
    <row r="1548" spans="1:5">
      <c r="A1548" s="766"/>
      <c r="D1548" s="767"/>
      <c r="E1548" s="767"/>
    </row>
    <row r="1549" spans="1:5">
      <c r="A1549" s="766"/>
      <c r="D1549" s="767"/>
      <c r="E1549" s="767"/>
    </row>
    <row r="1550" spans="1:5">
      <c r="A1550" s="766"/>
      <c r="D1550" s="767"/>
      <c r="E1550" s="767"/>
    </row>
    <row r="1551" spans="1:5">
      <c r="A1551" s="766"/>
      <c r="D1551" s="767"/>
      <c r="E1551" s="767"/>
    </row>
    <row r="1552" spans="1:5">
      <c r="A1552" s="766"/>
      <c r="D1552" s="767"/>
      <c r="E1552" s="767"/>
    </row>
    <row r="1553" spans="1:5">
      <c r="A1553" s="766"/>
      <c r="D1553" s="767"/>
      <c r="E1553" s="767"/>
    </row>
    <row r="1554" spans="1:5">
      <c r="A1554" s="766"/>
      <c r="D1554" s="767"/>
      <c r="E1554" s="767"/>
    </row>
    <row r="1555" spans="1:5">
      <c r="A1555" s="766"/>
      <c r="D1555" s="767"/>
      <c r="E1555" s="767"/>
    </row>
    <row r="1556" spans="1:5">
      <c r="A1556" s="766"/>
      <c r="D1556" s="767"/>
      <c r="E1556" s="767"/>
    </row>
    <row r="1557" spans="1:5">
      <c r="A1557" s="766"/>
      <c r="D1557" s="767"/>
      <c r="E1557" s="767"/>
    </row>
    <row r="1558" spans="1:5">
      <c r="A1558" s="766"/>
      <c r="D1558" s="767"/>
      <c r="E1558" s="767"/>
    </row>
    <row r="1559" spans="1:5">
      <c r="A1559" s="766"/>
      <c r="D1559" s="767"/>
      <c r="E1559" s="767"/>
    </row>
    <row r="1560" spans="1:5">
      <c r="A1560" s="766"/>
      <c r="D1560" s="767"/>
      <c r="E1560" s="767"/>
    </row>
    <row r="1561" spans="1:5">
      <c r="A1561" s="766"/>
      <c r="D1561" s="767"/>
      <c r="E1561" s="767"/>
    </row>
    <row r="1562" spans="1:5">
      <c r="A1562" s="766"/>
      <c r="D1562" s="767"/>
      <c r="E1562" s="767"/>
    </row>
    <row r="1563" spans="1:5">
      <c r="A1563" s="766"/>
      <c r="D1563" s="767"/>
      <c r="E1563" s="767"/>
    </row>
    <row r="1564" spans="1:5">
      <c r="A1564" s="766"/>
      <c r="D1564" s="767"/>
      <c r="E1564" s="767"/>
    </row>
    <row r="1565" spans="1:5">
      <c r="A1565" s="766"/>
      <c r="D1565" s="767"/>
      <c r="E1565" s="767"/>
    </row>
    <row r="1566" spans="1:5">
      <c r="A1566" s="766"/>
      <c r="D1566" s="767"/>
      <c r="E1566" s="767"/>
    </row>
    <row r="1567" spans="1:5">
      <c r="A1567" s="766"/>
      <c r="D1567" s="767"/>
      <c r="E1567" s="767"/>
    </row>
    <row r="1568" spans="1:5">
      <c r="A1568" s="766"/>
      <c r="D1568" s="767"/>
      <c r="E1568" s="767"/>
    </row>
    <row r="1569" spans="1:5">
      <c r="A1569" s="766"/>
      <c r="D1569" s="767"/>
      <c r="E1569" s="767"/>
    </row>
    <row r="1570" spans="1:5">
      <c r="A1570" s="766"/>
      <c r="D1570" s="767"/>
      <c r="E1570" s="767"/>
    </row>
    <row r="1571" spans="1:5">
      <c r="A1571" s="766"/>
      <c r="D1571" s="767"/>
      <c r="E1571" s="767"/>
    </row>
    <row r="1572" spans="1:5">
      <c r="A1572" s="766"/>
      <c r="D1572" s="767"/>
      <c r="E1572" s="767"/>
    </row>
    <row r="1573" spans="1:5">
      <c r="A1573" s="766"/>
      <c r="D1573" s="767"/>
      <c r="E1573" s="767"/>
    </row>
    <row r="1574" spans="1:5">
      <c r="A1574" s="766"/>
      <c r="D1574" s="767"/>
      <c r="E1574" s="767"/>
    </row>
    <row r="1575" spans="1:5">
      <c r="A1575" s="766"/>
      <c r="D1575" s="767"/>
      <c r="E1575" s="767"/>
    </row>
    <row r="1576" spans="1:5">
      <c r="A1576" s="766"/>
      <c r="D1576" s="767"/>
      <c r="E1576" s="767"/>
    </row>
    <row r="1577" spans="1:5">
      <c r="A1577" s="766"/>
      <c r="D1577" s="767"/>
      <c r="E1577" s="767"/>
    </row>
    <row r="1578" spans="1:5">
      <c r="A1578" s="766"/>
      <c r="D1578" s="767"/>
      <c r="E1578" s="767"/>
    </row>
    <row r="1579" spans="1:5">
      <c r="A1579" s="766"/>
      <c r="D1579" s="767"/>
      <c r="E1579" s="767"/>
    </row>
    <row r="1580" spans="1:5">
      <c r="A1580" s="766"/>
      <c r="D1580" s="767"/>
      <c r="E1580" s="767"/>
    </row>
    <row r="1581" spans="1:5">
      <c r="A1581" s="766"/>
      <c r="D1581" s="767"/>
      <c r="E1581" s="767"/>
    </row>
    <row r="1582" spans="1:5">
      <c r="A1582" s="766"/>
      <c r="D1582" s="767"/>
      <c r="E1582" s="767"/>
    </row>
    <row r="1583" spans="1:5">
      <c r="A1583" s="766"/>
      <c r="D1583" s="767"/>
      <c r="E1583" s="767"/>
    </row>
    <row r="1584" spans="1:5">
      <c r="A1584" s="766"/>
      <c r="D1584" s="767"/>
      <c r="E1584" s="767"/>
    </row>
    <row r="1585" spans="1:5">
      <c r="A1585" s="766"/>
      <c r="D1585" s="767"/>
      <c r="E1585" s="767"/>
    </row>
    <row r="1586" spans="1:5">
      <c r="A1586" s="766"/>
      <c r="D1586" s="767"/>
      <c r="E1586" s="767"/>
    </row>
    <row r="1587" spans="1:5">
      <c r="A1587" s="766"/>
      <c r="D1587" s="767"/>
      <c r="E1587" s="767"/>
    </row>
    <row r="1588" spans="1:5">
      <c r="A1588" s="766"/>
      <c r="D1588" s="767"/>
      <c r="E1588" s="767"/>
    </row>
    <row r="1589" spans="1:5">
      <c r="A1589" s="766"/>
      <c r="D1589" s="767"/>
      <c r="E1589" s="767"/>
    </row>
    <row r="1590" spans="1:5">
      <c r="A1590" s="766"/>
      <c r="D1590" s="767"/>
      <c r="E1590" s="767"/>
    </row>
    <row r="1591" spans="1:5">
      <c r="A1591" s="766"/>
      <c r="D1591" s="767"/>
      <c r="E1591" s="767"/>
    </row>
    <row r="1592" spans="1:5">
      <c r="A1592" s="766"/>
      <c r="D1592" s="767"/>
      <c r="E1592" s="767"/>
    </row>
    <row r="1593" spans="1:5">
      <c r="A1593" s="766"/>
      <c r="D1593" s="767"/>
      <c r="E1593" s="767"/>
    </row>
    <row r="1594" spans="1:5">
      <c r="A1594" s="766"/>
      <c r="D1594" s="767"/>
      <c r="E1594" s="767"/>
    </row>
    <row r="1595" spans="1:5">
      <c r="A1595" s="766"/>
      <c r="D1595" s="767"/>
      <c r="E1595" s="767"/>
    </row>
    <row r="1596" spans="1:5">
      <c r="A1596" s="766"/>
      <c r="D1596" s="767"/>
      <c r="E1596" s="767"/>
    </row>
    <row r="1597" spans="1:5">
      <c r="A1597" s="766"/>
      <c r="D1597" s="767"/>
      <c r="E1597" s="767"/>
    </row>
    <row r="1598" spans="1:5">
      <c r="A1598" s="766"/>
      <c r="D1598" s="767"/>
      <c r="E1598" s="767"/>
    </row>
    <row r="1599" spans="1:5">
      <c r="A1599" s="766"/>
      <c r="D1599" s="767"/>
      <c r="E1599" s="767"/>
    </row>
    <row r="1600" spans="1:5">
      <c r="A1600" s="766"/>
      <c r="D1600" s="767"/>
      <c r="E1600" s="767"/>
    </row>
    <row r="1601" spans="1:5">
      <c r="A1601" s="766"/>
      <c r="D1601" s="767"/>
      <c r="E1601" s="767"/>
    </row>
    <row r="1602" spans="1:5">
      <c r="A1602" s="766"/>
      <c r="D1602" s="767"/>
      <c r="E1602" s="767"/>
    </row>
    <row r="1603" spans="1:5">
      <c r="A1603" s="766"/>
      <c r="D1603" s="767"/>
      <c r="E1603" s="767"/>
    </row>
    <row r="1604" spans="1:5">
      <c r="A1604" s="766"/>
      <c r="D1604" s="767"/>
      <c r="E1604" s="767"/>
    </row>
    <row r="1605" spans="1:5">
      <c r="A1605" s="766"/>
      <c r="D1605" s="767"/>
      <c r="E1605" s="767"/>
    </row>
    <row r="1606" spans="1:5">
      <c r="A1606" s="766"/>
      <c r="D1606" s="767"/>
      <c r="E1606" s="767"/>
    </row>
    <row r="1607" spans="1:5">
      <c r="A1607" s="766"/>
      <c r="D1607" s="767"/>
      <c r="E1607" s="767"/>
    </row>
    <row r="1608" spans="1:5">
      <c r="A1608" s="766"/>
      <c r="D1608" s="767"/>
      <c r="E1608" s="767"/>
    </row>
    <row r="1609" spans="1:5">
      <c r="A1609" s="766"/>
      <c r="D1609" s="767"/>
      <c r="E1609" s="767"/>
    </row>
    <row r="1610" spans="1:5">
      <c r="A1610" s="766"/>
      <c r="D1610" s="767"/>
      <c r="E1610" s="767"/>
    </row>
    <row r="1611" spans="1:5">
      <c r="A1611" s="766"/>
      <c r="D1611" s="767"/>
      <c r="E1611" s="767"/>
    </row>
    <row r="1612" spans="1:5">
      <c r="A1612" s="766"/>
      <c r="D1612" s="767"/>
      <c r="E1612" s="767"/>
    </row>
    <row r="1613" spans="1:5">
      <c r="A1613" s="766"/>
      <c r="D1613" s="767"/>
      <c r="E1613" s="767"/>
    </row>
    <row r="1614" spans="1:5">
      <c r="A1614" s="766"/>
      <c r="D1614" s="767"/>
      <c r="E1614" s="767"/>
    </row>
    <row r="1615" spans="1:5">
      <c r="A1615" s="766"/>
      <c r="D1615" s="767"/>
      <c r="E1615" s="767"/>
    </row>
    <row r="1616" spans="1:5">
      <c r="A1616" s="766"/>
      <c r="D1616" s="767"/>
      <c r="E1616" s="767"/>
    </row>
    <row r="1617" spans="1:5">
      <c r="A1617" s="766"/>
      <c r="D1617" s="767"/>
      <c r="E1617" s="767"/>
    </row>
    <row r="1618" spans="1:5">
      <c r="A1618" s="766"/>
      <c r="D1618" s="767"/>
      <c r="E1618" s="767"/>
    </row>
    <row r="1619" spans="1:5">
      <c r="A1619" s="766"/>
      <c r="D1619" s="767"/>
      <c r="E1619" s="767"/>
    </row>
    <row r="1620" spans="1:5">
      <c r="A1620" s="766"/>
      <c r="D1620" s="767"/>
      <c r="E1620" s="767"/>
    </row>
    <row r="1621" spans="1:5">
      <c r="A1621" s="766"/>
      <c r="D1621" s="767"/>
      <c r="E1621" s="767"/>
    </row>
    <row r="1622" spans="1:5">
      <c r="A1622" s="766"/>
      <c r="D1622" s="767"/>
      <c r="E1622" s="767"/>
    </row>
    <row r="1623" spans="1:5">
      <c r="A1623" s="766"/>
      <c r="D1623" s="767"/>
      <c r="E1623" s="767"/>
    </row>
    <row r="1624" spans="1:5">
      <c r="A1624" s="766"/>
      <c r="D1624" s="767"/>
      <c r="E1624" s="767"/>
    </row>
    <row r="1625" spans="1:5">
      <c r="A1625" s="766"/>
      <c r="D1625" s="767"/>
      <c r="E1625" s="767"/>
    </row>
    <row r="1626" spans="1:5">
      <c r="A1626" s="766"/>
      <c r="D1626" s="767"/>
      <c r="E1626" s="767"/>
    </row>
    <row r="1627" spans="1:5">
      <c r="A1627" s="766"/>
      <c r="D1627" s="767"/>
      <c r="E1627" s="767"/>
    </row>
    <row r="1628" spans="1:5">
      <c r="A1628" s="766"/>
      <c r="D1628" s="767"/>
      <c r="E1628" s="767"/>
    </row>
    <row r="1629" spans="1:5">
      <c r="A1629" s="766"/>
      <c r="D1629" s="767"/>
      <c r="E1629" s="767"/>
    </row>
    <row r="1630" spans="1:5">
      <c r="A1630" s="766"/>
      <c r="D1630" s="767"/>
      <c r="E1630" s="767"/>
    </row>
    <row r="1631" spans="1:5">
      <c r="A1631" s="766"/>
      <c r="D1631" s="767"/>
      <c r="E1631" s="767"/>
    </row>
    <row r="1632" spans="1:5">
      <c r="A1632" s="766"/>
      <c r="D1632" s="767"/>
      <c r="E1632" s="767"/>
    </row>
    <row r="1633" spans="1:5">
      <c r="A1633" s="766"/>
      <c r="D1633" s="767"/>
      <c r="E1633" s="767"/>
    </row>
    <row r="1634" spans="1:5">
      <c r="A1634" s="766"/>
      <c r="D1634" s="767"/>
      <c r="E1634" s="767"/>
    </row>
    <row r="1635" spans="1:5">
      <c r="A1635" s="766"/>
      <c r="D1635" s="767"/>
      <c r="E1635" s="767"/>
    </row>
    <row r="1636" spans="1:5">
      <c r="A1636" s="766"/>
      <c r="D1636" s="767"/>
      <c r="E1636" s="767"/>
    </row>
    <row r="1637" spans="1:5">
      <c r="A1637" s="766"/>
      <c r="D1637" s="767"/>
      <c r="E1637" s="767"/>
    </row>
    <row r="1638" spans="1:5">
      <c r="A1638" s="766"/>
      <c r="D1638" s="767"/>
      <c r="E1638" s="767"/>
    </row>
    <row r="1639" spans="1:5">
      <c r="A1639" s="766"/>
      <c r="D1639" s="767"/>
      <c r="E1639" s="767"/>
    </row>
    <row r="1640" spans="1:5">
      <c r="A1640" s="766"/>
      <c r="D1640" s="767"/>
      <c r="E1640" s="767"/>
    </row>
    <row r="1641" spans="1:5">
      <c r="A1641" s="766"/>
      <c r="D1641" s="767"/>
      <c r="E1641" s="767"/>
    </row>
    <row r="1642" spans="1:5">
      <c r="A1642" s="766"/>
      <c r="D1642" s="767"/>
      <c r="E1642" s="767"/>
    </row>
    <row r="1643" spans="1:5">
      <c r="A1643" s="766"/>
      <c r="D1643" s="767"/>
      <c r="E1643" s="767"/>
    </row>
    <row r="1644" spans="1:5">
      <c r="A1644" s="766"/>
      <c r="D1644" s="767"/>
      <c r="E1644" s="767"/>
    </row>
    <row r="1645" spans="1:5">
      <c r="A1645" s="766"/>
      <c r="D1645" s="767"/>
      <c r="E1645" s="767"/>
    </row>
    <row r="1646" spans="1:5">
      <c r="A1646" s="766"/>
      <c r="D1646" s="767"/>
      <c r="E1646" s="767"/>
    </row>
    <row r="1647" spans="1:5">
      <c r="A1647" s="766"/>
      <c r="D1647" s="767"/>
      <c r="E1647" s="767"/>
    </row>
    <row r="1648" spans="1:5">
      <c r="A1648" s="766"/>
      <c r="D1648" s="767"/>
      <c r="E1648" s="767"/>
    </row>
    <row r="1649" spans="1:5">
      <c r="A1649" s="766"/>
      <c r="D1649" s="767"/>
      <c r="E1649" s="767"/>
    </row>
    <row r="1650" spans="1:5">
      <c r="A1650" s="766"/>
      <c r="D1650" s="767"/>
      <c r="E1650" s="767"/>
    </row>
    <row r="1651" spans="1:5">
      <c r="A1651" s="766"/>
      <c r="D1651" s="767"/>
      <c r="E1651" s="767"/>
    </row>
    <row r="1652" spans="1:5">
      <c r="A1652" s="766"/>
      <c r="D1652" s="767"/>
      <c r="E1652" s="767"/>
    </row>
    <row r="1653" spans="1:5">
      <c r="A1653" s="766"/>
      <c r="D1653" s="767"/>
      <c r="E1653" s="767"/>
    </row>
    <row r="1654" spans="1:5">
      <c r="A1654" s="766"/>
      <c r="D1654" s="767"/>
      <c r="E1654" s="767"/>
    </row>
    <row r="1655" spans="1:5">
      <c r="A1655" s="766"/>
      <c r="D1655" s="767"/>
      <c r="E1655" s="767"/>
    </row>
    <row r="1656" spans="1:5">
      <c r="A1656" s="766"/>
      <c r="D1656" s="767"/>
      <c r="E1656" s="767"/>
    </row>
    <row r="1657" spans="1:5">
      <c r="A1657" s="766"/>
      <c r="D1657" s="767"/>
      <c r="E1657" s="767"/>
    </row>
    <row r="1658" spans="1:5">
      <c r="A1658" s="766"/>
      <c r="D1658" s="767"/>
      <c r="E1658" s="767"/>
    </row>
    <row r="1659" spans="1:5">
      <c r="A1659" s="766"/>
      <c r="D1659" s="767"/>
      <c r="E1659" s="767"/>
    </row>
    <row r="1660" spans="1:5">
      <c r="A1660" s="766"/>
      <c r="D1660" s="767"/>
      <c r="E1660" s="767"/>
    </row>
    <row r="1661" spans="1:5">
      <c r="A1661" s="766"/>
      <c r="D1661" s="767"/>
      <c r="E1661" s="767"/>
    </row>
    <row r="1662" spans="1:5">
      <c r="A1662" s="766"/>
      <c r="D1662" s="767"/>
      <c r="E1662" s="767"/>
    </row>
    <row r="1663" spans="1:5">
      <c r="A1663" s="766"/>
      <c r="D1663" s="767"/>
      <c r="E1663" s="767"/>
    </row>
    <row r="1664" spans="1:5">
      <c r="A1664" s="766"/>
      <c r="D1664" s="767"/>
      <c r="E1664" s="767"/>
    </row>
    <row r="1665" spans="1:5">
      <c r="A1665" s="766"/>
      <c r="D1665" s="767"/>
      <c r="E1665" s="767"/>
    </row>
    <row r="1666" spans="1:5">
      <c r="A1666" s="766"/>
      <c r="D1666" s="767"/>
      <c r="E1666" s="767"/>
    </row>
    <row r="1667" spans="1:5">
      <c r="A1667" s="766"/>
      <c r="D1667" s="767"/>
      <c r="E1667" s="767"/>
    </row>
    <row r="1668" spans="1:5">
      <c r="A1668" s="766"/>
      <c r="D1668" s="767"/>
      <c r="E1668" s="767"/>
    </row>
    <row r="1669" spans="1:5">
      <c r="A1669" s="766"/>
      <c r="D1669" s="767"/>
      <c r="E1669" s="767"/>
    </row>
    <row r="1670" spans="1:5">
      <c r="A1670" s="766"/>
      <c r="D1670" s="767"/>
      <c r="E1670" s="767"/>
    </row>
    <row r="1671" spans="1:5">
      <c r="A1671" s="766"/>
      <c r="D1671" s="767"/>
      <c r="E1671" s="767"/>
    </row>
    <row r="1672" spans="1:5">
      <c r="A1672" s="766"/>
      <c r="D1672" s="767"/>
      <c r="E1672" s="767"/>
    </row>
    <row r="1673" spans="1:5">
      <c r="A1673" s="766"/>
      <c r="D1673" s="767"/>
      <c r="E1673" s="767"/>
    </row>
    <row r="1674" spans="1:5">
      <c r="A1674" s="766"/>
      <c r="D1674" s="767"/>
      <c r="E1674" s="767"/>
    </row>
    <row r="1675" spans="1:5">
      <c r="A1675" s="766"/>
      <c r="D1675" s="767"/>
      <c r="E1675" s="767"/>
    </row>
    <row r="1676" spans="1:5">
      <c r="A1676" s="766"/>
      <c r="D1676" s="767"/>
      <c r="E1676" s="767"/>
    </row>
    <row r="1677" spans="1:5">
      <c r="A1677" s="766"/>
      <c r="D1677" s="767"/>
      <c r="E1677" s="767"/>
    </row>
    <row r="1678" spans="1:5">
      <c r="A1678" s="766"/>
      <c r="D1678" s="767"/>
      <c r="E1678" s="767"/>
    </row>
    <row r="1679" spans="1:5">
      <c r="A1679" s="766"/>
      <c r="D1679" s="767"/>
      <c r="E1679" s="767"/>
    </row>
    <row r="1680" spans="1:5">
      <c r="A1680" s="766"/>
      <c r="D1680" s="767"/>
      <c r="E1680" s="767"/>
    </row>
    <row r="1681" spans="1:5">
      <c r="A1681" s="766"/>
      <c r="D1681" s="767"/>
      <c r="E1681" s="767"/>
    </row>
    <row r="1682" spans="1:5">
      <c r="A1682" s="766"/>
      <c r="D1682" s="767"/>
      <c r="E1682" s="767"/>
    </row>
    <row r="1683" spans="1:5">
      <c r="A1683" s="766"/>
      <c r="D1683" s="767"/>
      <c r="E1683" s="767"/>
    </row>
    <row r="1684" spans="1:5">
      <c r="A1684" s="766"/>
      <c r="D1684" s="767"/>
      <c r="E1684" s="767"/>
    </row>
    <row r="1685" spans="1:5">
      <c r="A1685" s="766"/>
      <c r="D1685" s="767"/>
      <c r="E1685" s="767"/>
    </row>
    <row r="1686" spans="1:5">
      <c r="A1686" s="766"/>
      <c r="D1686" s="767"/>
      <c r="E1686" s="767"/>
    </row>
    <row r="1687" spans="1:5">
      <c r="A1687" s="766"/>
      <c r="D1687" s="767"/>
      <c r="E1687" s="767"/>
    </row>
    <row r="1688" spans="1:5">
      <c r="A1688" s="766"/>
      <c r="D1688" s="767"/>
      <c r="E1688" s="767"/>
    </row>
    <row r="1689" spans="1:5">
      <c r="A1689" s="766"/>
      <c r="D1689" s="767"/>
      <c r="E1689" s="767"/>
    </row>
    <row r="1690" spans="1:5">
      <c r="A1690" s="766"/>
      <c r="D1690" s="767"/>
      <c r="E1690" s="767"/>
    </row>
    <row r="1691" spans="1:5">
      <c r="A1691" s="766"/>
      <c r="D1691" s="767"/>
      <c r="E1691" s="767"/>
    </row>
    <row r="1692" spans="1:5">
      <c r="A1692" s="766"/>
      <c r="D1692" s="767"/>
      <c r="E1692" s="767"/>
    </row>
    <row r="1693" spans="1:5">
      <c r="A1693" s="766"/>
      <c r="D1693" s="767"/>
      <c r="E1693" s="767"/>
    </row>
    <row r="1694" spans="1:5">
      <c r="A1694" s="766"/>
      <c r="D1694" s="767"/>
      <c r="E1694" s="767"/>
    </row>
    <row r="1695" spans="1:5">
      <c r="A1695" s="766"/>
      <c r="D1695" s="767"/>
      <c r="E1695" s="767"/>
    </row>
    <row r="1696" spans="1:5">
      <c r="A1696" s="766"/>
      <c r="D1696" s="767"/>
      <c r="E1696" s="767"/>
    </row>
    <row r="1697" spans="1:5">
      <c r="A1697" s="766"/>
      <c r="D1697" s="767"/>
      <c r="E1697" s="767"/>
    </row>
    <row r="1698" spans="1:5">
      <c r="A1698" s="766"/>
      <c r="D1698" s="767"/>
      <c r="E1698" s="767"/>
    </row>
    <row r="1699" spans="1:5">
      <c r="A1699" s="766"/>
      <c r="D1699" s="767"/>
      <c r="E1699" s="767"/>
    </row>
    <row r="1700" spans="1:5">
      <c r="A1700" s="766"/>
      <c r="D1700" s="767"/>
      <c r="E1700" s="767"/>
    </row>
    <row r="1701" spans="1:5">
      <c r="A1701" s="766"/>
      <c r="D1701" s="767"/>
      <c r="E1701" s="767"/>
    </row>
    <row r="1702" spans="1:5">
      <c r="A1702" s="766"/>
      <c r="D1702" s="767"/>
      <c r="E1702" s="767"/>
    </row>
    <row r="1703" spans="1:5">
      <c r="A1703" s="766"/>
      <c r="D1703" s="767"/>
      <c r="E1703" s="767"/>
    </row>
    <row r="1704" spans="1:5">
      <c r="A1704" s="766"/>
      <c r="D1704" s="767"/>
      <c r="E1704" s="767"/>
    </row>
    <row r="1705" spans="1:5">
      <c r="A1705" s="766"/>
      <c r="D1705" s="767"/>
      <c r="E1705" s="767"/>
    </row>
    <row r="1706" spans="1:5">
      <c r="A1706" s="766"/>
      <c r="D1706" s="767"/>
      <c r="E1706" s="767"/>
    </row>
    <row r="1707" spans="1:5">
      <c r="A1707" s="766"/>
      <c r="D1707" s="767"/>
      <c r="E1707" s="767"/>
    </row>
    <row r="1708" spans="1:5">
      <c r="A1708" s="766"/>
      <c r="D1708" s="767"/>
      <c r="E1708" s="767"/>
    </row>
    <row r="1709" spans="1:5">
      <c r="A1709" s="766"/>
      <c r="D1709" s="767"/>
      <c r="E1709" s="767"/>
    </row>
    <row r="1710" spans="1:5">
      <c r="A1710" s="766"/>
      <c r="D1710" s="767"/>
      <c r="E1710" s="767"/>
    </row>
    <row r="1711" spans="1:5">
      <c r="A1711" s="766"/>
      <c r="D1711" s="767"/>
      <c r="E1711" s="767"/>
    </row>
    <row r="1712" spans="1:5">
      <c r="A1712" s="766"/>
      <c r="D1712" s="767"/>
      <c r="E1712" s="767"/>
    </row>
    <row r="1713" spans="1:5">
      <c r="A1713" s="766"/>
      <c r="D1713" s="767"/>
      <c r="E1713" s="767"/>
    </row>
    <row r="1714" spans="1:5">
      <c r="A1714" s="766"/>
      <c r="D1714" s="767"/>
      <c r="E1714" s="767"/>
    </row>
    <row r="1715" spans="1:5">
      <c r="A1715" s="766"/>
      <c r="D1715" s="767"/>
      <c r="E1715" s="767"/>
    </row>
    <row r="1716" spans="1:5">
      <c r="A1716" s="766"/>
      <c r="D1716" s="767"/>
      <c r="E1716" s="767"/>
    </row>
    <row r="1717" spans="1:5">
      <c r="A1717" s="766"/>
      <c r="D1717" s="767"/>
      <c r="E1717" s="767"/>
    </row>
    <row r="1718" spans="1:5">
      <c r="A1718" s="766"/>
      <c r="D1718" s="767"/>
      <c r="E1718" s="767"/>
    </row>
    <row r="1719" spans="1:5">
      <c r="A1719" s="766"/>
      <c r="D1719" s="767"/>
      <c r="E1719" s="767"/>
    </row>
    <row r="1720" spans="1:5">
      <c r="A1720" s="766"/>
      <c r="D1720" s="767"/>
      <c r="E1720" s="767"/>
    </row>
    <row r="1721" spans="1:5">
      <c r="A1721" s="766"/>
      <c r="D1721" s="767"/>
      <c r="E1721" s="767"/>
    </row>
    <row r="1722" spans="1:5">
      <c r="A1722" s="766"/>
      <c r="D1722" s="767"/>
      <c r="E1722" s="767"/>
    </row>
    <row r="1723" spans="1:5">
      <c r="A1723" s="766"/>
      <c r="D1723" s="767"/>
      <c r="E1723" s="767"/>
    </row>
    <row r="1724" spans="1:5">
      <c r="A1724" s="766"/>
      <c r="D1724" s="767"/>
      <c r="E1724" s="767"/>
    </row>
    <row r="1725" spans="1:5">
      <c r="A1725" s="766"/>
      <c r="D1725" s="767"/>
      <c r="E1725" s="767"/>
    </row>
    <row r="1726" spans="1:5">
      <c r="A1726" s="766"/>
      <c r="D1726" s="767"/>
      <c r="E1726" s="767"/>
    </row>
    <row r="1727" spans="1:5">
      <c r="A1727" s="766"/>
      <c r="D1727" s="767"/>
      <c r="E1727" s="767"/>
    </row>
    <row r="1728" spans="1:5">
      <c r="A1728" s="766"/>
      <c r="D1728" s="767"/>
      <c r="E1728" s="767"/>
    </row>
    <row r="1729" spans="1:5">
      <c r="A1729" s="766"/>
      <c r="D1729" s="767"/>
      <c r="E1729" s="767"/>
    </row>
    <row r="1730" spans="1:5">
      <c r="A1730" s="766"/>
      <c r="D1730" s="767"/>
      <c r="E1730" s="767"/>
    </row>
    <row r="1731" spans="1:5">
      <c r="A1731" s="766"/>
      <c r="D1731" s="767"/>
      <c r="E1731" s="767"/>
    </row>
    <row r="1732" spans="1:5">
      <c r="A1732" s="766"/>
      <c r="D1732" s="767"/>
      <c r="E1732" s="767"/>
    </row>
    <row r="1733" spans="1:5">
      <c r="A1733" s="766"/>
      <c r="D1733" s="767"/>
      <c r="E1733" s="767"/>
    </row>
    <row r="1734" spans="1:5">
      <c r="A1734" s="766"/>
      <c r="D1734" s="767"/>
      <c r="E1734" s="767"/>
    </row>
    <row r="1735" spans="1:5">
      <c r="A1735" s="766"/>
      <c r="D1735" s="767"/>
      <c r="E1735" s="767"/>
    </row>
    <row r="1736" spans="1:5">
      <c r="A1736" s="766"/>
      <c r="D1736" s="767"/>
      <c r="E1736" s="767"/>
    </row>
    <row r="1737" spans="1:5">
      <c r="A1737" s="766"/>
      <c r="D1737" s="767"/>
      <c r="E1737" s="767"/>
    </row>
    <row r="1738" spans="1:5">
      <c r="A1738" s="766"/>
      <c r="D1738" s="767"/>
      <c r="E1738" s="767"/>
    </row>
    <row r="1739" spans="1:5">
      <c r="A1739" s="766"/>
      <c r="D1739" s="767"/>
      <c r="E1739" s="767"/>
    </row>
    <row r="1740" spans="1:5">
      <c r="A1740" s="766"/>
      <c r="D1740" s="767"/>
      <c r="E1740" s="767"/>
    </row>
    <row r="1741" spans="1:5">
      <c r="A1741" s="766"/>
      <c r="D1741" s="767"/>
      <c r="E1741" s="767"/>
    </row>
    <row r="1742" spans="1:5">
      <c r="A1742" s="766"/>
      <c r="D1742" s="767"/>
      <c r="E1742" s="767"/>
    </row>
    <row r="1743" spans="1:5">
      <c r="A1743" s="766"/>
      <c r="D1743" s="767"/>
      <c r="E1743" s="767"/>
    </row>
    <row r="1744" spans="1:5">
      <c r="A1744" s="766"/>
      <c r="D1744" s="767"/>
      <c r="E1744" s="767"/>
    </row>
    <row r="1745" spans="1:5">
      <c r="A1745" s="766"/>
      <c r="D1745" s="767"/>
      <c r="E1745" s="767"/>
    </row>
    <row r="1746" spans="1:5">
      <c r="A1746" s="766"/>
      <c r="D1746" s="767"/>
      <c r="E1746" s="767"/>
    </row>
    <row r="1747" spans="1:5">
      <c r="A1747" s="766"/>
      <c r="D1747" s="767"/>
      <c r="E1747" s="767"/>
    </row>
    <row r="1748" spans="1:5">
      <c r="A1748" s="766"/>
      <c r="D1748" s="767"/>
      <c r="E1748" s="767"/>
    </row>
    <row r="1749" spans="1:5">
      <c r="A1749" s="766"/>
      <c r="D1749" s="767"/>
      <c r="E1749" s="767"/>
    </row>
    <row r="1750" spans="1:5">
      <c r="A1750" s="766"/>
      <c r="D1750" s="767"/>
      <c r="E1750" s="767"/>
    </row>
    <row r="1751" spans="1:5">
      <c r="A1751" s="766"/>
      <c r="D1751" s="767"/>
      <c r="E1751" s="767"/>
    </row>
    <row r="1752" spans="1:5">
      <c r="A1752" s="766"/>
      <c r="D1752" s="767"/>
      <c r="E1752" s="767"/>
    </row>
    <row r="1753" spans="1:5">
      <c r="A1753" s="766"/>
      <c r="D1753" s="767"/>
      <c r="E1753" s="767"/>
    </row>
    <row r="1754" spans="1:5">
      <c r="A1754" s="766"/>
      <c r="D1754" s="767"/>
      <c r="E1754" s="767"/>
    </row>
    <row r="1755" spans="1:5">
      <c r="A1755" s="766"/>
      <c r="D1755" s="767"/>
      <c r="E1755" s="767"/>
    </row>
    <row r="1756" spans="1:5">
      <c r="A1756" s="766"/>
      <c r="D1756" s="767"/>
      <c r="E1756" s="767"/>
    </row>
    <row r="1757" spans="1:5">
      <c r="A1757" s="766"/>
      <c r="D1757" s="767"/>
      <c r="E1757" s="767"/>
    </row>
    <row r="1758" spans="1:5">
      <c r="A1758" s="766"/>
      <c r="D1758" s="767"/>
      <c r="E1758" s="767"/>
    </row>
    <row r="1759" spans="1:5">
      <c r="A1759" s="766"/>
      <c r="D1759" s="767"/>
      <c r="E1759" s="767"/>
    </row>
    <row r="1760" spans="1:5">
      <c r="A1760" s="766"/>
      <c r="D1760" s="767"/>
      <c r="E1760" s="767"/>
    </row>
    <row r="1761" spans="1:5">
      <c r="A1761" s="766"/>
      <c r="D1761" s="767"/>
      <c r="E1761" s="767"/>
    </row>
    <row r="1762" spans="1:5">
      <c r="A1762" s="766"/>
      <c r="D1762" s="767"/>
      <c r="E1762" s="767"/>
    </row>
    <row r="1763" spans="1:5">
      <c r="A1763" s="766"/>
      <c r="D1763" s="767"/>
      <c r="E1763" s="767"/>
    </row>
    <row r="1764" spans="1:5">
      <c r="A1764" s="766"/>
      <c r="D1764" s="767"/>
      <c r="E1764" s="767"/>
    </row>
    <row r="1765" spans="1:5">
      <c r="A1765" s="766"/>
      <c r="D1765" s="767"/>
      <c r="E1765" s="767"/>
    </row>
    <row r="1766" spans="1:5">
      <c r="A1766" s="766"/>
      <c r="D1766" s="767"/>
      <c r="E1766" s="767"/>
    </row>
    <row r="1767" spans="1:5">
      <c r="A1767" s="766"/>
      <c r="D1767" s="767"/>
      <c r="E1767" s="767"/>
    </row>
    <row r="1768" spans="1:5">
      <c r="A1768" s="766"/>
      <c r="D1768" s="767"/>
      <c r="E1768" s="767"/>
    </row>
    <row r="1769" spans="1:5">
      <c r="A1769" s="766"/>
      <c r="D1769" s="767"/>
      <c r="E1769" s="767"/>
    </row>
    <row r="1770" spans="1:5">
      <c r="A1770" s="766"/>
      <c r="D1770" s="767"/>
      <c r="E1770" s="767"/>
    </row>
    <row r="1771" spans="1:5">
      <c r="A1771" s="766"/>
      <c r="D1771" s="767"/>
      <c r="E1771" s="767"/>
    </row>
    <row r="1772" spans="1:5">
      <c r="A1772" s="766"/>
      <c r="D1772" s="767"/>
      <c r="E1772" s="767"/>
    </row>
    <row r="1773" spans="1:5">
      <c r="A1773" s="766"/>
      <c r="D1773" s="767"/>
      <c r="E1773" s="767"/>
    </row>
    <row r="1774" spans="1:5">
      <c r="A1774" s="766"/>
      <c r="D1774" s="767"/>
      <c r="E1774" s="767"/>
    </row>
    <row r="1775" spans="1:5">
      <c r="A1775" s="766"/>
      <c r="D1775" s="767"/>
      <c r="E1775" s="767"/>
    </row>
    <row r="1776" spans="1:5">
      <c r="A1776" s="766"/>
      <c r="D1776" s="767"/>
      <c r="E1776" s="767"/>
    </row>
    <row r="1777" spans="1:5">
      <c r="A1777" s="766"/>
      <c r="D1777" s="767"/>
      <c r="E1777" s="767"/>
    </row>
    <row r="1778" spans="1:5">
      <c r="A1778" s="766"/>
      <c r="D1778" s="767"/>
      <c r="E1778" s="767"/>
    </row>
    <row r="1779" spans="1:5">
      <c r="A1779" s="766"/>
      <c r="D1779" s="767"/>
      <c r="E1779" s="767"/>
    </row>
    <row r="1780" spans="1:5">
      <c r="A1780" s="766"/>
      <c r="D1780" s="767"/>
      <c r="E1780" s="767"/>
    </row>
    <row r="1781" spans="1:5">
      <c r="A1781" s="766"/>
      <c r="D1781" s="767"/>
      <c r="E1781" s="767"/>
    </row>
    <row r="1782" spans="1:5">
      <c r="A1782" s="766"/>
      <c r="D1782" s="767"/>
      <c r="E1782" s="767"/>
    </row>
    <row r="1783" spans="1:5">
      <c r="A1783" s="766"/>
      <c r="D1783" s="767"/>
      <c r="E1783" s="767"/>
    </row>
    <row r="1784" spans="1:5">
      <c r="A1784" s="766"/>
      <c r="D1784" s="767"/>
      <c r="E1784" s="767"/>
    </row>
    <row r="1785" spans="1:5">
      <c r="A1785" s="766"/>
      <c r="D1785" s="767"/>
      <c r="E1785" s="767"/>
    </row>
    <row r="1786" spans="1:5">
      <c r="A1786" s="766"/>
      <c r="D1786" s="767"/>
      <c r="E1786" s="767"/>
    </row>
    <row r="1787" spans="1:5">
      <c r="A1787" s="766"/>
      <c r="D1787" s="767"/>
      <c r="E1787" s="767"/>
    </row>
    <row r="1788" spans="1:5">
      <c r="A1788" s="766"/>
      <c r="D1788" s="767"/>
      <c r="E1788" s="767"/>
    </row>
    <row r="1789" spans="1:5">
      <c r="A1789" s="766"/>
      <c r="D1789" s="767"/>
      <c r="E1789" s="767"/>
    </row>
    <row r="1790" spans="1:5">
      <c r="A1790" s="766"/>
      <c r="D1790" s="767"/>
      <c r="E1790" s="767"/>
    </row>
    <row r="1791" spans="1:5">
      <c r="A1791" s="766"/>
      <c r="D1791" s="767"/>
      <c r="E1791" s="767"/>
    </row>
    <row r="1792" spans="1:5">
      <c r="A1792" s="766"/>
      <c r="D1792" s="767"/>
      <c r="E1792" s="767"/>
    </row>
    <row r="1793" spans="1:5">
      <c r="A1793" s="766"/>
      <c r="D1793" s="767"/>
      <c r="E1793" s="767"/>
    </row>
    <row r="1794" spans="1:5">
      <c r="A1794" s="766"/>
      <c r="D1794" s="767"/>
      <c r="E1794" s="767"/>
    </row>
    <row r="1795" spans="1:5">
      <c r="A1795" s="766"/>
      <c r="D1795" s="767"/>
      <c r="E1795" s="767"/>
    </row>
    <row r="1796" spans="1:5">
      <c r="A1796" s="766"/>
      <c r="D1796" s="767"/>
      <c r="E1796" s="767"/>
    </row>
    <row r="1797" spans="1:5">
      <c r="A1797" s="766"/>
      <c r="D1797" s="767"/>
      <c r="E1797" s="767"/>
    </row>
    <row r="1798" spans="1:5">
      <c r="A1798" s="766"/>
      <c r="D1798" s="767"/>
      <c r="E1798" s="767"/>
    </row>
    <row r="1799" spans="1:5">
      <c r="A1799" s="766"/>
      <c r="D1799" s="767"/>
      <c r="E1799" s="767"/>
    </row>
    <row r="1800" spans="1:5">
      <c r="A1800" s="766"/>
      <c r="D1800" s="767"/>
      <c r="E1800" s="767"/>
    </row>
    <row r="1801" spans="1:5">
      <c r="A1801" s="766"/>
      <c r="D1801" s="767"/>
      <c r="E1801" s="767"/>
    </row>
    <row r="1802" spans="1:5">
      <c r="A1802" s="766"/>
      <c r="D1802" s="767"/>
      <c r="E1802" s="767"/>
    </row>
    <row r="1803" spans="1:5">
      <c r="A1803" s="766"/>
      <c r="D1803" s="767"/>
      <c r="E1803" s="767"/>
    </row>
    <row r="1804" spans="1:5">
      <c r="A1804" s="766"/>
      <c r="D1804" s="767"/>
      <c r="E1804" s="767"/>
    </row>
    <row r="1805" spans="1:5">
      <c r="A1805" s="766"/>
      <c r="D1805" s="767"/>
      <c r="E1805" s="767"/>
    </row>
    <row r="1806" spans="1:5">
      <c r="A1806" s="766"/>
      <c r="D1806" s="767"/>
      <c r="E1806" s="767"/>
    </row>
    <row r="1807" spans="1:5">
      <c r="A1807" s="766"/>
      <c r="D1807" s="767"/>
      <c r="E1807" s="767"/>
    </row>
    <row r="1808" spans="1:5">
      <c r="A1808" s="766"/>
      <c r="D1808" s="767"/>
      <c r="E1808" s="767"/>
    </row>
    <row r="1809" spans="1:5">
      <c r="A1809" s="766"/>
      <c r="D1809" s="767"/>
      <c r="E1809" s="767"/>
    </row>
    <row r="1810" spans="1:5">
      <c r="A1810" s="766"/>
      <c r="D1810" s="767"/>
      <c r="E1810" s="767"/>
    </row>
    <row r="1811" spans="1:5">
      <c r="A1811" s="766"/>
      <c r="D1811" s="767"/>
      <c r="E1811" s="767"/>
    </row>
    <row r="1812" spans="1:5">
      <c r="A1812" s="766"/>
      <c r="D1812" s="767"/>
      <c r="E1812" s="767"/>
    </row>
    <row r="1813" spans="1:5">
      <c r="A1813" s="766"/>
      <c r="D1813" s="767"/>
      <c r="E1813" s="767"/>
    </row>
    <row r="1814" spans="1:5">
      <c r="A1814" s="766"/>
      <c r="D1814" s="767"/>
      <c r="E1814" s="767"/>
    </row>
    <row r="1815" spans="1:5">
      <c r="A1815" s="766"/>
      <c r="D1815" s="767"/>
      <c r="E1815" s="767"/>
    </row>
    <row r="1816" spans="1:5">
      <c r="A1816" s="766"/>
      <c r="D1816" s="767"/>
      <c r="E1816" s="767"/>
    </row>
    <row r="1817" spans="1:5">
      <c r="A1817" s="766"/>
      <c r="D1817" s="767"/>
      <c r="E1817" s="767"/>
    </row>
    <row r="1818" spans="1:5">
      <c r="A1818" s="766"/>
      <c r="D1818" s="767"/>
      <c r="E1818" s="767"/>
    </row>
    <row r="1819" spans="1:5">
      <c r="A1819" s="766"/>
      <c r="D1819" s="767"/>
      <c r="E1819" s="767"/>
    </row>
    <row r="1820" spans="1:5">
      <c r="A1820" s="766"/>
      <c r="D1820" s="767"/>
      <c r="E1820" s="767"/>
    </row>
    <row r="1821" spans="1:5">
      <c r="A1821" s="766"/>
      <c r="D1821" s="767"/>
      <c r="E1821" s="767"/>
    </row>
    <row r="1822" spans="1:5">
      <c r="A1822" s="766"/>
      <c r="D1822" s="767"/>
      <c r="E1822" s="767"/>
    </row>
    <row r="1823" spans="1:5">
      <c r="A1823" s="766"/>
      <c r="D1823" s="767"/>
      <c r="E1823" s="767"/>
    </row>
    <row r="1824" spans="1:5">
      <c r="A1824" s="766"/>
      <c r="D1824" s="767"/>
      <c r="E1824" s="767"/>
    </row>
    <row r="1825" spans="1:5">
      <c r="A1825" s="766"/>
      <c r="D1825" s="767"/>
      <c r="E1825" s="767"/>
    </row>
    <row r="1826" spans="1:5">
      <c r="A1826" s="766"/>
      <c r="D1826" s="767"/>
      <c r="E1826" s="767"/>
    </row>
    <row r="1827" spans="1:5">
      <c r="A1827" s="766"/>
      <c r="D1827" s="767"/>
      <c r="E1827" s="767"/>
    </row>
    <row r="1828" spans="1:5">
      <c r="A1828" s="766"/>
      <c r="D1828" s="767"/>
      <c r="E1828" s="767"/>
    </row>
    <row r="1829" spans="1:5">
      <c r="A1829" s="766"/>
      <c r="D1829" s="767"/>
      <c r="E1829" s="767"/>
    </row>
    <row r="1830" spans="1:5">
      <c r="A1830" s="766"/>
      <c r="D1830" s="767"/>
      <c r="E1830" s="767"/>
    </row>
    <row r="1831" spans="1:5">
      <c r="A1831" s="766"/>
      <c r="D1831" s="767"/>
      <c r="E1831" s="767"/>
    </row>
    <row r="1832" spans="1:5">
      <c r="A1832" s="766"/>
      <c r="D1832" s="767"/>
      <c r="E1832" s="767"/>
    </row>
    <row r="1833" spans="1:5">
      <c r="A1833" s="766"/>
      <c r="D1833" s="767"/>
      <c r="E1833" s="767"/>
    </row>
    <row r="1834" spans="1:5">
      <c r="A1834" s="766"/>
      <c r="D1834" s="767"/>
      <c r="E1834" s="767"/>
    </row>
    <row r="1835" spans="1:5">
      <c r="A1835" s="766"/>
      <c r="D1835" s="767"/>
      <c r="E1835" s="767"/>
    </row>
    <row r="1836" spans="1:5">
      <c r="A1836" s="766"/>
      <c r="D1836" s="767"/>
      <c r="E1836" s="767"/>
    </row>
    <row r="1837" spans="1:5">
      <c r="A1837" s="766"/>
      <c r="D1837" s="767"/>
      <c r="E1837" s="767"/>
    </row>
    <row r="1838" spans="1:5">
      <c r="A1838" s="766"/>
      <c r="D1838" s="767"/>
      <c r="E1838" s="767"/>
    </row>
    <row r="1839" spans="1:5">
      <c r="A1839" s="766"/>
      <c r="D1839" s="767"/>
      <c r="E1839" s="767"/>
    </row>
    <row r="1840" spans="1:5">
      <c r="A1840" s="766"/>
      <c r="D1840" s="767"/>
      <c r="E1840" s="767"/>
    </row>
    <row r="1841" spans="1:5">
      <c r="A1841" s="766"/>
      <c r="D1841" s="767"/>
      <c r="E1841" s="767"/>
    </row>
    <row r="1842" spans="1:5">
      <c r="A1842" s="766"/>
      <c r="D1842" s="767"/>
      <c r="E1842" s="767"/>
    </row>
    <row r="1843" spans="1:5">
      <c r="A1843" s="766"/>
      <c r="D1843" s="767"/>
      <c r="E1843" s="767"/>
    </row>
    <row r="1844" spans="1:5">
      <c r="A1844" s="766"/>
      <c r="D1844" s="767"/>
      <c r="E1844" s="767"/>
    </row>
    <row r="1845" spans="1:5">
      <c r="A1845" s="766"/>
      <c r="D1845" s="767"/>
      <c r="E1845" s="767"/>
    </row>
    <row r="1846" spans="1:5">
      <c r="A1846" s="766"/>
      <c r="D1846" s="767"/>
      <c r="E1846" s="767"/>
    </row>
    <row r="1847" spans="1:5">
      <c r="A1847" s="766"/>
      <c r="D1847" s="767"/>
      <c r="E1847" s="767"/>
    </row>
    <row r="1848" spans="1:5">
      <c r="A1848" s="766"/>
      <c r="D1848" s="767"/>
      <c r="E1848" s="767"/>
    </row>
    <row r="1849" spans="1:5">
      <c r="A1849" s="766"/>
      <c r="D1849" s="767"/>
      <c r="E1849" s="767"/>
    </row>
    <row r="1850" spans="1:5">
      <c r="A1850" s="766"/>
      <c r="D1850" s="767"/>
      <c r="E1850" s="767"/>
    </row>
    <row r="1851" spans="1:5">
      <c r="A1851" s="766"/>
      <c r="D1851" s="767"/>
      <c r="E1851" s="767"/>
    </row>
    <row r="1852" spans="1:5">
      <c r="A1852" s="766"/>
      <c r="D1852" s="767"/>
      <c r="E1852" s="767"/>
    </row>
    <row r="1853" spans="1:5">
      <c r="A1853" s="766"/>
      <c r="D1853" s="767"/>
      <c r="E1853" s="767"/>
    </row>
    <row r="1854" spans="1:5">
      <c r="A1854" s="766"/>
      <c r="D1854" s="767"/>
      <c r="E1854" s="767"/>
    </row>
    <row r="1855" spans="1:5">
      <c r="A1855" s="766"/>
      <c r="D1855" s="767"/>
      <c r="E1855" s="767"/>
    </row>
    <row r="1856" spans="1:5">
      <c r="A1856" s="766"/>
      <c r="D1856" s="767"/>
      <c r="E1856" s="767"/>
    </row>
    <row r="1857" spans="1:5">
      <c r="A1857" s="766"/>
      <c r="D1857" s="767"/>
      <c r="E1857" s="767"/>
    </row>
    <row r="1858" spans="1:5">
      <c r="A1858" s="766"/>
      <c r="D1858" s="767"/>
      <c r="E1858" s="767"/>
    </row>
    <row r="1859" spans="1:5">
      <c r="A1859" s="766"/>
      <c r="D1859" s="767"/>
      <c r="E1859" s="767"/>
    </row>
    <row r="1860" spans="1:5">
      <c r="A1860" s="766"/>
      <c r="D1860" s="767"/>
      <c r="E1860" s="767"/>
    </row>
    <row r="1861" spans="1:5">
      <c r="A1861" s="766"/>
      <c r="D1861" s="767"/>
      <c r="E1861" s="767"/>
    </row>
    <row r="1862" spans="1:5">
      <c r="A1862" s="766"/>
      <c r="D1862" s="767"/>
      <c r="E1862" s="767"/>
    </row>
    <row r="1863" spans="1:5">
      <c r="A1863" s="766"/>
      <c r="D1863" s="767"/>
      <c r="E1863" s="767"/>
    </row>
    <row r="1864" spans="1:5">
      <c r="A1864" s="766"/>
      <c r="D1864" s="767"/>
      <c r="E1864" s="767"/>
    </row>
    <row r="1865" spans="1:5">
      <c r="A1865" s="766"/>
      <c r="D1865" s="767"/>
      <c r="E1865" s="767"/>
    </row>
    <row r="1866" spans="1:5">
      <c r="A1866" s="766"/>
      <c r="D1866" s="767"/>
      <c r="E1866" s="767"/>
    </row>
    <row r="1867" spans="1:5">
      <c r="A1867" s="766"/>
      <c r="D1867" s="767"/>
      <c r="E1867" s="767"/>
    </row>
    <row r="1868" spans="1:5">
      <c r="A1868" s="766"/>
      <c r="D1868" s="767"/>
      <c r="E1868" s="767"/>
    </row>
    <row r="1869" spans="1:5">
      <c r="A1869" s="766"/>
      <c r="D1869" s="767"/>
      <c r="E1869" s="767"/>
    </row>
    <row r="1870" spans="1:5">
      <c r="A1870" s="766"/>
      <c r="D1870" s="767"/>
      <c r="E1870" s="767"/>
    </row>
    <row r="1871" spans="1:5">
      <c r="A1871" s="766"/>
      <c r="D1871" s="767"/>
      <c r="E1871" s="767"/>
    </row>
    <row r="1872" spans="1:5">
      <c r="A1872" s="766"/>
      <c r="D1872" s="767"/>
      <c r="E1872" s="767"/>
    </row>
    <row r="1873" spans="1:5">
      <c r="A1873" s="766"/>
      <c r="D1873" s="767"/>
      <c r="E1873" s="767"/>
    </row>
    <row r="1874" spans="1:5">
      <c r="A1874" s="766"/>
      <c r="D1874" s="767"/>
      <c r="E1874" s="767"/>
    </row>
    <row r="1875" spans="1:5">
      <c r="A1875" s="766"/>
      <c r="D1875" s="767"/>
      <c r="E1875" s="767"/>
    </row>
    <row r="1876" spans="1:5">
      <c r="A1876" s="766"/>
      <c r="D1876" s="767"/>
      <c r="E1876" s="767"/>
    </row>
    <row r="1877" spans="1:5">
      <c r="A1877" s="766"/>
      <c r="D1877" s="767"/>
      <c r="E1877" s="767"/>
    </row>
    <row r="1878" spans="1:5">
      <c r="A1878" s="766"/>
      <c r="D1878" s="767"/>
      <c r="E1878" s="767"/>
    </row>
    <row r="1879" spans="1:5">
      <c r="A1879" s="766"/>
      <c r="D1879" s="767"/>
      <c r="E1879" s="767"/>
    </row>
    <row r="1880" spans="1:5">
      <c r="A1880" s="766"/>
      <c r="D1880" s="767"/>
      <c r="E1880" s="767"/>
    </row>
    <row r="1881" spans="1:5">
      <c r="A1881" s="766"/>
      <c r="D1881" s="767"/>
      <c r="E1881" s="767"/>
    </row>
    <row r="1882" spans="1:5">
      <c r="A1882" s="766"/>
      <c r="D1882" s="767"/>
      <c r="E1882" s="767"/>
    </row>
    <row r="1883" spans="1:5">
      <c r="A1883" s="766"/>
      <c r="D1883" s="767"/>
      <c r="E1883" s="767"/>
    </row>
    <row r="1884" spans="1:5">
      <c r="A1884" s="766"/>
      <c r="D1884" s="767"/>
      <c r="E1884" s="767"/>
    </row>
    <row r="1885" spans="1:5">
      <c r="A1885" s="766"/>
      <c r="D1885" s="767"/>
      <c r="E1885" s="767"/>
    </row>
    <row r="1886" spans="1:5">
      <c r="A1886" s="766"/>
      <c r="D1886" s="767"/>
      <c r="E1886" s="767"/>
    </row>
    <row r="1887" spans="1:5">
      <c r="A1887" s="766"/>
      <c r="D1887" s="767"/>
      <c r="E1887" s="767"/>
    </row>
    <row r="1888" spans="1:5">
      <c r="A1888" s="766"/>
      <c r="D1888" s="767"/>
      <c r="E1888" s="767"/>
    </row>
    <row r="1889" spans="1:5">
      <c r="A1889" s="766"/>
      <c r="D1889" s="767"/>
      <c r="E1889" s="767"/>
    </row>
    <row r="1890" spans="1:5">
      <c r="A1890" s="766"/>
      <c r="D1890" s="767"/>
      <c r="E1890" s="767"/>
    </row>
    <row r="1891" spans="1:5">
      <c r="A1891" s="766"/>
      <c r="D1891" s="767"/>
      <c r="E1891" s="767"/>
    </row>
    <row r="1892" spans="1:5">
      <c r="A1892" s="766"/>
      <c r="D1892" s="767"/>
      <c r="E1892" s="767"/>
    </row>
    <row r="1893" spans="1:5">
      <c r="A1893" s="766"/>
      <c r="D1893" s="767"/>
      <c r="E1893" s="767"/>
    </row>
    <row r="1894" spans="1:5">
      <c r="A1894" s="766"/>
      <c r="D1894" s="767"/>
      <c r="E1894" s="767"/>
    </row>
    <row r="1895" spans="1:5">
      <c r="A1895" s="766"/>
      <c r="D1895" s="767"/>
      <c r="E1895" s="767"/>
    </row>
    <row r="1896" spans="1:5">
      <c r="A1896" s="766"/>
      <c r="D1896" s="767"/>
      <c r="E1896" s="767"/>
    </row>
    <row r="1897" spans="1:5">
      <c r="A1897" s="766"/>
      <c r="D1897" s="767"/>
      <c r="E1897" s="767"/>
    </row>
    <row r="1898" spans="1:5">
      <c r="A1898" s="766"/>
      <c r="D1898" s="767"/>
      <c r="E1898" s="767"/>
    </row>
    <row r="1899" spans="1:5">
      <c r="A1899" s="766"/>
      <c r="D1899" s="767"/>
      <c r="E1899" s="767"/>
    </row>
    <row r="1900" spans="1:5">
      <c r="A1900" s="766"/>
      <c r="D1900" s="767"/>
      <c r="E1900" s="767"/>
    </row>
    <row r="1901" spans="1:5">
      <c r="A1901" s="766"/>
      <c r="D1901" s="767"/>
      <c r="E1901" s="767"/>
    </row>
    <row r="1902" spans="1:5">
      <c r="A1902" s="766"/>
      <c r="D1902" s="767"/>
      <c r="E1902" s="767"/>
    </row>
    <row r="1903" spans="1:5">
      <c r="A1903" s="766"/>
      <c r="D1903" s="767"/>
      <c r="E1903" s="767"/>
    </row>
    <row r="1904" spans="1:5">
      <c r="A1904" s="766"/>
      <c r="D1904" s="767"/>
      <c r="E1904" s="767"/>
    </row>
    <row r="1905" spans="1:5">
      <c r="A1905" s="766"/>
      <c r="D1905" s="767"/>
      <c r="E1905" s="767"/>
    </row>
    <row r="1906" spans="1:5">
      <c r="A1906" s="766"/>
      <c r="D1906" s="767"/>
      <c r="E1906" s="767"/>
    </row>
    <row r="1907" spans="1:5">
      <c r="A1907" s="766"/>
      <c r="D1907" s="767"/>
      <c r="E1907" s="767"/>
    </row>
    <row r="1908" spans="1:5">
      <c r="A1908" s="766"/>
      <c r="D1908" s="767"/>
      <c r="E1908" s="767"/>
    </row>
    <row r="1909" spans="1:5">
      <c r="A1909" s="766"/>
      <c r="D1909" s="767"/>
      <c r="E1909" s="767"/>
    </row>
    <row r="1910" spans="1:5">
      <c r="A1910" s="766"/>
      <c r="D1910" s="767"/>
      <c r="E1910" s="767"/>
    </row>
    <row r="1911" spans="1:5">
      <c r="A1911" s="766"/>
      <c r="D1911" s="767"/>
      <c r="E1911" s="767"/>
    </row>
    <row r="1912" spans="1:5">
      <c r="A1912" s="766"/>
      <c r="D1912" s="767"/>
      <c r="E1912" s="767"/>
    </row>
    <row r="1913" spans="1:5">
      <c r="A1913" s="766"/>
      <c r="D1913" s="767"/>
      <c r="E1913" s="767"/>
    </row>
    <row r="1914" spans="1:5">
      <c r="A1914" s="766"/>
      <c r="D1914" s="767"/>
      <c r="E1914" s="767"/>
    </row>
    <row r="1915" spans="1:5">
      <c r="A1915" s="766"/>
      <c r="D1915" s="767"/>
      <c r="E1915" s="767"/>
    </row>
    <row r="1916" spans="1:5">
      <c r="A1916" s="766"/>
      <c r="D1916" s="767"/>
      <c r="E1916" s="767"/>
    </row>
    <row r="1917" spans="1:5">
      <c r="A1917" s="766"/>
      <c r="D1917" s="767"/>
      <c r="E1917" s="767"/>
    </row>
    <row r="1918" spans="1:5">
      <c r="A1918" s="766"/>
      <c r="D1918" s="767"/>
      <c r="E1918" s="767"/>
    </row>
    <row r="1919" spans="1:5">
      <c r="A1919" s="766"/>
      <c r="D1919" s="767"/>
      <c r="E1919" s="767"/>
    </row>
    <row r="1920" spans="1:5">
      <c r="A1920" s="766"/>
      <c r="D1920" s="767"/>
      <c r="E1920" s="767"/>
    </row>
    <row r="1921" spans="1:5">
      <c r="A1921" s="766"/>
      <c r="D1921" s="767"/>
      <c r="E1921" s="767"/>
    </row>
    <row r="1922" spans="1:5">
      <c r="A1922" s="766"/>
      <c r="D1922" s="767"/>
      <c r="E1922" s="767"/>
    </row>
    <row r="1923" spans="1:5">
      <c r="A1923" s="766"/>
      <c r="D1923" s="767"/>
      <c r="E1923" s="767"/>
    </row>
    <row r="1924" spans="1:5">
      <c r="A1924" s="766"/>
      <c r="D1924" s="767"/>
      <c r="E1924" s="767"/>
    </row>
    <row r="1925" spans="1:5">
      <c r="A1925" s="766"/>
      <c r="D1925" s="767"/>
      <c r="E1925" s="767"/>
    </row>
    <row r="1926" spans="1:5">
      <c r="A1926" s="766"/>
      <c r="D1926" s="767"/>
      <c r="E1926" s="767"/>
    </row>
    <row r="1927" spans="1:5">
      <c r="A1927" s="766"/>
      <c r="D1927" s="767"/>
      <c r="E1927" s="767"/>
    </row>
    <row r="1928" spans="1:5">
      <c r="A1928" s="766"/>
      <c r="D1928" s="767"/>
      <c r="E1928" s="767"/>
    </row>
    <row r="1929" spans="1:5">
      <c r="A1929" s="766"/>
      <c r="D1929" s="767"/>
      <c r="E1929" s="767"/>
    </row>
    <row r="1930" spans="1:5">
      <c r="A1930" s="766"/>
      <c r="D1930" s="767"/>
      <c r="E1930" s="767"/>
    </row>
    <row r="1931" spans="1:5">
      <c r="A1931" s="766"/>
      <c r="D1931" s="767"/>
      <c r="E1931" s="767"/>
    </row>
    <row r="1932" spans="1:5">
      <c r="A1932" s="766"/>
      <c r="D1932" s="767"/>
      <c r="E1932" s="767"/>
    </row>
    <row r="1933" spans="1:5">
      <c r="A1933" s="766"/>
      <c r="D1933" s="767"/>
      <c r="E1933" s="767"/>
    </row>
    <row r="1934" spans="1:5">
      <c r="A1934" s="766"/>
      <c r="D1934" s="767"/>
      <c r="E1934" s="767"/>
    </row>
    <row r="1935" spans="1:5">
      <c r="A1935" s="766"/>
      <c r="D1935" s="767"/>
      <c r="E1935" s="767"/>
    </row>
    <row r="1936" spans="1:5">
      <c r="A1936" s="766"/>
      <c r="D1936" s="767"/>
      <c r="E1936" s="767"/>
    </row>
    <row r="1937" spans="1:5">
      <c r="A1937" s="766"/>
      <c r="D1937" s="767"/>
      <c r="E1937" s="767"/>
    </row>
    <row r="1938" spans="1:5">
      <c r="A1938" s="766"/>
      <c r="D1938" s="767"/>
      <c r="E1938" s="767"/>
    </row>
    <row r="1939" spans="1:5">
      <c r="A1939" s="766"/>
      <c r="D1939" s="767"/>
      <c r="E1939" s="767"/>
    </row>
    <row r="1940" spans="1:5">
      <c r="A1940" s="766"/>
      <c r="D1940" s="767"/>
      <c r="E1940" s="767"/>
    </row>
    <row r="1941" spans="1:5">
      <c r="A1941" s="766"/>
      <c r="D1941" s="767"/>
      <c r="E1941" s="767"/>
    </row>
    <row r="1942" spans="1:5">
      <c r="A1942" s="766"/>
      <c r="D1942" s="767"/>
      <c r="E1942" s="767"/>
    </row>
    <row r="1943" spans="1:5">
      <c r="A1943" s="766"/>
      <c r="D1943" s="767"/>
      <c r="E1943" s="767"/>
    </row>
    <row r="1944" spans="1:5">
      <c r="A1944" s="766"/>
      <c r="D1944" s="767"/>
      <c r="E1944" s="767"/>
    </row>
    <row r="1945" spans="1:5">
      <c r="A1945" s="766"/>
      <c r="D1945" s="767"/>
      <c r="E1945" s="767"/>
    </row>
    <row r="1946" spans="1:5">
      <c r="A1946" s="766"/>
      <c r="D1946" s="767"/>
      <c r="E1946" s="767"/>
    </row>
    <row r="1947" spans="1:5">
      <c r="A1947" s="766"/>
      <c r="D1947" s="767"/>
      <c r="E1947" s="767"/>
    </row>
    <row r="1948" spans="1:5">
      <c r="A1948" s="766"/>
      <c r="D1948" s="767"/>
      <c r="E1948" s="767"/>
    </row>
    <row r="1949" spans="1:5">
      <c r="A1949" s="766"/>
      <c r="D1949" s="767"/>
      <c r="E1949" s="767"/>
    </row>
    <row r="1950" spans="1:5">
      <c r="A1950" s="766"/>
      <c r="D1950" s="767"/>
      <c r="E1950" s="767"/>
    </row>
    <row r="1951" spans="1:5">
      <c r="A1951" s="766"/>
      <c r="D1951" s="767"/>
      <c r="E1951" s="767"/>
    </row>
    <row r="1952" spans="1:5">
      <c r="A1952" s="766"/>
      <c r="D1952" s="767"/>
      <c r="E1952" s="767"/>
    </row>
    <row r="1953" spans="1:5">
      <c r="A1953" s="766"/>
      <c r="D1953" s="767"/>
      <c r="E1953" s="767"/>
    </row>
    <row r="1954" spans="1:5">
      <c r="A1954" s="766"/>
      <c r="D1954" s="767"/>
      <c r="E1954" s="767"/>
    </row>
    <row r="1955" spans="1:5">
      <c r="A1955" s="766"/>
      <c r="D1955" s="767"/>
      <c r="E1955" s="767"/>
    </row>
    <row r="1956" spans="1:5">
      <c r="A1956" s="766"/>
      <c r="D1956" s="767"/>
      <c r="E1956" s="767"/>
    </row>
    <row r="1957" spans="1:5">
      <c r="A1957" s="766"/>
      <c r="D1957" s="767"/>
      <c r="E1957" s="767"/>
    </row>
    <row r="1958" spans="1:5">
      <c r="A1958" s="766"/>
      <c r="D1958" s="767"/>
      <c r="E1958" s="767"/>
    </row>
    <row r="1959" spans="1:5">
      <c r="A1959" s="766"/>
      <c r="D1959" s="767"/>
      <c r="E1959" s="767"/>
    </row>
    <row r="1960" spans="1:5">
      <c r="A1960" s="766"/>
      <c r="D1960" s="767"/>
      <c r="E1960" s="767"/>
    </row>
    <row r="1961" spans="1:5">
      <c r="A1961" s="766"/>
      <c r="D1961" s="767"/>
      <c r="E1961" s="767"/>
    </row>
    <row r="1962" spans="1:5">
      <c r="A1962" s="766"/>
      <c r="D1962" s="767"/>
      <c r="E1962" s="767"/>
    </row>
    <row r="1963" spans="1:5">
      <c r="A1963" s="766"/>
      <c r="D1963" s="767"/>
      <c r="E1963" s="767"/>
    </row>
    <row r="1964" spans="1:5">
      <c r="A1964" s="766"/>
      <c r="D1964" s="767"/>
      <c r="E1964" s="767"/>
    </row>
    <row r="1965" spans="1:5">
      <c r="A1965" s="766"/>
      <c r="D1965" s="767"/>
      <c r="E1965" s="767"/>
    </row>
    <row r="1966" spans="1:5">
      <c r="A1966" s="766"/>
      <c r="D1966" s="767"/>
      <c r="E1966" s="767"/>
    </row>
    <row r="1967" spans="1:5">
      <c r="A1967" s="766"/>
      <c r="D1967" s="767"/>
      <c r="E1967" s="767"/>
    </row>
    <row r="1968" spans="1:5">
      <c r="A1968" s="766"/>
      <c r="D1968" s="767"/>
      <c r="E1968" s="767"/>
    </row>
    <row r="1969" spans="1:5">
      <c r="A1969" s="766"/>
      <c r="D1969" s="767"/>
      <c r="E1969" s="767"/>
    </row>
    <row r="1970" spans="1:5">
      <c r="A1970" s="766"/>
      <c r="D1970" s="767"/>
      <c r="E1970" s="767"/>
    </row>
    <row r="1971" spans="1:5">
      <c r="A1971" s="766"/>
      <c r="D1971" s="767"/>
      <c r="E1971" s="767"/>
    </row>
    <row r="1972" spans="1:5">
      <c r="A1972" s="766"/>
      <c r="D1972" s="767"/>
      <c r="E1972" s="767"/>
    </row>
    <row r="1973" spans="1:5">
      <c r="A1973" s="766"/>
      <c r="D1973" s="767"/>
      <c r="E1973" s="767"/>
    </row>
    <row r="1974" spans="1:5">
      <c r="A1974" s="766"/>
      <c r="D1974" s="767"/>
      <c r="E1974" s="767"/>
    </row>
    <row r="1975" spans="1:5">
      <c r="A1975" s="766"/>
      <c r="D1975" s="767"/>
      <c r="E1975" s="767"/>
    </row>
    <row r="1976" spans="1:5">
      <c r="A1976" s="766"/>
      <c r="D1976" s="767"/>
      <c r="E1976" s="767"/>
    </row>
    <row r="1977" spans="1:5">
      <c r="A1977" s="766"/>
      <c r="D1977" s="767"/>
      <c r="E1977" s="767"/>
    </row>
    <row r="1978" spans="1:5">
      <c r="A1978" s="766"/>
      <c r="D1978" s="767"/>
      <c r="E1978" s="767"/>
    </row>
    <row r="1979" spans="1:5">
      <c r="A1979" s="766"/>
      <c r="D1979" s="767"/>
      <c r="E1979" s="767"/>
    </row>
    <row r="1980" spans="1:5">
      <c r="A1980" s="766"/>
      <c r="D1980" s="767"/>
      <c r="E1980" s="767"/>
    </row>
    <row r="1981" spans="1:5">
      <c r="A1981" s="766"/>
      <c r="D1981" s="767"/>
      <c r="E1981" s="767"/>
    </row>
    <row r="1982" spans="1:5">
      <c r="A1982" s="766"/>
      <c r="D1982" s="767"/>
      <c r="E1982" s="767"/>
    </row>
    <row r="1983" spans="1:5">
      <c r="A1983" s="766"/>
      <c r="D1983" s="767"/>
      <c r="E1983" s="767"/>
    </row>
    <row r="1984" spans="1:5">
      <c r="A1984" s="766"/>
      <c r="D1984" s="767"/>
      <c r="E1984" s="767"/>
    </row>
    <row r="1985" spans="1:5">
      <c r="A1985" s="766"/>
      <c r="D1985" s="767"/>
      <c r="E1985" s="767"/>
    </row>
    <row r="1986" spans="1:5">
      <c r="A1986" s="766"/>
      <c r="D1986" s="767"/>
      <c r="E1986" s="767"/>
    </row>
    <row r="1987" spans="1:5">
      <c r="A1987" s="766"/>
      <c r="D1987" s="767"/>
      <c r="E1987" s="767"/>
    </row>
    <row r="1988" spans="1:5">
      <c r="A1988" s="766"/>
      <c r="D1988" s="767"/>
      <c r="E1988" s="767"/>
    </row>
    <row r="1989" spans="1:5">
      <c r="A1989" s="766"/>
      <c r="D1989" s="767"/>
      <c r="E1989" s="767"/>
    </row>
    <row r="1990" spans="1:5">
      <c r="A1990" s="766"/>
      <c r="D1990" s="767"/>
      <c r="E1990" s="767"/>
    </row>
    <row r="1991" spans="1:5">
      <c r="A1991" s="766"/>
      <c r="D1991" s="767"/>
      <c r="E1991" s="767"/>
    </row>
    <row r="1992" spans="1:5">
      <c r="A1992" s="766"/>
      <c r="D1992" s="767"/>
      <c r="E1992" s="767"/>
    </row>
    <row r="1993" spans="1:5">
      <c r="A1993" s="766"/>
      <c r="D1993" s="767"/>
      <c r="E1993" s="767"/>
    </row>
    <row r="1994" spans="1:5">
      <c r="A1994" s="766"/>
      <c r="D1994" s="767"/>
      <c r="E1994" s="767"/>
    </row>
    <row r="1995" spans="1:5">
      <c r="A1995" s="766"/>
      <c r="D1995" s="767"/>
      <c r="E1995" s="767"/>
    </row>
    <row r="1996" spans="1:5">
      <c r="A1996" s="766"/>
      <c r="D1996" s="767"/>
      <c r="E1996" s="767"/>
    </row>
    <row r="1997" spans="1:5">
      <c r="A1997" s="766"/>
      <c r="D1997" s="767"/>
      <c r="E1997" s="767"/>
    </row>
    <row r="1998" spans="1:5">
      <c r="A1998" s="766"/>
      <c r="D1998" s="767"/>
      <c r="E1998" s="767"/>
    </row>
    <row r="1999" spans="1:5">
      <c r="A1999" s="766"/>
      <c r="D1999" s="767"/>
      <c r="E1999" s="767"/>
    </row>
    <row r="2000" spans="1:5">
      <c r="A2000" s="766"/>
      <c r="D2000" s="767"/>
      <c r="E2000" s="767"/>
    </row>
    <row r="2001" spans="1:5">
      <c r="A2001" s="766"/>
      <c r="D2001" s="767"/>
      <c r="E2001" s="767"/>
    </row>
    <row r="2002" spans="1:5">
      <c r="A2002" s="766"/>
      <c r="D2002" s="767"/>
      <c r="E2002" s="767"/>
    </row>
    <row r="2003" spans="1:5">
      <c r="A2003" s="766"/>
      <c r="D2003" s="767"/>
      <c r="E2003" s="767"/>
    </row>
    <row r="2004" spans="1:5">
      <c r="A2004" s="766"/>
      <c r="D2004" s="767"/>
      <c r="E2004" s="767"/>
    </row>
    <row r="2005" spans="1:5">
      <c r="A2005" s="766"/>
      <c r="D2005" s="767"/>
      <c r="E2005" s="767"/>
    </row>
    <row r="2006" spans="1:5">
      <c r="A2006" s="766"/>
      <c r="D2006" s="767"/>
      <c r="E2006" s="767"/>
    </row>
    <row r="2007" spans="1:5">
      <c r="A2007" s="766"/>
      <c r="D2007" s="767"/>
      <c r="E2007" s="767"/>
    </row>
    <row r="2008" spans="1:5">
      <c r="A2008" s="766"/>
      <c r="D2008" s="767"/>
      <c r="E2008" s="767"/>
    </row>
    <row r="2009" spans="1:5">
      <c r="A2009" s="766"/>
      <c r="D2009" s="767"/>
      <c r="E2009" s="767"/>
    </row>
    <row r="2010" spans="1:5">
      <c r="A2010" s="766"/>
      <c r="D2010" s="767"/>
      <c r="E2010" s="767"/>
    </row>
    <row r="2011" spans="1:5">
      <c r="A2011" s="766"/>
      <c r="D2011" s="767"/>
      <c r="E2011" s="767"/>
    </row>
    <row r="2012" spans="1:5">
      <c r="A2012" s="766"/>
      <c r="D2012" s="767"/>
      <c r="E2012" s="767"/>
    </row>
    <row r="2013" spans="1:5">
      <c r="A2013" s="766"/>
      <c r="D2013" s="767"/>
      <c r="E2013" s="767"/>
    </row>
    <row r="2014" spans="1:5">
      <c r="A2014" s="766"/>
      <c r="D2014" s="767"/>
      <c r="E2014" s="767"/>
    </row>
    <row r="2015" spans="1:5">
      <c r="A2015" s="766"/>
      <c r="D2015" s="767"/>
      <c r="E2015" s="767"/>
    </row>
    <row r="2016" spans="1:5">
      <c r="A2016" s="766"/>
      <c r="D2016" s="767"/>
      <c r="E2016" s="767"/>
    </row>
    <row r="2017" spans="1:5">
      <c r="A2017" s="766"/>
      <c r="D2017" s="767"/>
      <c r="E2017" s="767"/>
    </row>
    <row r="2018" spans="1:5">
      <c r="A2018" s="766"/>
      <c r="D2018" s="767"/>
      <c r="E2018" s="767"/>
    </row>
    <row r="2019" spans="1:5">
      <c r="A2019" s="766"/>
      <c r="D2019" s="767"/>
      <c r="E2019" s="767"/>
    </row>
    <row r="2020" spans="1:5">
      <c r="A2020" s="766"/>
      <c r="D2020" s="767"/>
      <c r="E2020" s="767"/>
    </row>
    <row r="2021" spans="1:5">
      <c r="A2021" s="766"/>
      <c r="D2021" s="767"/>
      <c r="E2021" s="767"/>
    </row>
    <row r="2022" spans="1:5">
      <c r="A2022" s="766"/>
      <c r="D2022" s="767"/>
      <c r="E2022" s="767"/>
    </row>
    <row r="2023" spans="1:5">
      <c r="A2023" s="766"/>
      <c r="D2023" s="767"/>
      <c r="E2023" s="767"/>
    </row>
    <row r="2024" spans="1:5">
      <c r="A2024" s="766"/>
      <c r="D2024" s="767"/>
      <c r="E2024" s="767"/>
    </row>
    <row r="2025" spans="1:5">
      <c r="A2025" s="766"/>
      <c r="D2025" s="767"/>
      <c r="E2025" s="767"/>
    </row>
    <row r="2026" spans="1:5">
      <c r="A2026" s="766"/>
      <c r="D2026" s="767"/>
      <c r="E2026" s="767"/>
    </row>
    <row r="2027" spans="1:5">
      <c r="A2027" s="766"/>
      <c r="D2027" s="767"/>
      <c r="E2027" s="767"/>
    </row>
    <row r="2028" spans="1:5">
      <c r="A2028" s="766"/>
      <c r="D2028" s="767"/>
      <c r="E2028" s="767"/>
    </row>
    <row r="2029" spans="1:5">
      <c r="A2029" s="766"/>
      <c r="D2029" s="767"/>
      <c r="E2029" s="767"/>
    </row>
    <row r="2030" spans="1:5">
      <c r="A2030" s="766"/>
      <c r="D2030" s="767"/>
      <c r="E2030" s="767"/>
    </row>
    <row r="2031" spans="1:5">
      <c r="A2031" s="766"/>
      <c r="D2031" s="767"/>
      <c r="E2031" s="767"/>
    </row>
    <row r="2032" spans="1:5">
      <c r="A2032" s="766"/>
      <c r="D2032" s="767"/>
      <c r="E2032" s="767"/>
    </row>
    <row r="2033" spans="1:5">
      <c r="A2033" s="766"/>
      <c r="D2033" s="767"/>
      <c r="E2033" s="767"/>
    </row>
    <row r="2034" spans="1:5">
      <c r="A2034" s="766"/>
      <c r="D2034" s="767"/>
      <c r="E2034" s="767"/>
    </row>
    <row r="2035" spans="1:5">
      <c r="A2035" s="766"/>
      <c r="D2035" s="767"/>
      <c r="E2035" s="767"/>
    </row>
    <row r="2036" spans="1:5">
      <c r="A2036" s="766"/>
      <c r="D2036" s="767"/>
      <c r="E2036" s="767"/>
    </row>
    <row r="2037" spans="1:5">
      <c r="A2037" s="766"/>
      <c r="D2037" s="767"/>
      <c r="E2037" s="767"/>
    </row>
    <row r="2038" spans="1:5">
      <c r="A2038" s="766"/>
      <c r="D2038" s="767"/>
      <c r="E2038" s="767"/>
    </row>
    <row r="2039" spans="1:5">
      <c r="A2039" s="766"/>
      <c r="D2039" s="767"/>
      <c r="E2039" s="767"/>
    </row>
    <row r="2040" spans="1:5">
      <c r="A2040" s="766"/>
      <c r="D2040" s="767"/>
      <c r="E2040" s="767"/>
    </row>
    <row r="2041" spans="1:5">
      <c r="A2041" s="766"/>
      <c r="D2041" s="767"/>
      <c r="E2041" s="767"/>
    </row>
    <row r="2042" spans="1:5">
      <c r="A2042" s="766"/>
      <c r="D2042" s="767"/>
      <c r="E2042" s="767"/>
    </row>
    <row r="2043" spans="1:5">
      <c r="A2043" s="766"/>
      <c r="D2043" s="767"/>
      <c r="E2043" s="767"/>
    </row>
    <row r="2044" spans="1:5">
      <c r="A2044" s="766"/>
      <c r="D2044" s="767"/>
      <c r="E2044" s="767"/>
    </row>
    <row r="2045" spans="1:5">
      <c r="A2045" s="766"/>
      <c r="D2045" s="767"/>
      <c r="E2045" s="767"/>
    </row>
    <row r="2046" spans="1:5">
      <c r="A2046" s="766"/>
      <c r="D2046" s="767"/>
      <c r="E2046" s="767"/>
    </row>
    <row r="2047" spans="1:5">
      <c r="A2047" s="766"/>
      <c r="D2047" s="767"/>
      <c r="E2047" s="767"/>
    </row>
    <row r="2048" spans="1:5">
      <c r="A2048" s="766"/>
      <c r="D2048" s="767"/>
      <c r="E2048" s="767"/>
    </row>
    <row r="2049" spans="1:5">
      <c r="A2049" s="766"/>
      <c r="D2049" s="767"/>
      <c r="E2049" s="767"/>
    </row>
    <row r="2050" spans="1:5">
      <c r="A2050" s="766"/>
      <c r="D2050" s="767"/>
      <c r="E2050" s="767"/>
    </row>
    <row r="2051" spans="1:5">
      <c r="A2051" s="766"/>
      <c r="D2051" s="767"/>
      <c r="E2051" s="767"/>
    </row>
    <row r="2052" spans="1:5">
      <c r="A2052" s="766"/>
      <c r="D2052" s="767"/>
      <c r="E2052" s="767"/>
    </row>
    <row r="2053" spans="1:5">
      <c r="A2053" s="766"/>
      <c r="D2053" s="767"/>
      <c r="E2053" s="767"/>
    </row>
    <row r="2054" spans="1:5">
      <c r="A2054" s="766"/>
      <c r="D2054" s="767"/>
      <c r="E2054" s="767"/>
    </row>
    <row r="2055" spans="1:5">
      <c r="A2055" s="766"/>
      <c r="D2055" s="767"/>
      <c r="E2055" s="767"/>
    </row>
    <row r="2056" spans="1:5">
      <c r="A2056" s="766"/>
      <c r="D2056" s="767"/>
      <c r="E2056" s="767"/>
    </row>
    <row r="2057" spans="1:5">
      <c r="A2057" s="766"/>
      <c r="D2057" s="767"/>
      <c r="E2057" s="767"/>
    </row>
    <row r="2058" spans="1:5">
      <c r="A2058" s="766"/>
      <c r="D2058" s="767"/>
      <c r="E2058" s="767"/>
    </row>
    <row r="2059" spans="1:5">
      <c r="A2059" s="766"/>
      <c r="D2059" s="767"/>
      <c r="E2059" s="767"/>
    </row>
    <row r="2060" spans="1:5">
      <c r="A2060" s="766"/>
      <c r="D2060" s="767"/>
      <c r="E2060" s="767"/>
    </row>
    <row r="2061" spans="1:5">
      <c r="A2061" s="766"/>
      <c r="D2061" s="767"/>
      <c r="E2061" s="767"/>
    </row>
    <row r="2062" spans="1:5">
      <c r="A2062" s="766"/>
      <c r="D2062" s="767"/>
      <c r="E2062" s="767"/>
    </row>
    <row r="2063" spans="1:5">
      <c r="A2063" s="766"/>
      <c r="D2063" s="767"/>
      <c r="E2063" s="767"/>
    </row>
    <row r="2064" spans="1:5">
      <c r="A2064" s="766"/>
      <c r="D2064" s="767"/>
      <c r="E2064" s="767"/>
    </row>
    <row r="2065" spans="1:5">
      <c r="A2065" s="766"/>
      <c r="D2065" s="767"/>
      <c r="E2065" s="767"/>
    </row>
    <row r="2066" spans="1:5">
      <c r="A2066" s="766"/>
      <c r="D2066" s="767"/>
      <c r="E2066" s="767"/>
    </row>
    <row r="2067" spans="1:5">
      <c r="A2067" s="766"/>
      <c r="D2067" s="767"/>
      <c r="E2067" s="767"/>
    </row>
    <row r="2068" spans="1:5">
      <c r="A2068" s="766"/>
      <c r="D2068" s="767"/>
      <c r="E2068" s="767"/>
    </row>
    <row r="2069" spans="1:5">
      <c r="A2069" s="766"/>
      <c r="D2069" s="767"/>
      <c r="E2069" s="767"/>
    </row>
    <row r="2070" spans="1:5">
      <c r="A2070" s="766"/>
      <c r="D2070" s="767"/>
      <c r="E2070" s="767"/>
    </row>
    <row r="2071" spans="1:5">
      <c r="A2071" s="766"/>
      <c r="D2071" s="767"/>
      <c r="E2071" s="767"/>
    </row>
    <row r="2072" spans="1:5">
      <c r="A2072" s="766"/>
      <c r="D2072" s="767"/>
      <c r="E2072" s="767"/>
    </row>
    <row r="2073" spans="1:5">
      <c r="A2073" s="766"/>
      <c r="D2073" s="767"/>
      <c r="E2073" s="767"/>
    </row>
    <row r="2074" spans="1:5">
      <c r="A2074" s="766"/>
      <c r="D2074" s="767"/>
      <c r="E2074" s="767"/>
    </row>
    <row r="2075" spans="1:5">
      <c r="A2075" s="766"/>
      <c r="D2075" s="767"/>
      <c r="E2075" s="767"/>
    </row>
    <row r="2076" spans="1:5">
      <c r="A2076" s="766"/>
      <c r="D2076" s="767"/>
      <c r="E2076" s="767"/>
    </row>
    <row r="2077" spans="1:5">
      <c r="A2077" s="766"/>
      <c r="D2077" s="767"/>
      <c r="E2077" s="767"/>
    </row>
    <row r="2078" spans="1:5">
      <c r="A2078" s="766"/>
      <c r="D2078" s="767"/>
      <c r="E2078" s="767"/>
    </row>
    <row r="2079" spans="1:5">
      <c r="A2079" s="766"/>
      <c r="D2079" s="767"/>
      <c r="E2079" s="767"/>
    </row>
    <row r="2080" spans="1:5">
      <c r="A2080" s="766"/>
      <c r="D2080" s="767"/>
      <c r="E2080" s="767"/>
    </row>
    <row r="2081" spans="1:5">
      <c r="A2081" s="766"/>
      <c r="D2081" s="767"/>
      <c r="E2081" s="767"/>
    </row>
    <row r="2082" spans="1:5">
      <c r="A2082" s="766"/>
      <c r="D2082" s="767"/>
      <c r="E2082" s="767"/>
    </row>
    <row r="2083" spans="1:5">
      <c r="A2083" s="766"/>
      <c r="D2083" s="767"/>
      <c r="E2083" s="767"/>
    </row>
    <row r="2084" spans="1:5">
      <c r="A2084" s="766"/>
      <c r="D2084" s="767"/>
      <c r="E2084" s="767"/>
    </row>
    <row r="2085" spans="1:5">
      <c r="A2085" s="766"/>
      <c r="D2085" s="767"/>
      <c r="E2085" s="767"/>
    </row>
    <row r="2086" spans="1:5">
      <c r="A2086" s="766"/>
      <c r="D2086" s="767"/>
      <c r="E2086" s="767"/>
    </row>
    <row r="2087" spans="1:5">
      <c r="A2087" s="766"/>
      <c r="D2087" s="767"/>
      <c r="E2087" s="767"/>
    </row>
    <row r="2088" spans="1:5">
      <c r="A2088" s="766"/>
      <c r="D2088" s="767"/>
      <c r="E2088" s="767"/>
    </row>
    <row r="2089" spans="1:5">
      <c r="A2089" s="766"/>
      <c r="D2089" s="767"/>
      <c r="E2089" s="767"/>
    </row>
    <row r="2090" spans="1:5">
      <c r="A2090" s="766"/>
      <c r="D2090" s="767"/>
      <c r="E2090" s="767"/>
    </row>
    <row r="2091" spans="1:5">
      <c r="A2091" s="766"/>
      <c r="D2091" s="767"/>
      <c r="E2091" s="767"/>
    </row>
    <row r="2092" spans="1:5">
      <c r="A2092" s="766"/>
      <c r="D2092" s="767"/>
      <c r="E2092" s="767"/>
    </row>
    <row r="2093" spans="1:5">
      <c r="A2093" s="766"/>
      <c r="D2093" s="767"/>
      <c r="E2093" s="767"/>
    </row>
    <row r="2094" spans="1:5">
      <c r="A2094" s="766"/>
      <c r="D2094" s="767"/>
      <c r="E2094" s="767"/>
    </row>
    <row r="2095" spans="1:5">
      <c r="A2095" s="766"/>
      <c r="D2095" s="767"/>
      <c r="E2095" s="767"/>
    </row>
    <row r="2096" spans="1:5">
      <c r="A2096" s="766"/>
      <c r="D2096" s="767"/>
      <c r="E2096" s="767"/>
    </row>
    <row r="2097" spans="1:5">
      <c r="A2097" s="766"/>
      <c r="D2097" s="767"/>
      <c r="E2097" s="767"/>
    </row>
    <row r="2098" spans="1:5">
      <c r="A2098" s="766"/>
      <c r="D2098" s="767"/>
      <c r="E2098" s="767"/>
    </row>
    <row r="2099" spans="1:5">
      <c r="A2099" s="766"/>
      <c r="D2099" s="767"/>
      <c r="E2099" s="767"/>
    </row>
    <row r="2100" spans="1:5">
      <c r="A2100" s="766"/>
      <c r="D2100" s="767"/>
      <c r="E2100" s="767"/>
    </row>
    <row r="2101" spans="1:5">
      <c r="A2101" s="766"/>
      <c r="D2101" s="767"/>
      <c r="E2101" s="767"/>
    </row>
    <row r="2102" spans="1:5">
      <c r="A2102" s="766"/>
      <c r="D2102" s="767"/>
      <c r="E2102" s="767"/>
    </row>
    <row r="2103" spans="1:5">
      <c r="A2103" s="766"/>
      <c r="D2103" s="767"/>
      <c r="E2103" s="767"/>
    </row>
    <row r="2104" spans="1:5">
      <c r="A2104" s="766"/>
      <c r="D2104" s="767"/>
      <c r="E2104" s="767"/>
    </row>
    <row r="2105" spans="1:5">
      <c r="A2105" s="766"/>
      <c r="D2105" s="767"/>
      <c r="E2105" s="767"/>
    </row>
    <row r="2106" spans="1:5">
      <c r="A2106" s="766"/>
      <c r="D2106" s="767"/>
      <c r="E2106" s="767"/>
    </row>
    <row r="2107" spans="1:5">
      <c r="A2107" s="766"/>
      <c r="D2107" s="767"/>
      <c r="E2107" s="767"/>
    </row>
    <row r="2108" spans="1:5">
      <c r="A2108" s="766"/>
      <c r="D2108" s="767"/>
      <c r="E2108" s="767"/>
    </row>
    <row r="2109" spans="1:5">
      <c r="A2109" s="766"/>
      <c r="D2109" s="767"/>
      <c r="E2109" s="767"/>
    </row>
    <row r="2110" spans="1:5">
      <c r="A2110" s="766"/>
      <c r="D2110" s="767"/>
      <c r="E2110" s="767"/>
    </row>
    <row r="2111" spans="1:5">
      <c r="A2111" s="766"/>
      <c r="D2111" s="767"/>
      <c r="E2111" s="767"/>
    </row>
    <row r="2112" spans="1:5">
      <c r="A2112" s="766"/>
      <c r="D2112" s="767"/>
      <c r="E2112" s="767"/>
    </row>
    <row r="2113" spans="1:5">
      <c r="A2113" s="766"/>
      <c r="D2113" s="767"/>
      <c r="E2113" s="767"/>
    </row>
    <row r="2114" spans="1:5">
      <c r="A2114" s="766"/>
      <c r="D2114" s="767"/>
      <c r="E2114" s="767"/>
    </row>
    <row r="2115" spans="1:5">
      <c r="A2115" s="766"/>
      <c r="D2115" s="767"/>
      <c r="E2115" s="767"/>
    </row>
    <row r="2116" spans="1:5">
      <c r="A2116" s="766"/>
      <c r="D2116" s="767"/>
      <c r="E2116" s="767"/>
    </row>
    <row r="2117" spans="1:5">
      <c r="A2117" s="766"/>
      <c r="D2117" s="767"/>
      <c r="E2117" s="767"/>
    </row>
    <row r="2118" spans="1:5">
      <c r="A2118" s="766"/>
      <c r="D2118" s="767"/>
      <c r="E2118" s="767"/>
    </row>
    <row r="2119" spans="1:5">
      <c r="A2119" s="766"/>
      <c r="D2119" s="767"/>
      <c r="E2119" s="767"/>
    </row>
    <row r="2120" spans="1:5">
      <c r="A2120" s="766"/>
      <c r="D2120" s="767"/>
      <c r="E2120" s="767"/>
    </row>
    <row r="2121" spans="1:5">
      <c r="A2121" s="766"/>
      <c r="D2121" s="767"/>
      <c r="E2121" s="767"/>
    </row>
    <row r="2122" spans="1:5">
      <c r="A2122" s="766"/>
      <c r="D2122" s="767"/>
      <c r="E2122" s="767"/>
    </row>
    <row r="2123" spans="1:5">
      <c r="A2123" s="766"/>
      <c r="D2123" s="767"/>
      <c r="E2123" s="767"/>
    </row>
    <row r="2124" spans="1:5">
      <c r="A2124" s="766"/>
      <c r="D2124" s="767"/>
      <c r="E2124" s="767"/>
    </row>
    <row r="2125" spans="1:5">
      <c r="A2125" s="766"/>
      <c r="D2125" s="767"/>
      <c r="E2125" s="767"/>
    </row>
    <row r="2126" spans="1:5">
      <c r="A2126" s="766"/>
      <c r="D2126" s="767"/>
      <c r="E2126" s="767"/>
    </row>
    <row r="2127" spans="1:5">
      <c r="A2127" s="766"/>
      <c r="D2127" s="767"/>
      <c r="E2127" s="767"/>
    </row>
    <row r="2128" spans="1:5">
      <c r="A2128" s="766"/>
      <c r="D2128" s="767"/>
      <c r="E2128" s="767"/>
    </row>
    <row r="2129" spans="1:5">
      <c r="A2129" s="766"/>
      <c r="D2129" s="767"/>
      <c r="E2129" s="767"/>
    </row>
    <row r="2130" spans="1:5">
      <c r="A2130" s="766"/>
      <c r="D2130" s="767"/>
      <c r="E2130" s="767"/>
    </row>
    <row r="2131" spans="1:5">
      <c r="A2131" s="766"/>
      <c r="D2131" s="767"/>
      <c r="E2131" s="767"/>
    </row>
    <row r="2132" spans="1:5">
      <c r="A2132" s="766"/>
      <c r="D2132" s="767"/>
      <c r="E2132" s="767"/>
    </row>
    <row r="2133" spans="1:5">
      <c r="A2133" s="766"/>
      <c r="D2133" s="767"/>
      <c r="E2133" s="767"/>
    </row>
    <row r="2134" spans="1:5">
      <c r="A2134" s="766"/>
      <c r="D2134" s="767"/>
      <c r="E2134" s="767"/>
    </row>
    <row r="2135" spans="1:5">
      <c r="A2135" s="766"/>
      <c r="D2135" s="767"/>
      <c r="E2135" s="767"/>
    </row>
    <row r="2136" spans="1:5">
      <c r="A2136" s="766"/>
      <c r="D2136" s="767"/>
      <c r="E2136" s="767"/>
    </row>
    <row r="2137" spans="1:5">
      <c r="A2137" s="766"/>
      <c r="D2137" s="767"/>
      <c r="E2137" s="767"/>
    </row>
    <row r="2138" spans="1:5">
      <c r="A2138" s="766"/>
      <c r="D2138" s="767"/>
      <c r="E2138" s="767"/>
    </row>
    <row r="2139" spans="1:5">
      <c r="A2139" s="766"/>
      <c r="D2139" s="767"/>
      <c r="E2139" s="767"/>
    </row>
    <row r="2140" spans="1:5">
      <c r="A2140" s="766"/>
      <c r="D2140" s="767"/>
      <c r="E2140" s="767"/>
    </row>
    <row r="2141" spans="1:5">
      <c r="A2141" s="766"/>
      <c r="D2141" s="767"/>
      <c r="E2141" s="767"/>
    </row>
    <row r="2142" spans="1:5">
      <c r="A2142" s="766"/>
      <c r="D2142" s="767"/>
      <c r="E2142" s="767"/>
    </row>
    <row r="2143" spans="1:5">
      <c r="A2143" s="766"/>
      <c r="D2143" s="767"/>
      <c r="E2143" s="767"/>
    </row>
    <row r="2144" spans="1:5">
      <c r="A2144" s="766"/>
      <c r="D2144" s="767"/>
      <c r="E2144" s="767"/>
    </row>
    <row r="2145" spans="1:5">
      <c r="A2145" s="766"/>
      <c r="D2145" s="767"/>
      <c r="E2145" s="767"/>
    </row>
    <row r="2146" spans="1:5">
      <c r="A2146" s="766"/>
      <c r="D2146" s="767"/>
      <c r="E2146" s="767"/>
    </row>
    <row r="2147" spans="1:5">
      <c r="A2147" s="766"/>
      <c r="D2147" s="767"/>
      <c r="E2147" s="767"/>
    </row>
    <row r="2148" spans="1:5">
      <c r="A2148" s="766"/>
      <c r="D2148" s="767"/>
      <c r="E2148" s="767"/>
    </row>
    <row r="2149" spans="1:5">
      <c r="A2149" s="766"/>
      <c r="D2149" s="767"/>
      <c r="E2149" s="767"/>
    </row>
    <row r="2150" spans="1:5">
      <c r="A2150" s="766"/>
      <c r="D2150" s="767"/>
      <c r="E2150" s="767"/>
    </row>
    <row r="2151" spans="1:5">
      <c r="A2151" s="766"/>
      <c r="D2151" s="767"/>
      <c r="E2151" s="767"/>
    </row>
    <row r="2152" spans="1:5">
      <c r="A2152" s="766"/>
      <c r="D2152" s="767"/>
      <c r="E2152" s="767"/>
    </row>
    <row r="2153" spans="1:5">
      <c r="A2153" s="766"/>
      <c r="D2153" s="767"/>
      <c r="E2153" s="767"/>
    </row>
    <row r="2154" spans="1:5">
      <c r="A2154" s="766"/>
      <c r="D2154" s="767"/>
      <c r="E2154" s="767"/>
    </row>
    <row r="2155" spans="1:5">
      <c r="A2155" s="766"/>
      <c r="D2155" s="767"/>
      <c r="E2155" s="767"/>
    </row>
    <row r="2156" spans="1:5">
      <c r="A2156" s="766"/>
      <c r="D2156" s="767"/>
      <c r="E2156" s="767"/>
    </row>
    <row r="2157" spans="1:5">
      <c r="A2157" s="766"/>
      <c r="D2157" s="767"/>
      <c r="E2157" s="767"/>
    </row>
    <row r="2158" spans="1:5">
      <c r="A2158" s="766"/>
      <c r="D2158" s="767"/>
      <c r="E2158" s="767"/>
    </row>
    <row r="2159" spans="1:5">
      <c r="A2159" s="766"/>
      <c r="D2159" s="767"/>
      <c r="E2159" s="767"/>
    </row>
    <row r="2160" spans="1:5">
      <c r="A2160" s="766"/>
      <c r="D2160" s="767"/>
      <c r="E2160" s="767"/>
    </row>
    <row r="2161" spans="1:5">
      <c r="A2161" s="766"/>
      <c r="D2161" s="767"/>
      <c r="E2161" s="767"/>
    </row>
    <row r="2162" spans="1:5">
      <c r="A2162" s="766"/>
      <c r="D2162" s="767"/>
      <c r="E2162" s="767"/>
    </row>
    <row r="2163" spans="1:5">
      <c r="A2163" s="766"/>
      <c r="D2163" s="767"/>
      <c r="E2163" s="767"/>
    </row>
    <row r="2164" spans="1:5">
      <c r="A2164" s="766"/>
      <c r="D2164" s="767"/>
      <c r="E2164" s="767"/>
    </row>
    <row r="2165" spans="1:5">
      <c r="A2165" s="766"/>
      <c r="D2165" s="767"/>
      <c r="E2165" s="767"/>
    </row>
    <row r="2166" spans="1:5">
      <c r="A2166" s="766"/>
      <c r="D2166" s="767"/>
      <c r="E2166" s="767"/>
    </row>
    <row r="2167" spans="1:5">
      <c r="A2167" s="766"/>
      <c r="D2167" s="767"/>
      <c r="E2167" s="767"/>
    </row>
    <row r="2168" spans="1:5">
      <c r="A2168" s="766"/>
      <c r="D2168" s="767"/>
      <c r="E2168" s="767"/>
    </row>
    <row r="2169" spans="1:5">
      <c r="A2169" s="766"/>
      <c r="D2169" s="767"/>
      <c r="E2169" s="767"/>
    </row>
    <row r="2170" spans="1:5">
      <c r="A2170" s="766"/>
      <c r="D2170" s="767"/>
      <c r="E2170" s="767"/>
    </row>
    <row r="2171" spans="1:5">
      <c r="A2171" s="766"/>
      <c r="D2171" s="767"/>
      <c r="E2171" s="767"/>
    </row>
    <row r="2172" spans="1:5">
      <c r="A2172" s="766"/>
      <c r="D2172" s="767"/>
      <c r="E2172" s="767"/>
    </row>
    <row r="2173" spans="1:5">
      <c r="A2173" s="766"/>
      <c r="D2173" s="767"/>
      <c r="E2173" s="767"/>
    </row>
    <row r="2174" spans="1:5">
      <c r="A2174" s="766"/>
      <c r="D2174" s="768"/>
      <c r="E2174" s="768"/>
    </row>
    <row r="2175" spans="1:5">
      <c r="A2175" s="766"/>
      <c r="D2175" s="768"/>
      <c r="E2175" s="768"/>
    </row>
    <row r="2176" spans="1:5">
      <c r="A2176" s="766"/>
      <c r="D2176" s="768"/>
      <c r="E2176" s="768"/>
    </row>
    <row r="2177" spans="1:5">
      <c r="A2177" s="766"/>
      <c r="D2177" s="768"/>
      <c r="E2177" s="768"/>
    </row>
    <row r="2178" spans="1:5">
      <c r="A2178" s="766"/>
      <c r="D2178" s="768"/>
      <c r="E2178" s="768"/>
    </row>
    <row r="2179" spans="1:5">
      <c r="A2179" s="766"/>
      <c r="D2179" s="768"/>
      <c r="E2179" s="768"/>
    </row>
    <row r="2180" spans="1:5">
      <c r="A2180" s="766"/>
      <c r="D2180" s="768"/>
      <c r="E2180" s="768"/>
    </row>
    <row r="2181" spans="1:5">
      <c r="A2181" s="766"/>
      <c r="D2181" s="768"/>
      <c r="E2181" s="768"/>
    </row>
    <row r="2182" spans="1:5">
      <c r="A2182" s="766"/>
      <c r="D2182" s="768"/>
      <c r="E2182" s="768"/>
    </row>
    <row r="2183" spans="1:5">
      <c r="A2183" s="766"/>
      <c r="D2183" s="768"/>
      <c r="E2183" s="768"/>
    </row>
    <row r="2184" spans="1:5">
      <c r="A2184" s="766"/>
      <c r="D2184" s="768"/>
      <c r="E2184" s="768"/>
    </row>
    <row r="2185" spans="1:5">
      <c r="A2185" s="766"/>
      <c r="D2185" s="768"/>
      <c r="E2185" s="768"/>
    </row>
    <row r="2186" spans="1:5">
      <c r="A2186" s="766"/>
      <c r="D2186" s="768"/>
      <c r="E2186" s="768"/>
    </row>
    <row r="2187" spans="1:5">
      <c r="A2187" s="766"/>
      <c r="D2187" s="768"/>
      <c r="E2187" s="768"/>
    </row>
    <row r="2188" spans="1:5">
      <c r="A2188" s="766"/>
      <c r="D2188" s="768"/>
      <c r="E2188" s="768"/>
    </row>
    <row r="2189" spans="1:5">
      <c r="A2189" s="766"/>
      <c r="D2189" s="768"/>
      <c r="E2189" s="768"/>
    </row>
    <row r="2190" spans="1:5">
      <c r="A2190" s="766"/>
      <c r="D2190" s="768"/>
      <c r="E2190" s="768"/>
    </row>
    <row r="2191" spans="1:5">
      <c r="A2191" s="766"/>
      <c r="D2191" s="768"/>
      <c r="E2191" s="768"/>
    </row>
    <row r="2192" spans="1:5">
      <c r="A2192" s="766"/>
      <c r="D2192" s="768"/>
      <c r="E2192" s="768"/>
    </row>
    <row r="2193" spans="1:5">
      <c r="A2193" s="766"/>
      <c r="D2193" s="768"/>
      <c r="E2193" s="768"/>
    </row>
    <row r="2194" spans="1:5">
      <c r="A2194" s="766"/>
      <c r="D2194" s="768"/>
      <c r="E2194" s="768"/>
    </row>
    <row r="2195" spans="1:5">
      <c r="A2195" s="766"/>
      <c r="D2195" s="768"/>
      <c r="E2195" s="768"/>
    </row>
    <row r="2196" spans="1:5">
      <c r="A2196" s="766"/>
      <c r="D2196" s="768"/>
      <c r="E2196" s="768"/>
    </row>
    <row r="2197" spans="1:5">
      <c r="A2197" s="766"/>
      <c r="D2197" s="768"/>
      <c r="E2197" s="768"/>
    </row>
    <row r="2198" spans="1:5">
      <c r="A2198" s="766"/>
      <c r="D2198" s="768"/>
      <c r="E2198" s="768"/>
    </row>
    <row r="2199" spans="1:5">
      <c r="A2199" s="766"/>
      <c r="D2199" s="768"/>
      <c r="E2199" s="768"/>
    </row>
    <row r="2200" spans="1:5">
      <c r="A2200" s="766"/>
      <c r="D2200" s="768"/>
      <c r="E2200" s="768"/>
    </row>
    <row r="2201" spans="1:5">
      <c r="A2201" s="766"/>
      <c r="D2201" s="768"/>
      <c r="E2201" s="768"/>
    </row>
    <row r="2202" spans="1:5">
      <c r="A2202" s="766"/>
      <c r="D2202" s="768"/>
      <c r="E2202" s="768"/>
    </row>
    <row r="2203" spans="1:5">
      <c r="A2203" s="766"/>
      <c r="D2203" s="768"/>
      <c r="E2203" s="768"/>
    </row>
    <row r="2204" spans="1:5">
      <c r="A2204" s="766"/>
      <c r="D2204" s="768"/>
      <c r="E2204" s="768"/>
    </row>
    <row r="2205" spans="1:5">
      <c r="A2205" s="766"/>
      <c r="D2205" s="768"/>
      <c r="E2205" s="768"/>
    </row>
    <row r="2206" spans="1:5">
      <c r="A2206" s="766"/>
      <c r="D2206" s="768"/>
      <c r="E2206" s="768"/>
    </row>
    <row r="2207" spans="1:5">
      <c r="A2207" s="766"/>
      <c r="D2207" s="767"/>
      <c r="E2207" s="767"/>
    </row>
    <row r="2208" spans="1:5">
      <c r="A2208" s="766"/>
      <c r="D2208" s="768"/>
      <c r="E2208" s="768"/>
    </row>
    <row r="2209" spans="1:5">
      <c r="A2209" s="766"/>
      <c r="D2209" s="767"/>
      <c r="E2209" s="767"/>
    </row>
    <row r="2210" spans="1:5">
      <c r="A2210" s="766"/>
      <c r="D2210" s="767"/>
      <c r="E2210" s="767"/>
    </row>
    <row r="2211" spans="1:5">
      <c r="A2211" s="766"/>
      <c r="D2211" s="767"/>
      <c r="E2211" s="767"/>
    </row>
    <row r="2212" spans="1:5">
      <c r="A2212" s="766"/>
      <c r="D2212" s="767"/>
      <c r="E2212" s="767"/>
    </row>
    <row r="2213" spans="1:5">
      <c r="A2213" s="766"/>
      <c r="D2213" s="767"/>
      <c r="E2213" s="767"/>
    </row>
    <row r="2214" spans="1:5">
      <c r="A2214" s="766"/>
      <c r="D2214" s="767"/>
      <c r="E2214" s="767"/>
    </row>
    <row r="2215" spans="1:5">
      <c r="A2215" s="766"/>
      <c r="D2215" s="767"/>
      <c r="E2215" s="767"/>
    </row>
    <row r="2216" spans="1:5">
      <c r="A2216" s="766"/>
      <c r="D2216" s="767"/>
      <c r="E2216" s="767"/>
    </row>
    <row r="2217" spans="1:5">
      <c r="A2217" s="766"/>
      <c r="D2217" s="767"/>
      <c r="E2217" s="767"/>
    </row>
    <row r="2218" spans="1:5">
      <c r="A2218" s="766"/>
      <c r="D2218" s="767"/>
      <c r="E2218" s="767"/>
    </row>
    <row r="2219" spans="1:5">
      <c r="A2219" s="766"/>
      <c r="D2219" s="767"/>
      <c r="E2219" s="767"/>
    </row>
    <row r="2220" spans="1:5">
      <c r="A2220" s="766"/>
      <c r="D2220" s="767"/>
      <c r="E2220" s="767"/>
    </row>
    <row r="2221" spans="1:5">
      <c r="A2221" s="766"/>
      <c r="D2221" s="767"/>
      <c r="E2221" s="767"/>
    </row>
    <row r="2222" spans="1:5">
      <c r="A2222" s="766"/>
      <c r="D2222" s="767"/>
      <c r="E2222" s="767"/>
    </row>
    <row r="2223" spans="1:5">
      <c r="A2223" s="766"/>
      <c r="D2223" s="767"/>
      <c r="E2223" s="767"/>
    </row>
    <row r="2224" spans="1:5">
      <c r="A2224" s="766"/>
      <c r="D2224" s="767"/>
      <c r="E2224" s="767"/>
    </row>
    <row r="2225" spans="1:5">
      <c r="A2225" s="766"/>
      <c r="D2225" s="767"/>
      <c r="E2225" s="767"/>
    </row>
    <row r="2226" spans="1:5">
      <c r="A2226" s="766"/>
      <c r="D2226" s="767"/>
      <c r="E2226" s="767"/>
    </row>
    <row r="2227" spans="1:5">
      <c r="A2227" s="766"/>
      <c r="D2227" s="767"/>
      <c r="E2227" s="767"/>
    </row>
    <row r="2228" spans="1:5">
      <c r="A2228" s="766"/>
      <c r="D2228" s="767"/>
      <c r="E2228" s="767"/>
    </row>
    <row r="2229" spans="1:5">
      <c r="A2229" s="766"/>
      <c r="D2229" s="767"/>
      <c r="E2229" s="767"/>
    </row>
    <row r="2230" spans="1:5">
      <c r="A2230" s="766"/>
      <c r="D2230" s="767"/>
      <c r="E2230" s="767"/>
    </row>
    <row r="2231" spans="1:5">
      <c r="A2231" s="766"/>
      <c r="D2231" s="767"/>
      <c r="E2231" s="767"/>
    </row>
    <row r="2232" spans="1:5">
      <c r="A2232" s="766"/>
      <c r="D2232" s="767"/>
      <c r="E2232" s="767"/>
    </row>
    <row r="2233" spans="1:5">
      <c r="A2233" s="766"/>
      <c r="D2233" s="767"/>
      <c r="E2233" s="767"/>
    </row>
    <row r="2234" spans="1:5">
      <c r="A2234" s="766"/>
      <c r="D2234" s="767"/>
      <c r="E2234" s="767"/>
    </row>
    <row r="2235" spans="1:5">
      <c r="A2235" s="766"/>
      <c r="D2235" s="767"/>
      <c r="E2235" s="767"/>
    </row>
    <row r="2236" spans="1:5">
      <c r="A2236" s="766"/>
      <c r="D2236" s="767"/>
      <c r="E2236" s="767"/>
    </row>
    <row r="2237" spans="1:5">
      <c r="A2237" s="766"/>
      <c r="D2237" s="767"/>
      <c r="E2237" s="767"/>
    </row>
    <row r="2238" spans="1:5">
      <c r="A2238" s="766"/>
      <c r="D2238" s="767"/>
      <c r="E2238" s="767"/>
    </row>
    <row r="2239" spans="1:5">
      <c r="A2239" s="766"/>
      <c r="D2239" s="767"/>
      <c r="E2239" s="767"/>
    </row>
    <row r="2240" spans="1:5">
      <c r="A2240" s="766"/>
      <c r="D2240" s="767"/>
      <c r="E2240" s="767"/>
    </row>
    <row r="2241" spans="1:5">
      <c r="A2241" s="766"/>
      <c r="D2241" s="767"/>
      <c r="E2241" s="767"/>
    </row>
    <row r="2242" spans="1:5">
      <c r="A2242" s="766"/>
      <c r="D2242" s="767"/>
      <c r="E2242" s="767"/>
    </row>
    <row r="2243" spans="1:5">
      <c r="A2243" s="766"/>
      <c r="D2243" s="767"/>
      <c r="E2243" s="767"/>
    </row>
    <row r="2244" spans="1:5">
      <c r="A2244" s="766"/>
      <c r="D2244" s="767"/>
      <c r="E2244" s="767"/>
    </row>
    <row r="2245" spans="1:5">
      <c r="A2245" s="766"/>
      <c r="D2245" s="767"/>
      <c r="E2245" s="767"/>
    </row>
    <row r="2246" spans="1:5">
      <c r="A2246" s="766"/>
      <c r="D2246" s="767"/>
      <c r="E2246" s="767"/>
    </row>
    <row r="2247" spans="1:5">
      <c r="A2247" s="766"/>
      <c r="D2247" s="767"/>
      <c r="E2247" s="767"/>
    </row>
    <row r="2248" spans="1:5">
      <c r="A2248" s="766"/>
      <c r="D2248" s="767"/>
      <c r="E2248" s="767"/>
    </row>
    <row r="2249" spans="1:5">
      <c r="A2249" s="766"/>
      <c r="D2249" s="767"/>
      <c r="E2249" s="767"/>
    </row>
    <row r="2250" spans="1:5">
      <c r="A2250" s="766"/>
      <c r="D2250" s="767"/>
      <c r="E2250" s="767"/>
    </row>
    <row r="2251" spans="1:5">
      <c r="A2251" s="766"/>
      <c r="D2251" s="767"/>
      <c r="E2251" s="767"/>
    </row>
    <row r="2252" spans="1:5">
      <c r="A2252" s="766"/>
      <c r="D2252" s="767"/>
      <c r="E2252" s="767"/>
    </row>
    <row r="2253" spans="1:5">
      <c r="A2253" s="766"/>
      <c r="D2253" s="767"/>
      <c r="E2253" s="767"/>
    </row>
    <row r="2254" spans="1:5">
      <c r="A2254" s="766"/>
      <c r="D2254" s="767"/>
      <c r="E2254" s="767"/>
    </row>
    <row r="2255" spans="1:5">
      <c r="A2255" s="766"/>
      <c r="D2255" s="767"/>
      <c r="E2255" s="767"/>
    </row>
    <row r="2256" spans="1:5">
      <c r="A2256" s="766"/>
      <c r="D2256" s="767"/>
      <c r="E2256" s="767"/>
    </row>
    <row r="2257" spans="1:5">
      <c r="A2257" s="766"/>
      <c r="D2257" s="767"/>
      <c r="E2257" s="767"/>
    </row>
    <row r="2258" spans="1:5">
      <c r="A2258" s="766"/>
      <c r="D2258" s="767"/>
      <c r="E2258" s="767"/>
    </row>
    <row r="2259" spans="1:5">
      <c r="A2259" s="766"/>
      <c r="D2259" s="767"/>
      <c r="E2259" s="767"/>
    </row>
    <row r="2260" spans="1:5">
      <c r="A2260" s="766"/>
      <c r="D2260" s="767"/>
      <c r="E2260" s="767"/>
    </row>
    <row r="2261" spans="1:5">
      <c r="A2261" s="766"/>
      <c r="D2261" s="767"/>
      <c r="E2261" s="767"/>
    </row>
    <row r="2262" spans="1:5">
      <c r="A2262" s="766"/>
      <c r="D2262" s="767"/>
      <c r="E2262" s="767"/>
    </row>
    <row r="2263" spans="1:5">
      <c r="A2263" s="766"/>
      <c r="D2263" s="767"/>
      <c r="E2263" s="767"/>
    </row>
    <row r="2264" spans="1:5">
      <c r="A2264" s="766"/>
      <c r="D2264" s="767"/>
      <c r="E2264" s="767"/>
    </row>
    <row r="2265" spans="1:5">
      <c r="A2265" s="766"/>
      <c r="D2265" s="767"/>
      <c r="E2265" s="767"/>
    </row>
    <row r="2266" spans="1:5">
      <c r="A2266" s="766"/>
      <c r="D2266" s="767"/>
      <c r="E2266" s="767"/>
    </row>
    <row r="2267" spans="1:5">
      <c r="A2267" s="766"/>
      <c r="D2267" s="767"/>
      <c r="E2267" s="767"/>
    </row>
    <row r="2268" spans="1:5">
      <c r="A2268" s="766"/>
      <c r="D2268" s="767"/>
      <c r="E2268" s="767"/>
    </row>
    <row r="2269" spans="1:5">
      <c r="A2269" s="766"/>
      <c r="D2269" s="767"/>
      <c r="E2269" s="767"/>
    </row>
    <row r="2270" spans="1:5">
      <c r="A2270" s="766"/>
      <c r="D2270" s="767"/>
      <c r="E2270" s="767"/>
    </row>
    <row r="2271" spans="1:5">
      <c r="A2271" s="766"/>
      <c r="D2271" s="767"/>
      <c r="E2271" s="767"/>
    </row>
    <row r="2272" spans="1:5">
      <c r="A2272" s="766"/>
      <c r="D2272" s="767"/>
      <c r="E2272" s="767"/>
    </row>
    <row r="2273" spans="1:5">
      <c r="A2273" s="766"/>
      <c r="D2273" s="767"/>
      <c r="E2273" s="767"/>
    </row>
    <row r="2274" spans="1:5">
      <c r="A2274" s="766"/>
      <c r="D2274" s="767"/>
      <c r="E2274" s="767"/>
    </row>
    <row r="2275" spans="1:5">
      <c r="A2275" s="766"/>
      <c r="D2275" s="767"/>
      <c r="E2275" s="767"/>
    </row>
    <row r="2276" spans="1:5">
      <c r="A2276" s="766"/>
      <c r="D2276" s="767"/>
      <c r="E2276" s="767"/>
    </row>
    <row r="2277" spans="1:5">
      <c r="A2277" s="766"/>
      <c r="D2277" s="767"/>
      <c r="E2277" s="767"/>
    </row>
    <row r="2278" spans="1:5">
      <c r="A2278" s="766"/>
      <c r="D2278" s="767"/>
      <c r="E2278" s="767"/>
    </row>
    <row r="2279" spans="1:5">
      <c r="A2279" s="766"/>
      <c r="D2279" s="767"/>
      <c r="E2279" s="767"/>
    </row>
    <row r="2280" spans="1:5">
      <c r="A2280" s="766"/>
      <c r="D2280" s="767"/>
      <c r="E2280" s="767"/>
    </row>
    <row r="2281" spans="1:5">
      <c r="A2281" s="766"/>
      <c r="D2281" s="767"/>
      <c r="E2281" s="767"/>
    </row>
    <row r="2282" spans="1:5">
      <c r="A2282" s="766"/>
      <c r="D2282" s="767"/>
      <c r="E2282" s="767"/>
    </row>
    <row r="2283" spans="1:5">
      <c r="A2283" s="766"/>
      <c r="D2283" s="767"/>
      <c r="E2283" s="767"/>
    </row>
    <row r="2284" spans="1:5">
      <c r="A2284" s="766"/>
      <c r="D2284" s="767"/>
      <c r="E2284" s="767"/>
    </row>
    <row r="2285" spans="1:5">
      <c r="A2285" s="766"/>
      <c r="D2285" s="767"/>
      <c r="E2285" s="767"/>
    </row>
    <row r="2286" spans="1:5">
      <c r="A2286" s="766"/>
      <c r="D2286" s="767"/>
      <c r="E2286" s="767"/>
    </row>
    <row r="2287" spans="1:5">
      <c r="A2287" s="766"/>
      <c r="D2287" s="767"/>
      <c r="E2287" s="767"/>
    </row>
    <row r="2288" spans="1:5">
      <c r="A2288" s="766"/>
      <c r="D2288" s="767"/>
      <c r="E2288" s="767"/>
    </row>
    <row r="2289" spans="1:5">
      <c r="A2289" s="766"/>
      <c r="D2289" s="767"/>
      <c r="E2289" s="767"/>
    </row>
    <row r="2290" spans="1:5">
      <c r="A2290" s="766"/>
      <c r="D2290" s="767"/>
      <c r="E2290" s="767"/>
    </row>
    <row r="2291" spans="1:5">
      <c r="A2291" s="766"/>
      <c r="D2291" s="767"/>
      <c r="E2291" s="767"/>
    </row>
    <row r="2292" spans="1:5">
      <c r="A2292" s="766"/>
      <c r="D2292" s="767"/>
      <c r="E2292" s="767"/>
    </row>
    <row r="2293" spans="1:5">
      <c r="A2293" s="766"/>
      <c r="D2293" s="767"/>
      <c r="E2293" s="767"/>
    </row>
    <row r="2294" spans="1:5">
      <c r="A2294" s="766"/>
      <c r="D2294" s="767"/>
      <c r="E2294" s="767"/>
    </row>
    <row r="2295" spans="1:5">
      <c r="A2295" s="766"/>
      <c r="D2295" s="767"/>
      <c r="E2295" s="767"/>
    </row>
    <row r="2296" spans="1:5">
      <c r="A2296" s="766"/>
      <c r="D2296" s="767"/>
      <c r="E2296" s="767"/>
    </row>
    <row r="2297" spans="1:5">
      <c r="A2297" s="766"/>
      <c r="D2297" s="767"/>
      <c r="E2297" s="767"/>
    </row>
    <row r="2298" spans="1:5">
      <c r="A2298" s="766"/>
      <c r="D2298" s="767"/>
      <c r="E2298" s="767"/>
    </row>
    <row r="2299" spans="1:5">
      <c r="A2299" s="766"/>
      <c r="D2299" s="767"/>
      <c r="E2299" s="767"/>
    </row>
    <row r="2300" spans="1:5">
      <c r="A2300" s="766"/>
      <c r="D2300" s="767"/>
      <c r="E2300" s="767"/>
    </row>
    <row r="2301" spans="1:5">
      <c r="A2301" s="766"/>
      <c r="D2301" s="768"/>
      <c r="E2301" s="768"/>
    </row>
    <row r="2302" spans="1:5">
      <c r="A2302" s="766"/>
      <c r="D2302" s="768"/>
      <c r="E2302" s="768"/>
    </row>
    <row r="2303" spans="1:5">
      <c r="A2303" s="766"/>
      <c r="D2303" s="768"/>
      <c r="E2303" s="768"/>
    </row>
    <row r="2304" spans="1:5">
      <c r="A2304" s="766"/>
      <c r="D2304" s="768"/>
      <c r="E2304" s="768"/>
    </row>
    <row r="2305" spans="1:5">
      <c r="A2305" s="766"/>
      <c r="D2305" s="768"/>
      <c r="E2305" s="768"/>
    </row>
    <row r="2306" spans="1:5">
      <c r="A2306" s="766"/>
      <c r="D2306" s="768"/>
      <c r="E2306" s="768"/>
    </row>
    <row r="2307" spans="1:5">
      <c r="A2307" s="766"/>
      <c r="D2307" s="768"/>
      <c r="E2307" s="768"/>
    </row>
    <row r="2308" spans="1:5">
      <c r="A2308" s="766"/>
      <c r="D2308" s="768"/>
      <c r="E2308" s="768"/>
    </row>
    <row r="2309" spans="1:5">
      <c r="A2309" s="766"/>
      <c r="D2309" s="768"/>
      <c r="E2309" s="768"/>
    </row>
    <row r="2310" spans="1:5">
      <c r="A2310" s="766"/>
      <c r="D2310" s="768"/>
      <c r="E2310" s="768"/>
    </row>
    <row r="2311" spans="1:5">
      <c r="A2311" s="766"/>
      <c r="D2311" s="768"/>
      <c r="E2311" s="768"/>
    </row>
    <row r="2312" spans="1:5">
      <c r="A2312" s="766"/>
      <c r="D2312" s="767"/>
      <c r="E2312" s="767"/>
    </row>
    <row r="2313" spans="1:5">
      <c r="A2313" s="766"/>
      <c r="D2313" s="767"/>
      <c r="E2313" s="767"/>
    </row>
    <row r="2314" spans="1:5">
      <c r="A2314" s="766"/>
      <c r="D2314" s="767"/>
      <c r="E2314" s="767"/>
    </row>
    <row r="2315" spans="1:5">
      <c r="A2315" s="766"/>
      <c r="D2315" s="767"/>
      <c r="E2315" s="767"/>
    </row>
    <row r="2316" spans="1:5">
      <c r="A2316" s="766"/>
      <c r="D2316" s="767"/>
      <c r="E2316" s="767"/>
    </row>
    <row r="2317" spans="1:5">
      <c r="A2317" s="766"/>
      <c r="D2317" s="767"/>
      <c r="E2317" s="767"/>
    </row>
    <row r="2318" spans="1:5">
      <c r="A2318" s="766"/>
      <c r="D2318" s="767"/>
      <c r="E2318" s="767"/>
    </row>
    <row r="2319" spans="1:5">
      <c r="A2319" s="766"/>
      <c r="D2319" s="767"/>
      <c r="E2319" s="767"/>
    </row>
    <row r="2320" spans="1:5">
      <c r="A2320" s="766"/>
      <c r="D2320" s="767"/>
      <c r="E2320" s="767"/>
    </row>
    <row r="2321" spans="1:5">
      <c r="A2321" s="766"/>
      <c r="D2321" s="767"/>
      <c r="E2321" s="767"/>
    </row>
    <row r="2322" spans="1:5">
      <c r="A2322" s="766"/>
      <c r="D2322" s="767"/>
      <c r="E2322" s="767"/>
    </row>
    <row r="2323" spans="1:5">
      <c r="A2323" s="766"/>
      <c r="D2323" s="767"/>
      <c r="E2323" s="767"/>
    </row>
    <row r="2324" spans="1:5">
      <c r="A2324" s="766"/>
      <c r="D2324" s="767"/>
      <c r="E2324" s="767"/>
    </row>
    <row r="2325" spans="1:5">
      <c r="A2325" s="766"/>
      <c r="D2325" s="767"/>
      <c r="E2325" s="767"/>
    </row>
    <row r="2326" spans="1:5">
      <c r="A2326" s="766"/>
      <c r="D2326" s="767"/>
      <c r="E2326" s="767"/>
    </row>
    <row r="2327" spans="1:5">
      <c r="A2327" s="766"/>
      <c r="D2327" s="767"/>
      <c r="E2327" s="767"/>
    </row>
    <row r="2328" spans="1:5">
      <c r="A2328" s="766"/>
      <c r="D2328" s="767"/>
      <c r="E2328" s="767"/>
    </row>
    <row r="2329" spans="1:5">
      <c r="A2329" s="766"/>
      <c r="D2329" s="767"/>
      <c r="E2329" s="767"/>
    </row>
    <row r="2330" spans="1:5">
      <c r="A2330" s="766"/>
      <c r="D2330" s="767"/>
      <c r="E2330" s="767"/>
    </row>
    <row r="2331" spans="1:5">
      <c r="A2331" s="766"/>
      <c r="D2331" s="767"/>
      <c r="E2331" s="767"/>
    </row>
    <row r="2332" spans="1:5">
      <c r="A2332" s="766"/>
      <c r="D2332" s="767"/>
      <c r="E2332" s="767"/>
    </row>
    <row r="2333" spans="1:5">
      <c r="A2333" s="766"/>
      <c r="D2333" s="767"/>
      <c r="E2333" s="767"/>
    </row>
    <row r="2334" spans="1:5">
      <c r="A2334" s="766"/>
      <c r="D2334" s="767"/>
      <c r="E2334" s="767"/>
    </row>
    <row r="2335" spans="1:5">
      <c r="A2335" s="766"/>
      <c r="D2335" s="767"/>
      <c r="E2335" s="767"/>
    </row>
    <row r="2336" spans="1:5">
      <c r="A2336" s="766"/>
      <c r="D2336" s="767"/>
      <c r="E2336" s="767"/>
    </row>
    <row r="2337" spans="1:5">
      <c r="A2337" s="769"/>
      <c r="B2337" s="770"/>
      <c r="C2337" s="761"/>
      <c r="D2337" s="771"/>
      <c r="E2337" s="771"/>
    </row>
  </sheetData>
  <autoFilter ref="A4:E2342" xr:uid="{00000000-0009-0000-0000-000000000000}"/>
  <mergeCells count="1">
    <mergeCell ref="G4:P4"/>
  </mergeCells>
  <conditionalFormatting sqref="A33:C2913 B29:C32 E29:E2913 A5:A32">
    <cfRule type="expression" dxfId="44" priority="31">
      <formula>$A5=5</formula>
    </cfRule>
    <cfRule type="expression" dxfId="43" priority="32">
      <formula>$A5=4</formula>
    </cfRule>
    <cfRule type="expression" dxfId="42" priority="33">
      <formula>$A5=3</formula>
    </cfRule>
    <cfRule type="expression" dxfId="41" priority="34">
      <formula>$A5=2</formula>
    </cfRule>
    <cfRule type="expression" dxfId="40" priority="35">
      <formula>$A5=1</formula>
    </cfRule>
  </conditionalFormatting>
  <conditionalFormatting sqref="C7 E7">
    <cfRule type="expression" dxfId="39" priority="11">
      <formula>$A7=5</formula>
    </cfRule>
    <cfRule type="expression" dxfId="38" priority="12">
      <formula>$A7=4</formula>
    </cfRule>
    <cfRule type="expression" dxfId="37" priority="13">
      <formula>$A7=3</formula>
    </cfRule>
    <cfRule type="expression" dxfId="36" priority="14">
      <formula>$A7=2</formula>
    </cfRule>
    <cfRule type="expression" dxfId="35" priority="15">
      <formula>$A7=1</formula>
    </cfRule>
  </conditionalFormatting>
  <conditionalFormatting sqref="D29:D2913">
    <cfRule type="expression" dxfId="34" priority="26">
      <formula>$A29=5</formula>
    </cfRule>
    <cfRule type="expression" dxfId="33" priority="27">
      <formula>$A29=4</formula>
    </cfRule>
    <cfRule type="expression" dxfId="32" priority="28">
      <formula>$A29=3</formula>
    </cfRule>
    <cfRule type="expression" dxfId="31" priority="29">
      <formula>$A29=2</formula>
    </cfRule>
    <cfRule type="expression" dxfId="30" priority="30">
      <formula>$A29=1</formula>
    </cfRule>
  </conditionalFormatting>
  <conditionalFormatting sqref="E5:E6 B5:C5 C6 B6:B28 E8:E28 C8:C28">
    <cfRule type="expression" dxfId="29" priority="16">
      <formula>$A5=5</formula>
    </cfRule>
    <cfRule type="expression" dxfId="28" priority="17">
      <formula>$A5=4</formula>
    </cfRule>
    <cfRule type="expression" dxfId="27" priority="18">
      <formula>$A5=3</formula>
    </cfRule>
    <cfRule type="expression" dxfId="26" priority="19">
      <formula>$A5=2</formula>
    </cfRule>
    <cfRule type="expression" dxfId="25" priority="20">
      <formula>$A5=1</formula>
    </cfRule>
  </conditionalFormatting>
  <conditionalFormatting sqref="D5:D28">
    <cfRule type="expression" dxfId="24" priority="6">
      <formula>$A5=5</formula>
    </cfRule>
    <cfRule type="expression" dxfId="23" priority="7">
      <formula>$A5=4</formula>
    </cfRule>
    <cfRule type="expression" dxfId="22" priority="8">
      <formula>$A5=3</formula>
    </cfRule>
    <cfRule type="expression" dxfId="21" priority="9">
      <formula>$A5=2</formula>
    </cfRule>
    <cfRule type="expression" dxfId="20" priority="10">
      <formula>$A5=1</formula>
    </cfRule>
  </conditionalFormatting>
  <printOptions horizontalCentered="1"/>
  <pageMargins left="0.19685039370078741" right="0.19685039370078741" top="0.39370078740157483" bottom="0.39370078740157483" header="0" footer="0"/>
  <pageSetup paperSize="9" scale="85" fitToHeight="0" orientation="landscape" r:id="rId1"/>
  <headerFooter>
    <oddFooter>&amp;R&amp;10Pág. &amp;P de &amp;N&amp;L&amp;"Calibri"&amp;11&amp;K000000&amp;10&amp;A_x000D_&amp;1#&amp;"Calibri"&amp;10&amp;K000000Internal Use Only</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ECC889-AA36-4E91-A579-BDBB106252B4}">
  <sheetPr codeName="Planilha11">
    <tabColor rgb="FF00B050"/>
    <pageSetUpPr fitToPage="1"/>
  </sheetPr>
  <dimension ref="B1:AU71"/>
  <sheetViews>
    <sheetView showGridLines="0" zoomScale="105" workbookViewId="0">
      <pane xSplit="2" ySplit="3" topLeftCell="C4" activePane="bottomRight" state="frozen"/>
      <selection activeCell="O16" sqref="O16:AF16"/>
      <selection pane="topRight" activeCell="O16" sqref="O16:AF16"/>
      <selection pane="bottomLeft" activeCell="O16" sqref="O16:AF16"/>
      <selection pane="bottomRight" activeCell="D25" sqref="D25"/>
    </sheetView>
  </sheetViews>
  <sheetFormatPr baseColWidth="10" defaultColWidth="8.6640625" defaultRowHeight="11"/>
  <cols>
    <col min="1" max="1" width="3.6640625" style="601" customWidth="1"/>
    <col min="2" max="2" width="24.6640625" style="601" bestFit="1" customWidth="1"/>
    <col min="3" max="3" width="19.6640625" style="601" bestFit="1" customWidth="1"/>
    <col min="4" max="7" width="9.1640625" style="601" customWidth="1"/>
    <col min="8" max="9" width="9.6640625" style="601" bestFit="1" customWidth="1"/>
    <col min="10" max="19" width="9.1640625" style="601" customWidth="1"/>
    <col min="20" max="20" width="9.6640625" style="601" bestFit="1" customWidth="1"/>
    <col min="21" max="21" width="9.5" style="601" bestFit="1" customWidth="1"/>
    <col min="22" max="31" width="9.1640625" style="601" customWidth="1"/>
    <col min="32" max="33" width="10" style="601" bestFit="1" customWidth="1"/>
    <col min="34" max="36" width="9.1640625" style="601" customWidth="1"/>
    <col min="37" max="37" width="10" style="601" bestFit="1" customWidth="1"/>
    <col min="38" max="39" width="9.1640625" style="601" customWidth="1"/>
    <col min="40" max="40" width="9.83203125" style="601" bestFit="1" customWidth="1"/>
    <col min="41" max="41" width="10.5" style="601" bestFit="1" customWidth="1"/>
    <col min="42" max="16384" width="8.6640625" style="601"/>
  </cols>
  <sheetData>
    <row r="1" spans="2:47">
      <c r="C1" s="640">
        <v>0</v>
      </c>
      <c r="D1" s="640">
        <v>1</v>
      </c>
      <c r="E1" s="640">
        <f>D1+1</f>
        <v>2</v>
      </c>
      <c r="F1" s="640">
        <f t="shared" ref="F1:AM1" si="0">E1+1</f>
        <v>3</v>
      </c>
      <c r="G1" s="640">
        <f t="shared" si="0"/>
        <v>4</v>
      </c>
      <c r="H1" s="640">
        <f t="shared" si="0"/>
        <v>5</v>
      </c>
      <c r="I1" s="640">
        <f t="shared" si="0"/>
        <v>6</v>
      </c>
      <c r="J1" s="640">
        <f t="shared" si="0"/>
        <v>7</v>
      </c>
      <c r="K1" s="640">
        <f t="shared" si="0"/>
        <v>8</v>
      </c>
      <c r="L1" s="640">
        <f t="shared" si="0"/>
        <v>9</v>
      </c>
      <c r="M1" s="640">
        <f t="shared" si="0"/>
        <v>10</v>
      </c>
      <c r="N1" s="640">
        <f t="shared" si="0"/>
        <v>11</v>
      </c>
      <c r="O1" s="640">
        <f t="shared" si="0"/>
        <v>12</v>
      </c>
      <c r="P1" s="640">
        <f t="shared" si="0"/>
        <v>13</v>
      </c>
      <c r="Q1" s="640">
        <f t="shared" si="0"/>
        <v>14</v>
      </c>
      <c r="R1" s="640">
        <f t="shared" si="0"/>
        <v>15</v>
      </c>
      <c r="S1" s="640">
        <f t="shared" si="0"/>
        <v>16</v>
      </c>
      <c r="T1" s="640">
        <f t="shared" si="0"/>
        <v>17</v>
      </c>
      <c r="U1" s="640">
        <f t="shared" si="0"/>
        <v>18</v>
      </c>
      <c r="V1" s="640">
        <f t="shared" si="0"/>
        <v>19</v>
      </c>
      <c r="W1" s="640">
        <f t="shared" si="0"/>
        <v>20</v>
      </c>
      <c r="X1" s="640">
        <f t="shared" si="0"/>
        <v>21</v>
      </c>
      <c r="Y1" s="640">
        <f t="shared" si="0"/>
        <v>22</v>
      </c>
      <c r="Z1" s="640">
        <f t="shared" si="0"/>
        <v>23</v>
      </c>
      <c r="AA1" s="640">
        <f t="shared" si="0"/>
        <v>24</v>
      </c>
      <c r="AB1" s="640">
        <f t="shared" si="0"/>
        <v>25</v>
      </c>
      <c r="AC1" s="640">
        <f t="shared" si="0"/>
        <v>26</v>
      </c>
      <c r="AD1" s="640">
        <f t="shared" si="0"/>
        <v>27</v>
      </c>
      <c r="AE1" s="640">
        <f t="shared" si="0"/>
        <v>28</v>
      </c>
      <c r="AF1" s="640">
        <f t="shared" si="0"/>
        <v>29</v>
      </c>
      <c r="AG1" s="640">
        <f t="shared" si="0"/>
        <v>30</v>
      </c>
      <c r="AH1" s="640">
        <f t="shared" si="0"/>
        <v>31</v>
      </c>
      <c r="AI1" s="640">
        <f t="shared" si="0"/>
        <v>32</v>
      </c>
      <c r="AJ1" s="640">
        <f t="shared" si="0"/>
        <v>33</v>
      </c>
      <c r="AK1" s="640">
        <f t="shared" si="0"/>
        <v>34</v>
      </c>
      <c r="AL1" s="640">
        <f t="shared" si="0"/>
        <v>35</v>
      </c>
      <c r="AM1" s="640">
        <f t="shared" si="0"/>
        <v>36</v>
      </c>
    </row>
    <row r="2" spans="2:47" ht="12.5" customHeight="1">
      <c r="D2" s="1201" t="s">
        <v>562</v>
      </c>
      <c r="E2" s="1201"/>
      <c r="F2" s="1201"/>
      <c r="G2" s="1201"/>
      <c r="H2" s="1201"/>
      <c r="I2" s="1201"/>
      <c r="J2" s="1201"/>
      <c r="K2" s="1201"/>
      <c r="L2" s="1201"/>
      <c r="M2" s="1201"/>
      <c r="N2" s="1201"/>
      <c r="O2" s="1201"/>
      <c r="P2" s="1201"/>
      <c r="Q2" s="1201"/>
    </row>
    <row r="3" spans="2:47">
      <c r="C3" s="600" t="s">
        <v>563</v>
      </c>
      <c r="D3" s="918">
        <v>44762</v>
      </c>
      <c r="E3" s="918">
        <f>D3+30</f>
        <v>44792</v>
      </c>
      <c r="F3" s="918">
        <f t="shared" ref="F3:AM3" si="1">E3+30</f>
        <v>44822</v>
      </c>
      <c r="G3" s="918">
        <f t="shared" si="1"/>
        <v>44852</v>
      </c>
      <c r="H3" s="918">
        <f t="shared" si="1"/>
        <v>44882</v>
      </c>
      <c r="I3" s="918">
        <f t="shared" si="1"/>
        <v>44912</v>
      </c>
      <c r="J3" s="918">
        <f t="shared" si="1"/>
        <v>44942</v>
      </c>
      <c r="K3" s="918">
        <f t="shared" si="1"/>
        <v>44972</v>
      </c>
      <c r="L3" s="918">
        <f t="shared" si="1"/>
        <v>45002</v>
      </c>
      <c r="M3" s="918">
        <f t="shared" si="1"/>
        <v>45032</v>
      </c>
      <c r="N3" s="918">
        <f t="shared" si="1"/>
        <v>45062</v>
      </c>
      <c r="O3" s="918">
        <f t="shared" si="1"/>
        <v>45092</v>
      </c>
      <c r="P3" s="918">
        <f t="shared" si="1"/>
        <v>45122</v>
      </c>
      <c r="Q3" s="918">
        <f t="shared" si="1"/>
        <v>45152</v>
      </c>
      <c r="R3" s="918">
        <f t="shared" si="1"/>
        <v>45182</v>
      </c>
      <c r="S3" s="918">
        <f t="shared" si="1"/>
        <v>45212</v>
      </c>
      <c r="T3" s="918">
        <f t="shared" si="1"/>
        <v>45242</v>
      </c>
      <c r="U3" s="918">
        <f t="shared" si="1"/>
        <v>45272</v>
      </c>
      <c r="V3" s="918">
        <f t="shared" si="1"/>
        <v>45302</v>
      </c>
      <c r="W3" s="918">
        <f t="shared" si="1"/>
        <v>45332</v>
      </c>
      <c r="X3" s="918">
        <f t="shared" si="1"/>
        <v>45362</v>
      </c>
      <c r="Y3" s="918">
        <f t="shared" si="1"/>
        <v>45392</v>
      </c>
      <c r="Z3" s="918">
        <f t="shared" si="1"/>
        <v>45422</v>
      </c>
      <c r="AA3" s="918">
        <f t="shared" si="1"/>
        <v>45452</v>
      </c>
      <c r="AB3" s="918">
        <f t="shared" si="1"/>
        <v>45482</v>
      </c>
      <c r="AC3" s="918">
        <f t="shared" si="1"/>
        <v>45512</v>
      </c>
      <c r="AD3" s="918">
        <f t="shared" si="1"/>
        <v>45542</v>
      </c>
      <c r="AE3" s="918">
        <f t="shared" si="1"/>
        <v>45572</v>
      </c>
      <c r="AF3" s="918">
        <f t="shared" si="1"/>
        <v>45602</v>
      </c>
      <c r="AG3" s="918">
        <f t="shared" si="1"/>
        <v>45632</v>
      </c>
      <c r="AH3" s="918">
        <f t="shared" si="1"/>
        <v>45662</v>
      </c>
      <c r="AI3" s="918">
        <f t="shared" si="1"/>
        <v>45692</v>
      </c>
      <c r="AJ3" s="918">
        <f t="shared" si="1"/>
        <v>45722</v>
      </c>
      <c r="AK3" s="918">
        <f t="shared" si="1"/>
        <v>45752</v>
      </c>
      <c r="AL3" s="918">
        <f t="shared" si="1"/>
        <v>45782</v>
      </c>
      <c r="AM3" s="918">
        <f t="shared" si="1"/>
        <v>45812</v>
      </c>
      <c r="AN3" s="600" t="s">
        <v>2</v>
      </c>
    </row>
    <row r="4" spans="2:47" s="641" customFormat="1">
      <c r="B4" s="641" t="s">
        <v>600</v>
      </c>
      <c r="C4" s="642">
        <f>'Cidade Jardim III'!W11</f>
        <v>203728159.99999997</v>
      </c>
      <c r="D4" s="641">
        <f>'EVTE - Projetado'!$Q$37</f>
        <v>0</v>
      </c>
      <c r="E4" s="643">
        <f>'EVTE - Projetado'!$Q$38</f>
        <v>0</v>
      </c>
      <c r="F4" s="643">
        <f>'EVTE - Projetado'!$Q$39</f>
        <v>0</v>
      </c>
      <c r="G4" s="643">
        <f>'EVTE - Projetado'!$Q$40</f>
        <v>0</v>
      </c>
      <c r="H4" s="643">
        <f>'EVTE - Projetado'!$Q$41</f>
        <v>0</v>
      </c>
      <c r="I4" s="643">
        <f>'EVTE - Projetado'!$Q$42</f>
        <v>15000000</v>
      </c>
      <c r="J4" s="643">
        <f>'EVTE - Projetado'!$Q$43</f>
        <v>0</v>
      </c>
      <c r="K4" s="643">
        <f>'EVTE - Projetado'!$Q$44</f>
        <v>0</v>
      </c>
      <c r="L4" s="643">
        <f>'EVTE - Projetado'!$Q$45</f>
        <v>0</v>
      </c>
      <c r="M4" s="643">
        <f>'EVTE - Projetado'!$Q$46</f>
        <v>625000</v>
      </c>
      <c r="N4" s="643">
        <f>'EVTE - Projetado'!$Q$47</f>
        <v>625000</v>
      </c>
      <c r="O4" s="643">
        <f>'EVTE - Projetado'!$Q$48</f>
        <v>16375000</v>
      </c>
      <c r="P4" s="643">
        <f>'EVTE - Projetado'!$Q$49</f>
        <v>1525000</v>
      </c>
      <c r="Q4" s="643">
        <f>'EVTE - Projetado'!$Q$50</f>
        <v>1525000</v>
      </c>
      <c r="R4" s="643">
        <f>'EVTE - Projetado'!$Q$51</f>
        <v>1525000</v>
      </c>
      <c r="S4" s="643">
        <f>'EVTE - Projetado'!$Q$52</f>
        <v>1525000</v>
      </c>
      <c r="T4" s="643">
        <f>'EVTE - Projetado'!$Q$53</f>
        <v>1525000</v>
      </c>
      <c r="U4" s="643">
        <f>'EVTE - Projetado'!$Q$54</f>
        <v>23245000</v>
      </c>
      <c r="V4" s="643">
        <f>'EVTE - Projetado'!$Q$55</f>
        <v>3445000</v>
      </c>
      <c r="W4" s="643">
        <f>'EVTE - Projetado'!$Q$56</f>
        <v>3445000</v>
      </c>
      <c r="X4" s="643">
        <f>'EVTE - Projetado'!$Q$57</f>
        <v>3445000</v>
      </c>
      <c r="Y4" s="643">
        <f>'EVTE - Projetado'!$Q$58</f>
        <v>3445000</v>
      </c>
      <c r="Z4" s="643">
        <f>'EVTE - Projetado'!$Q$59</f>
        <v>3445000</v>
      </c>
      <c r="AA4" s="643">
        <f>'EVTE - Projetado'!$Q$60</f>
        <v>23555833.333333336</v>
      </c>
      <c r="AB4" s="643">
        <f>'EVTE - Projetado'!$Q61</f>
        <v>6380833.333333334</v>
      </c>
      <c r="AC4" s="643">
        <f>'EVTE - Projetado'!$Q$62</f>
        <v>6380833.333333334</v>
      </c>
      <c r="AD4" s="643">
        <f>'EVTE - Projetado'!$Q$63</f>
        <v>6380833.333333334</v>
      </c>
      <c r="AE4" s="643">
        <f>'EVTE - Projetado'!$Q$64</f>
        <v>6380833.333333334</v>
      </c>
      <c r="AF4" s="643">
        <f>'EVTE - Projetado'!$Q$65</f>
        <v>13648333.333333334</v>
      </c>
      <c r="AG4" s="643">
        <f>'EVTE - Projetado'!$Q$66</f>
        <v>7460833.333333334</v>
      </c>
      <c r="AH4" s="643">
        <f>'EVTE - Projetado'!$Q$67</f>
        <v>7460833.333333334</v>
      </c>
      <c r="AI4" s="643">
        <f>'EVTE - Projetado'!$Q$68</f>
        <v>7460833.333333334</v>
      </c>
      <c r="AJ4" s="643">
        <f>'EVTE - Projetado'!$Q$69</f>
        <v>7460833.333333334</v>
      </c>
      <c r="AK4" s="643">
        <f>'EVTE - Projetado'!$Q$70</f>
        <v>30437326.666666627</v>
      </c>
      <c r="AL4" s="643"/>
      <c r="AM4" s="643"/>
      <c r="AN4" s="644">
        <f t="shared" ref="AN4:AN40" si="2">SUM(D4:AM4)</f>
        <v>203728160</v>
      </c>
    </row>
    <row r="5" spans="2:47" s="641" customFormat="1">
      <c r="B5" s="641" t="s">
        <v>601</v>
      </c>
      <c r="D5" s="643"/>
      <c r="E5" s="643"/>
      <c r="F5" s="643"/>
      <c r="G5" s="643"/>
      <c r="H5" s="643"/>
      <c r="I5" s="643"/>
      <c r="J5" s="643"/>
      <c r="K5" s="643"/>
      <c r="L5" s="643"/>
      <c r="M5" s="643"/>
      <c r="N5" s="643"/>
      <c r="O5" s="643"/>
      <c r="P5" s="643"/>
      <c r="Q5" s="643"/>
      <c r="R5" s="643"/>
      <c r="S5" s="643"/>
      <c r="T5" s="643"/>
      <c r="U5" s="643"/>
      <c r="V5" s="643"/>
      <c r="AB5" s="643"/>
      <c r="AC5" s="643"/>
      <c r="AD5" s="643"/>
      <c r="AE5" s="643"/>
      <c r="AF5" s="643"/>
      <c r="AG5" s="643"/>
      <c r="AH5" s="643"/>
      <c r="AI5" s="643"/>
      <c r="AJ5" s="643"/>
      <c r="AK5" s="643"/>
      <c r="AL5" s="643"/>
      <c r="AM5" s="643"/>
      <c r="AN5" s="644">
        <f t="shared" si="2"/>
        <v>0</v>
      </c>
      <c r="AU5" s="645">
        <f>'EVTE - Projetado'!$Q$37</f>
        <v>0</v>
      </c>
    </row>
    <row r="6" spans="2:47" s="641" customFormat="1">
      <c r="B6" s="641" t="s">
        <v>602</v>
      </c>
      <c r="D6" s="644">
        <f>AU5-D5</f>
        <v>0</v>
      </c>
      <c r="E6" s="644">
        <f t="shared" ref="E6:V6" si="3">E4-E5</f>
        <v>0</v>
      </c>
      <c r="F6" s="644">
        <f>'EVTE - Projetado'!Q39</f>
        <v>0</v>
      </c>
      <c r="G6" s="644">
        <f t="shared" si="3"/>
        <v>0</v>
      </c>
      <c r="H6" s="644">
        <f t="shared" si="3"/>
        <v>0</v>
      </c>
      <c r="I6" s="644">
        <f t="shared" si="3"/>
        <v>15000000</v>
      </c>
      <c r="J6" s="644">
        <f t="shared" si="3"/>
        <v>0</v>
      </c>
      <c r="K6" s="644">
        <f t="shared" si="3"/>
        <v>0</v>
      </c>
      <c r="L6" s="644">
        <f t="shared" si="3"/>
        <v>0</v>
      </c>
      <c r="M6" s="644">
        <f t="shared" si="3"/>
        <v>625000</v>
      </c>
      <c r="N6" s="644">
        <f t="shared" si="3"/>
        <v>625000</v>
      </c>
      <c r="O6" s="644">
        <f t="shared" si="3"/>
        <v>16375000</v>
      </c>
      <c r="P6" s="644">
        <f t="shared" si="3"/>
        <v>1525000</v>
      </c>
      <c r="Q6" s="644">
        <f t="shared" si="3"/>
        <v>1525000</v>
      </c>
      <c r="R6" s="644">
        <f t="shared" si="3"/>
        <v>1525000</v>
      </c>
      <c r="S6" s="644">
        <f t="shared" si="3"/>
        <v>1525000</v>
      </c>
      <c r="T6" s="644">
        <f t="shared" si="3"/>
        <v>1525000</v>
      </c>
      <c r="U6" s="644">
        <f t="shared" si="3"/>
        <v>23245000</v>
      </c>
      <c r="V6" s="644">
        <f t="shared" si="3"/>
        <v>3445000</v>
      </c>
      <c r="W6" s="644">
        <f>V6</f>
        <v>3445000</v>
      </c>
      <c r="X6" s="644">
        <f>W6</f>
        <v>3445000</v>
      </c>
      <c r="Y6" s="644">
        <f>X6</f>
        <v>3445000</v>
      </c>
      <c r="Z6" s="644">
        <f>Y6</f>
        <v>3445000</v>
      </c>
      <c r="AB6" s="644">
        <f>AB4-AB5</f>
        <v>6380833.333333334</v>
      </c>
      <c r="AC6" s="644"/>
      <c r="AD6" s="644"/>
      <c r="AE6" s="644"/>
      <c r="AF6" s="644">
        <f>'EVTE - Projetado'!Q60</f>
        <v>23555833.333333336</v>
      </c>
      <c r="AG6" s="644"/>
      <c r="AH6" s="644"/>
      <c r="AI6" s="644"/>
      <c r="AJ6" s="644"/>
      <c r="AK6" s="644"/>
      <c r="AL6" s="644"/>
      <c r="AM6" s="644"/>
      <c r="AN6" s="644">
        <f t="shared" si="2"/>
        <v>110656666.66666666</v>
      </c>
      <c r="AO6" s="642">
        <f t="shared" ref="AO6:AO21" si="4">AN6-C6</f>
        <v>110656666.66666666</v>
      </c>
      <c r="AU6" s="645">
        <f>'EVTE - Projetado'!$Q$38</f>
        <v>0</v>
      </c>
    </row>
    <row r="7" spans="2:47">
      <c r="C7" s="646"/>
      <c r="D7" s="642"/>
      <c r="AN7" s="644">
        <f t="shared" si="2"/>
        <v>0</v>
      </c>
      <c r="AO7" s="642">
        <f t="shared" si="4"/>
        <v>0</v>
      </c>
      <c r="AU7" s="645">
        <f>'EVTE - Projetado'!$Q$39</f>
        <v>0</v>
      </c>
    </row>
    <row r="8" spans="2:47">
      <c r="B8" s="646" t="s">
        <v>603</v>
      </c>
      <c r="C8" s="642">
        <f>'EVTE - Projetado'!K53</f>
        <v>127079929.19999999</v>
      </c>
      <c r="D8" s="642"/>
      <c r="AN8" s="644">
        <f t="shared" si="2"/>
        <v>0</v>
      </c>
      <c r="AO8" s="642">
        <f t="shared" si="4"/>
        <v>-127079929.19999999</v>
      </c>
      <c r="AU8" s="645">
        <f>'EVTE - Projetado'!$Q$40</f>
        <v>0</v>
      </c>
    </row>
    <row r="9" spans="2:47">
      <c r="B9" s="646"/>
      <c r="C9" s="642"/>
      <c r="D9" s="642"/>
      <c r="AN9" s="644">
        <f t="shared" si="2"/>
        <v>0</v>
      </c>
      <c r="AO9" s="642"/>
      <c r="AU9" s="645">
        <f>'EVTE - Projetado'!$Q$41</f>
        <v>0</v>
      </c>
    </row>
    <row r="10" spans="2:47">
      <c r="B10" s="601" t="s">
        <v>124</v>
      </c>
      <c r="C10" s="642">
        <v>0</v>
      </c>
      <c r="D10" s="642"/>
      <c r="AN10" s="644">
        <f t="shared" si="2"/>
        <v>0</v>
      </c>
      <c r="AO10" s="642"/>
      <c r="AU10" s="645">
        <f>'EVTE - Projetado'!$Q$42</f>
        <v>15000000</v>
      </c>
    </row>
    <row r="11" spans="2:47">
      <c r="B11" s="647" t="s">
        <v>604</v>
      </c>
      <c r="C11" s="648">
        <v>0</v>
      </c>
      <c r="D11" s="642">
        <v>0</v>
      </c>
      <c r="F11" s="649">
        <f>'EVTE - Projetado'!K23</f>
        <v>0</v>
      </c>
      <c r="G11" s="642">
        <f>F11</f>
        <v>0</v>
      </c>
      <c r="H11" s="642">
        <f t="shared" ref="H11:W11" si="5">G11</f>
        <v>0</v>
      </c>
      <c r="I11" s="642">
        <f t="shared" si="5"/>
        <v>0</v>
      </c>
      <c r="J11" s="642">
        <f t="shared" si="5"/>
        <v>0</v>
      </c>
      <c r="K11" s="642">
        <f t="shared" si="5"/>
        <v>0</v>
      </c>
      <c r="L11" s="642">
        <f t="shared" si="5"/>
        <v>0</v>
      </c>
      <c r="M11" s="642">
        <f t="shared" si="5"/>
        <v>0</v>
      </c>
      <c r="N11" s="642">
        <f t="shared" si="5"/>
        <v>0</v>
      </c>
      <c r="O11" s="642">
        <f t="shared" si="5"/>
        <v>0</v>
      </c>
      <c r="P11" s="642">
        <f t="shared" si="5"/>
        <v>0</v>
      </c>
      <c r="Q11" s="642">
        <f t="shared" si="5"/>
        <v>0</v>
      </c>
      <c r="R11" s="642">
        <f t="shared" si="5"/>
        <v>0</v>
      </c>
      <c r="S11" s="642">
        <f t="shared" si="5"/>
        <v>0</v>
      </c>
      <c r="T11" s="642">
        <f t="shared" si="5"/>
        <v>0</v>
      </c>
      <c r="U11" s="642">
        <f t="shared" si="5"/>
        <v>0</v>
      </c>
      <c r="V11" s="642">
        <f t="shared" si="5"/>
        <v>0</v>
      </c>
      <c r="W11" s="642">
        <f t="shared" si="5"/>
        <v>0</v>
      </c>
      <c r="X11" s="642">
        <f>W11</f>
        <v>0</v>
      </c>
      <c r="AN11" s="644">
        <f t="shared" si="2"/>
        <v>0</v>
      </c>
      <c r="AO11" s="642">
        <f>AN11-C11-AN11</f>
        <v>0</v>
      </c>
      <c r="AU11" s="645">
        <f>'EVTE - Projetado'!$Q$43</f>
        <v>0</v>
      </c>
    </row>
    <row r="12" spans="2:47">
      <c r="B12" s="601" t="s">
        <v>605</v>
      </c>
      <c r="C12" s="648">
        <v>0</v>
      </c>
      <c r="D12" s="650">
        <v>0</v>
      </c>
      <c r="E12" s="650">
        <v>0</v>
      </c>
      <c r="F12" s="650">
        <v>0</v>
      </c>
      <c r="G12" s="642">
        <v>0</v>
      </c>
      <c r="H12" s="642">
        <v>0</v>
      </c>
      <c r="I12" s="642">
        <v>0</v>
      </c>
      <c r="J12" s="642">
        <v>0</v>
      </c>
      <c r="K12" s="642">
        <v>0</v>
      </c>
      <c r="L12" s="642">
        <v>0</v>
      </c>
      <c r="M12" s="642">
        <v>0</v>
      </c>
      <c r="AN12" s="644">
        <f t="shared" si="2"/>
        <v>0</v>
      </c>
      <c r="AO12" s="642">
        <f>AN12-C12-AN12</f>
        <v>0</v>
      </c>
      <c r="AU12" s="645">
        <f>'EVTE - Projetado'!$Q$44</f>
        <v>0</v>
      </c>
    </row>
    <row r="13" spans="2:47">
      <c r="B13" s="601" t="s">
        <v>606</v>
      </c>
      <c r="C13" s="648">
        <v>0</v>
      </c>
      <c r="D13" s="650"/>
      <c r="E13" s="651"/>
      <c r="F13" s="652">
        <v>0</v>
      </c>
      <c r="AN13" s="644">
        <f t="shared" si="2"/>
        <v>0</v>
      </c>
      <c r="AO13" s="642">
        <f>AN13-C13-AN13</f>
        <v>0</v>
      </c>
      <c r="AU13" s="645">
        <f>'EVTE - Projetado'!$Q$45</f>
        <v>0</v>
      </c>
    </row>
    <row r="14" spans="2:47">
      <c r="B14" s="601" t="s">
        <v>607</v>
      </c>
      <c r="C14" s="648">
        <v>0</v>
      </c>
      <c r="D14" s="651"/>
      <c r="E14" s="651"/>
      <c r="F14" s="651"/>
      <c r="M14" s="653">
        <v>0</v>
      </c>
      <c r="N14" s="653">
        <v>0</v>
      </c>
      <c r="O14" s="653">
        <f>N14</f>
        <v>0</v>
      </c>
      <c r="AN14" s="644">
        <f t="shared" si="2"/>
        <v>0</v>
      </c>
      <c r="AO14" s="642">
        <f>AN14-C14-AN14</f>
        <v>0</v>
      </c>
      <c r="AU14" s="645">
        <f>'EVTE - Projetado'!$Q$46</f>
        <v>625000</v>
      </c>
    </row>
    <row r="15" spans="2:47">
      <c r="D15" s="651"/>
      <c r="E15" s="651"/>
      <c r="F15" s="651"/>
      <c r="AN15" s="644">
        <f t="shared" si="2"/>
        <v>0</v>
      </c>
      <c r="AO15" s="642">
        <f t="shared" si="4"/>
        <v>0</v>
      </c>
      <c r="AU15" s="645">
        <f>'EVTE - Projetado'!$Q$47</f>
        <v>625000</v>
      </c>
    </row>
    <row r="16" spans="2:47">
      <c r="B16" s="601" t="s">
        <v>282</v>
      </c>
      <c r="C16" s="642">
        <v>0</v>
      </c>
      <c r="D16" s="650">
        <v>0</v>
      </c>
      <c r="E16" s="650">
        <v>0</v>
      </c>
      <c r="F16" s="650">
        <v>0</v>
      </c>
      <c r="G16" s="650">
        <v>0</v>
      </c>
      <c r="H16" s="650">
        <v>0</v>
      </c>
      <c r="I16" s="650">
        <v>0</v>
      </c>
      <c r="J16" s="650">
        <v>0</v>
      </c>
      <c r="K16" s="650">
        <v>0</v>
      </c>
      <c r="L16" s="650">
        <v>0</v>
      </c>
      <c r="M16" s="650">
        <v>0</v>
      </c>
      <c r="N16" s="650">
        <v>0</v>
      </c>
      <c r="O16" s="650">
        <f>'Desembolso - LV'!B5</f>
        <v>1255852.347133494</v>
      </c>
      <c r="P16" s="650">
        <f>'Desembolso - LV'!B6</f>
        <v>2042610.9829731216</v>
      </c>
      <c r="Q16" s="650">
        <f>'Desembolso - LV'!B7</f>
        <v>1049011.5190327356</v>
      </c>
      <c r="R16" s="650">
        <f>'Desembolso - LV'!B8</f>
        <v>1589576.8577699165</v>
      </c>
      <c r="S16" s="650">
        <f>'Desembolso - LV'!B9</f>
        <v>2078878.0091780585</v>
      </c>
      <c r="T16" s="650">
        <f>'Desembolso - LV'!B10</f>
        <v>1914089.6860240409</v>
      </c>
      <c r="U16" s="650">
        <f>'Desembolso - LV'!B11</f>
        <v>3867367.2195742936</v>
      </c>
      <c r="V16" s="642">
        <f>'Desembolso - LV'!B12</f>
        <v>5927495.3209424857</v>
      </c>
      <c r="W16" s="642">
        <f>'Desembolso - LV'!B13</f>
        <v>6679081.7009011954</v>
      </c>
      <c r="X16" s="642">
        <f>'Desembolso - LV'!B14</f>
        <v>7850398.9042964</v>
      </c>
      <c r="Y16" s="642">
        <f>'Desembolso - LV'!B15</f>
        <v>9116291.0492415186</v>
      </c>
      <c r="Z16" s="642">
        <f>'Desembolso - LV'!B16</f>
        <v>6699461.3081104234</v>
      </c>
      <c r="AA16" s="642">
        <f>'Desembolso - LV'!B17</f>
        <v>5102216.0552959908</v>
      </c>
      <c r="AB16" s="642">
        <f>'Desembolso - LV'!B18</f>
        <v>3487869.1998127974</v>
      </c>
      <c r="AC16" s="642">
        <f>'Desembolso - LV'!B19</f>
        <v>2393510.2398715345</v>
      </c>
      <c r="AD16" s="642">
        <f>'Desembolso - LV'!B20</f>
        <v>1139157.2799388587</v>
      </c>
      <c r="AE16" s="642">
        <f>'Desembolso - LV'!B21</f>
        <v>575978.3999690857</v>
      </c>
      <c r="AF16" s="642">
        <f>'Desembolso - LV'!B22</f>
        <v>383985.59997939056</v>
      </c>
      <c r="AG16" s="642">
        <v>0</v>
      </c>
      <c r="AH16" s="642"/>
      <c r="AI16" s="642"/>
      <c r="AJ16" s="642"/>
      <c r="AK16" s="642"/>
      <c r="AL16" s="642"/>
      <c r="AM16" s="642"/>
      <c r="AN16" s="644">
        <f t="shared" si="2"/>
        <v>63152831.680045344</v>
      </c>
      <c r="AO16" s="642">
        <f t="shared" si="4"/>
        <v>63152831.680045344</v>
      </c>
      <c r="AU16" s="645">
        <f>'EVTE - Projetado'!$Q$48</f>
        <v>16375000</v>
      </c>
    </row>
    <row r="17" spans="2:47">
      <c r="B17" s="601" t="s">
        <v>608</v>
      </c>
      <c r="C17" s="642">
        <f>'EVTE - Projetado'!K43+'EVTE - Projetado'!K44</f>
        <v>2845875.0000000005</v>
      </c>
      <c r="D17" s="650">
        <f>C17</f>
        <v>2845875.0000000005</v>
      </c>
      <c r="E17" s="650"/>
      <c r="F17" s="650"/>
      <c r="G17" s="642"/>
      <c r="H17" s="642"/>
      <c r="I17" s="642"/>
      <c r="J17" s="642"/>
      <c r="K17" s="642"/>
      <c r="L17" s="642"/>
      <c r="M17" s="642"/>
      <c r="N17" s="642"/>
      <c r="O17" s="642"/>
      <c r="AN17" s="644">
        <f t="shared" si="2"/>
        <v>2845875.0000000005</v>
      </c>
      <c r="AO17" s="642">
        <f t="shared" si="4"/>
        <v>0</v>
      </c>
      <c r="AU17" s="645">
        <f>'EVTE - Projetado'!$Q$49</f>
        <v>1525000</v>
      </c>
    </row>
    <row r="18" spans="2:47">
      <c r="B18" s="601" t="s">
        <v>475</v>
      </c>
      <c r="C18" s="642">
        <f>'EVTE - Projetado'!K45</f>
        <v>569175.00000000012</v>
      </c>
      <c r="D18" s="650">
        <f>C18</f>
        <v>569175.00000000012</v>
      </c>
      <c r="E18" s="650"/>
      <c r="F18" s="650"/>
      <c r="G18" s="642"/>
      <c r="H18" s="642"/>
      <c r="I18" s="642"/>
      <c r="J18" s="642"/>
      <c r="K18" s="642"/>
      <c r="L18" s="642"/>
      <c r="M18" s="642"/>
      <c r="N18" s="642"/>
      <c r="O18" s="642"/>
      <c r="AN18" s="644">
        <f t="shared" si="2"/>
        <v>569175.00000000012</v>
      </c>
      <c r="AO18" s="642">
        <f t="shared" si="4"/>
        <v>0</v>
      </c>
      <c r="AU18" s="645">
        <f>'EVTE - Projetado'!$Q$50</f>
        <v>1525000</v>
      </c>
    </row>
    <row r="19" spans="2:47">
      <c r="B19" s="601" t="s">
        <v>148</v>
      </c>
      <c r="C19" s="642">
        <v>0</v>
      </c>
      <c r="D19" s="650"/>
      <c r="E19" s="651"/>
      <c r="F19" s="650"/>
      <c r="G19" s="642">
        <f>'EVTE - Projetado'!$K$47/4</f>
        <v>2546602</v>
      </c>
      <c r="H19" s="642"/>
      <c r="I19" s="642">
        <f>'EVTE - Projetado'!$K$47/4</f>
        <v>2546602</v>
      </c>
      <c r="J19" s="642"/>
      <c r="K19" s="642">
        <f>'EVTE - Projetado'!$K$47/4</f>
        <v>2546602</v>
      </c>
      <c r="N19" s="642">
        <f>'EVTE - Projetado'!$K$47/4</f>
        <v>2546602</v>
      </c>
      <c r="AN19" s="644">
        <f t="shared" si="2"/>
        <v>10186408</v>
      </c>
      <c r="AO19" s="642">
        <f t="shared" si="4"/>
        <v>10186408</v>
      </c>
      <c r="AU19" s="645">
        <f>'EVTE - Projetado'!$Q$51</f>
        <v>1525000</v>
      </c>
    </row>
    <row r="20" spans="2:47">
      <c r="B20" s="601" t="s">
        <v>609</v>
      </c>
      <c r="C20" s="642">
        <f>'EVTE - Projetado'!K48</f>
        <v>2037281.5999999999</v>
      </c>
      <c r="D20" s="651"/>
      <c r="E20" s="651"/>
      <c r="F20" s="650">
        <v>90000</v>
      </c>
      <c r="G20" s="642">
        <v>90000</v>
      </c>
      <c r="H20" s="642">
        <v>90000</v>
      </c>
      <c r="I20" s="642">
        <f t="shared" ref="I20:Q20" si="6">($C$20-$H$20-$G$20-$F$20)/9</f>
        <v>196364.62222222221</v>
      </c>
      <c r="J20" s="642">
        <f t="shared" si="6"/>
        <v>196364.62222222221</v>
      </c>
      <c r="K20" s="642">
        <f t="shared" si="6"/>
        <v>196364.62222222221</v>
      </c>
      <c r="L20" s="642">
        <f t="shared" si="6"/>
        <v>196364.62222222221</v>
      </c>
      <c r="M20" s="642">
        <f t="shared" si="6"/>
        <v>196364.62222222221</v>
      </c>
      <c r="N20" s="642">
        <f t="shared" si="6"/>
        <v>196364.62222222221</v>
      </c>
      <c r="O20" s="642">
        <f t="shared" si="6"/>
        <v>196364.62222222221</v>
      </c>
      <c r="P20" s="642">
        <f t="shared" si="6"/>
        <v>196364.62222222221</v>
      </c>
      <c r="Q20" s="642">
        <f t="shared" si="6"/>
        <v>196364.62222222221</v>
      </c>
      <c r="AN20" s="644">
        <f t="shared" si="2"/>
        <v>2037281.5999999996</v>
      </c>
      <c r="AO20" s="642">
        <f t="shared" si="4"/>
        <v>0</v>
      </c>
      <c r="AU20" s="645">
        <f>'EVTE - Projetado'!$Q$52</f>
        <v>1525000</v>
      </c>
    </row>
    <row r="21" spans="2:47">
      <c r="B21" s="601" t="s">
        <v>610</v>
      </c>
      <c r="C21" s="642">
        <f>'EVTE - Projetado'!K49</f>
        <v>2037281.5999999999</v>
      </c>
      <c r="I21" s="642">
        <f>$C$21/12</f>
        <v>169773.46666666665</v>
      </c>
      <c r="J21" s="642">
        <f t="shared" ref="J21:T21" si="7">$C$21/12</f>
        <v>169773.46666666665</v>
      </c>
      <c r="K21" s="642">
        <f t="shared" si="7"/>
        <v>169773.46666666665</v>
      </c>
      <c r="L21" s="642">
        <f t="shared" si="7"/>
        <v>169773.46666666665</v>
      </c>
      <c r="M21" s="642">
        <f t="shared" si="7"/>
        <v>169773.46666666665</v>
      </c>
      <c r="N21" s="642">
        <f t="shared" si="7"/>
        <v>169773.46666666665</v>
      </c>
      <c r="O21" s="642">
        <f t="shared" si="7"/>
        <v>169773.46666666665</v>
      </c>
      <c r="P21" s="642">
        <f t="shared" si="7"/>
        <v>169773.46666666665</v>
      </c>
      <c r="Q21" s="642">
        <f t="shared" si="7"/>
        <v>169773.46666666665</v>
      </c>
      <c r="R21" s="642">
        <f t="shared" si="7"/>
        <v>169773.46666666665</v>
      </c>
      <c r="S21" s="642">
        <f t="shared" si="7"/>
        <v>169773.46666666665</v>
      </c>
      <c r="T21" s="642">
        <f t="shared" si="7"/>
        <v>169773.46666666665</v>
      </c>
      <c r="AN21" s="644">
        <f t="shared" si="2"/>
        <v>2037281.5999999994</v>
      </c>
      <c r="AO21" s="642">
        <f t="shared" si="4"/>
        <v>0</v>
      </c>
      <c r="AU21" s="645">
        <f>'EVTE - Projetado'!$Q$53</f>
        <v>1525000</v>
      </c>
    </row>
    <row r="22" spans="2:47">
      <c r="B22" s="601" t="s">
        <v>129</v>
      </c>
      <c r="C22" s="642">
        <f>'EVTE - Projetado'!K50</f>
        <v>8149126.3999999994</v>
      </c>
      <c r="D22" s="642">
        <f>$C$22/12</f>
        <v>679093.86666666658</v>
      </c>
      <c r="E22" s="642">
        <f t="shared" ref="E22:O22" si="8">$C$22/12</f>
        <v>679093.86666666658</v>
      </c>
      <c r="F22" s="642">
        <f t="shared" si="8"/>
        <v>679093.86666666658</v>
      </c>
      <c r="G22" s="642">
        <f t="shared" si="8"/>
        <v>679093.86666666658</v>
      </c>
      <c r="H22" s="642">
        <f t="shared" si="8"/>
        <v>679093.86666666658</v>
      </c>
      <c r="I22" s="642">
        <f t="shared" si="8"/>
        <v>679093.86666666658</v>
      </c>
      <c r="J22" s="642">
        <f t="shared" si="8"/>
        <v>679093.86666666658</v>
      </c>
      <c r="K22" s="642">
        <f t="shared" si="8"/>
        <v>679093.86666666658</v>
      </c>
      <c r="L22" s="642">
        <f t="shared" si="8"/>
        <v>679093.86666666658</v>
      </c>
      <c r="M22" s="642">
        <f t="shared" si="8"/>
        <v>679093.86666666658</v>
      </c>
      <c r="N22" s="642">
        <f t="shared" si="8"/>
        <v>679093.86666666658</v>
      </c>
      <c r="O22" s="642">
        <f t="shared" si="8"/>
        <v>679093.86666666658</v>
      </c>
      <c r="AB22" s="642"/>
      <c r="AN22" s="644">
        <f t="shared" si="2"/>
        <v>8149126.3999999976</v>
      </c>
      <c r="AO22" s="642">
        <f>AN22-C22</f>
        <v>0</v>
      </c>
      <c r="AU22" s="645">
        <f>'EVTE - Projetado'!$Q$54</f>
        <v>23245000</v>
      </c>
    </row>
    <row r="23" spans="2:47">
      <c r="B23" s="647" t="s">
        <v>611</v>
      </c>
      <c r="C23" s="642">
        <f>0.025*C8</f>
        <v>3176998.23</v>
      </c>
      <c r="D23" s="642">
        <f>$C$23/12</f>
        <v>264749.85249999998</v>
      </c>
      <c r="E23" s="642">
        <f t="shared" ref="E23:O23" si="9">$C$23/12</f>
        <v>264749.85249999998</v>
      </c>
      <c r="F23" s="642">
        <f t="shared" si="9"/>
        <v>264749.85249999998</v>
      </c>
      <c r="G23" s="642">
        <f t="shared" si="9"/>
        <v>264749.85249999998</v>
      </c>
      <c r="H23" s="642">
        <f t="shared" si="9"/>
        <v>264749.85249999998</v>
      </c>
      <c r="I23" s="642">
        <f t="shared" si="9"/>
        <v>264749.85249999998</v>
      </c>
      <c r="J23" s="642">
        <f t="shared" si="9"/>
        <v>264749.85249999998</v>
      </c>
      <c r="K23" s="642">
        <f t="shared" si="9"/>
        <v>264749.85249999998</v>
      </c>
      <c r="L23" s="642">
        <f t="shared" si="9"/>
        <v>264749.85249999998</v>
      </c>
      <c r="M23" s="642">
        <f t="shared" si="9"/>
        <v>264749.85249999998</v>
      </c>
      <c r="N23" s="642">
        <f t="shared" si="9"/>
        <v>264749.85249999998</v>
      </c>
      <c r="O23" s="642">
        <f t="shared" si="9"/>
        <v>264749.85249999998</v>
      </c>
      <c r="P23" s="642"/>
      <c r="Q23" s="642"/>
      <c r="R23" s="642"/>
      <c r="S23" s="642"/>
      <c r="T23" s="642"/>
      <c r="U23" s="642"/>
      <c r="V23" s="642"/>
      <c r="W23" s="642"/>
      <c r="X23" s="642"/>
      <c r="Y23" s="642"/>
      <c r="Z23" s="642"/>
      <c r="AA23" s="642"/>
      <c r="AB23" s="642"/>
      <c r="AC23" s="642"/>
      <c r="AD23" s="642"/>
      <c r="AE23" s="642"/>
      <c r="AF23" s="642"/>
      <c r="AG23" s="642"/>
      <c r="AH23" s="642"/>
      <c r="AI23" s="642"/>
      <c r="AJ23" s="642"/>
      <c r="AK23" s="642"/>
      <c r="AL23" s="642"/>
      <c r="AM23" s="642"/>
      <c r="AN23" s="644">
        <f t="shared" si="2"/>
        <v>3176998.23</v>
      </c>
      <c r="AO23" s="642">
        <f>AN23-C23</f>
        <v>0</v>
      </c>
      <c r="AU23" s="645">
        <f>'EVTE - Projetado'!$Q$55</f>
        <v>3445000</v>
      </c>
    </row>
    <row r="24" spans="2:47">
      <c r="C24" s="642"/>
      <c r="D24" s="642"/>
      <c r="E24" s="642"/>
      <c r="F24" s="642"/>
      <c r="G24" s="642"/>
      <c r="H24" s="642"/>
      <c r="I24" s="642"/>
      <c r="J24" s="642"/>
      <c r="K24" s="642"/>
      <c r="L24" s="642"/>
      <c r="M24" s="642"/>
      <c r="N24" s="642"/>
      <c r="O24" s="642"/>
      <c r="AN24" s="644">
        <f t="shared" si="2"/>
        <v>0</v>
      </c>
      <c r="AO24" s="642">
        <f>SUM(AN10:AN23)</f>
        <v>92154977.51004532</v>
      </c>
      <c r="AU24" s="645">
        <f>'EVTE - Projetado'!$Q$56</f>
        <v>3445000</v>
      </c>
    </row>
    <row r="25" spans="2:47">
      <c r="B25" s="598" t="s">
        <v>612</v>
      </c>
      <c r="C25" s="654">
        <f>C4-SUM(C8:C23)</f>
        <v>57832492.969999999</v>
      </c>
      <c r="D25" s="654">
        <f t="shared" ref="D25:AM25" si="10">D4-SUM(D8:D23)</f>
        <v>-4358893.7191666672</v>
      </c>
      <c r="E25" s="654">
        <f t="shared" si="10"/>
        <v>-943843.7191666665</v>
      </c>
      <c r="F25" s="654">
        <f t="shared" si="10"/>
        <v>-1033843.7191666665</v>
      </c>
      <c r="G25" s="654">
        <f t="shared" si="10"/>
        <v>-3580445.7191666667</v>
      </c>
      <c r="H25" s="654">
        <f t="shared" si="10"/>
        <v>-1033843.7191666665</v>
      </c>
      <c r="I25" s="654">
        <f t="shared" si="10"/>
        <v>11143416.191944445</v>
      </c>
      <c r="J25" s="654">
        <f t="shared" si="10"/>
        <v>-1309981.8080555554</v>
      </c>
      <c r="K25" s="654">
        <f t="shared" si="10"/>
        <v>-3856583.8080555559</v>
      </c>
      <c r="L25" s="654">
        <f t="shared" si="10"/>
        <v>-1309981.8080555554</v>
      </c>
      <c r="M25" s="654">
        <f t="shared" si="10"/>
        <v>-684981.80805555545</v>
      </c>
      <c r="N25" s="654">
        <f t="shared" si="10"/>
        <v>-3231583.8080555559</v>
      </c>
      <c r="O25" s="654">
        <f t="shared" si="10"/>
        <v>13809165.844810952</v>
      </c>
      <c r="P25" s="654">
        <f t="shared" si="10"/>
        <v>-883749.07186201075</v>
      </c>
      <c r="Q25" s="654">
        <f t="shared" si="10"/>
        <v>109850.39207837568</v>
      </c>
      <c r="R25" s="654">
        <f t="shared" si="10"/>
        <v>-234350.32443658309</v>
      </c>
      <c r="S25" s="654">
        <f t="shared" si="10"/>
        <v>-723651.47584472504</v>
      </c>
      <c r="T25" s="654">
        <f t="shared" si="10"/>
        <v>-558863.15269070747</v>
      </c>
      <c r="U25" s="654">
        <f t="shared" si="10"/>
        <v>19377632.780425705</v>
      </c>
      <c r="V25" s="654">
        <f t="shared" si="10"/>
        <v>-2482495.3209424857</v>
      </c>
      <c r="W25" s="654">
        <f t="shared" si="10"/>
        <v>-3234081.7009011954</v>
      </c>
      <c r="X25" s="654">
        <f t="shared" si="10"/>
        <v>-4405398.9042964</v>
      </c>
      <c r="Y25" s="654">
        <f t="shared" si="10"/>
        <v>-5671291.0492415186</v>
      </c>
      <c r="Z25" s="654">
        <f t="shared" si="10"/>
        <v>-3254461.3081104234</v>
      </c>
      <c r="AA25" s="654">
        <f t="shared" si="10"/>
        <v>18453617.278037347</v>
      </c>
      <c r="AB25" s="654">
        <f t="shared" si="10"/>
        <v>2892964.1335205366</v>
      </c>
      <c r="AC25" s="654">
        <f t="shared" si="10"/>
        <v>3987323.0934617994</v>
      </c>
      <c r="AD25" s="654">
        <f t="shared" si="10"/>
        <v>5241676.053394475</v>
      </c>
      <c r="AE25" s="654">
        <f t="shared" si="10"/>
        <v>5804854.9333642479</v>
      </c>
      <c r="AF25" s="654">
        <f t="shared" si="10"/>
        <v>13264347.733353943</v>
      </c>
      <c r="AG25" s="654">
        <f t="shared" si="10"/>
        <v>7460833.333333334</v>
      </c>
      <c r="AH25" s="654">
        <f t="shared" si="10"/>
        <v>7460833.333333334</v>
      </c>
      <c r="AI25" s="654">
        <f t="shared" si="10"/>
        <v>7460833.333333334</v>
      </c>
      <c r="AJ25" s="654">
        <f t="shared" si="10"/>
        <v>7460833.333333334</v>
      </c>
      <c r="AK25" s="654">
        <f t="shared" si="10"/>
        <v>30437326.666666627</v>
      </c>
      <c r="AL25" s="654">
        <f t="shared" si="10"/>
        <v>0</v>
      </c>
      <c r="AM25" s="654">
        <f t="shared" si="10"/>
        <v>0</v>
      </c>
      <c r="AN25" s="644">
        <f t="shared" si="2"/>
        <v>111573182.48995462</v>
      </c>
      <c r="AU25" s="645">
        <f>'EVTE - Projetado'!$Q$57</f>
        <v>3445000</v>
      </c>
    </row>
    <row r="26" spans="2:47">
      <c r="C26" s="655"/>
      <c r="D26" s="642"/>
      <c r="E26" s="642">
        <f>E25+D25</f>
        <v>-5302737.4383333335</v>
      </c>
      <c r="F26" s="642">
        <f t="shared" ref="F26:AM26" si="11">E26+F25</f>
        <v>-6336581.1574999997</v>
      </c>
      <c r="G26" s="642">
        <f t="shared" si="11"/>
        <v>-9917026.8766666669</v>
      </c>
      <c r="H26" s="642">
        <f t="shared" si="11"/>
        <v>-10950870.595833333</v>
      </c>
      <c r="I26" s="642">
        <f t="shared" si="11"/>
        <v>192545.59611111134</v>
      </c>
      <c r="J26" s="642">
        <f t="shared" si="11"/>
        <v>-1117436.2119444441</v>
      </c>
      <c r="K26" s="642">
        <f t="shared" si="11"/>
        <v>-4974020.0199999996</v>
      </c>
      <c r="L26" s="642">
        <f t="shared" si="11"/>
        <v>-6284001.828055555</v>
      </c>
      <c r="M26" s="642">
        <f t="shared" si="11"/>
        <v>-6968983.6361111104</v>
      </c>
      <c r="N26" s="642">
        <f t="shared" si="11"/>
        <v>-10200567.444166666</v>
      </c>
      <c r="O26" s="642">
        <f t="shared" si="11"/>
        <v>3608598.4006442856</v>
      </c>
      <c r="P26" s="642">
        <f t="shared" si="11"/>
        <v>2724849.3287822749</v>
      </c>
      <c r="Q26" s="642">
        <f t="shared" si="11"/>
        <v>2834699.7208606508</v>
      </c>
      <c r="R26" s="642">
        <f t="shared" si="11"/>
        <v>2600349.3964240677</v>
      </c>
      <c r="S26" s="642">
        <f t="shared" si="11"/>
        <v>1876697.9205793426</v>
      </c>
      <c r="T26" s="642">
        <f t="shared" si="11"/>
        <v>1317834.7678886352</v>
      </c>
      <c r="U26" s="642">
        <f t="shared" si="11"/>
        <v>20695467.54831434</v>
      </c>
      <c r="V26" s="642">
        <f t="shared" si="11"/>
        <v>18212972.227371857</v>
      </c>
      <c r="W26" s="642">
        <f t="shared" si="11"/>
        <v>14978890.526470661</v>
      </c>
      <c r="X26" s="642">
        <f t="shared" si="11"/>
        <v>10573491.622174261</v>
      </c>
      <c r="Y26" s="642">
        <f t="shared" si="11"/>
        <v>4902200.5729327425</v>
      </c>
      <c r="Z26" s="642">
        <f t="shared" si="11"/>
        <v>1647739.2648223191</v>
      </c>
      <c r="AA26" s="642">
        <f t="shared" si="11"/>
        <v>20101356.542859666</v>
      </c>
      <c r="AB26" s="642">
        <f t="shared" si="11"/>
        <v>22994320.676380202</v>
      </c>
      <c r="AC26" s="642">
        <f t="shared" si="11"/>
        <v>26981643.769842003</v>
      </c>
      <c r="AD26" s="642">
        <f t="shared" si="11"/>
        <v>32223319.823236477</v>
      </c>
      <c r="AE26" s="642">
        <f t="shared" si="11"/>
        <v>38028174.756600723</v>
      </c>
      <c r="AF26" s="642">
        <f t="shared" si="11"/>
        <v>51292522.489954665</v>
      </c>
      <c r="AG26" s="642">
        <f t="shared" si="11"/>
        <v>58753355.823288001</v>
      </c>
      <c r="AH26" s="642">
        <f t="shared" si="11"/>
        <v>66214189.156621337</v>
      </c>
      <c r="AI26" s="642">
        <f t="shared" si="11"/>
        <v>73675022.489954665</v>
      </c>
      <c r="AJ26" s="642">
        <f t="shared" si="11"/>
        <v>81135855.823287994</v>
      </c>
      <c r="AK26" s="642">
        <f t="shared" si="11"/>
        <v>111573182.48995462</v>
      </c>
      <c r="AL26" s="642">
        <f t="shared" si="11"/>
        <v>111573182.48995462</v>
      </c>
      <c r="AM26" s="642">
        <f t="shared" si="11"/>
        <v>111573182.48995462</v>
      </c>
      <c r="AN26" s="644"/>
      <c r="AU26" s="645">
        <f>'EVTE - Projetado'!$Q$58</f>
        <v>3445000</v>
      </c>
    </row>
    <row r="27" spans="2:47">
      <c r="B27" s="598" t="s">
        <v>613</v>
      </c>
      <c r="C27" s="654">
        <f>SUM(D27:AM27)*1.025</f>
        <v>5353289.0465249997</v>
      </c>
      <c r="D27" s="654">
        <f>-D25*1.05</f>
        <v>4576838.4051250005</v>
      </c>
      <c r="E27" s="654">
        <f>-E25*1.05</f>
        <v>991035.90512499982</v>
      </c>
      <c r="F27" s="654">
        <f t="shared" ref="F27:K27" si="12">-F25*1.05</f>
        <v>1085535.9051249998</v>
      </c>
      <c r="G27" s="654">
        <f t="shared" si="12"/>
        <v>3759468.0051250001</v>
      </c>
      <c r="H27" s="654">
        <f t="shared" si="12"/>
        <v>1085535.9051249998</v>
      </c>
      <c r="I27" s="654">
        <f t="shared" si="12"/>
        <v>-11700587.001541667</v>
      </c>
      <c r="J27" s="654">
        <f t="shared" si="12"/>
        <v>1375480.8984583332</v>
      </c>
      <c r="K27" s="654">
        <f t="shared" si="12"/>
        <v>4049412.9984583338</v>
      </c>
      <c r="L27" s="654"/>
      <c r="M27" s="654"/>
      <c r="N27" s="654"/>
      <c r="O27" s="654"/>
      <c r="P27" s="654"/>
      <c r="Q27" s="654"/>
      <c r="R27" s="654"/>
      <c r="S27" s="654"/>
      <c r="T27" s="654"/>
      <c r="U27" s="654"/>
      <c r="V27" s="654"/>
      <c r="W27" s="654"/>
      <c r="X27" s="654"/>
      <c r="Y27" s="654"/>
      <c r="Z27" s="654"/>
      <c r="AA27" s="654"/>
      <c r="AB27" s="654"/>
      <c r="AC27" s="654"/>
      <c r="AD27" s="654"/>
      <c r="AE27" s="654"/>
      <c r="AF27" s="654"/>
      <c r="AG27" s="654"/>
      <c r="AH27" s="654"/>
      <c r="AI27" s="654"/>
      <c r="AJ27" s="654"/>
      <c r="AK27" s="654"/>
      <c r="AL27" s="654"/>
      <c r="AM27" s="654"/>
      <c r="AN27" s="644">
        <f t="shared" si="2"/>
        <v>5222721.0209999997</v>
      </c>
      <c r="AU27" s="645">
        <f>'EVTE - Projetado'!$Q$59</f>
        <v>3445000</v>
      </c>
    </row>
    <row r="28" spans="2:47">
      <c r="E28" s="642">
        <f>E27+D27</f>
        <v>5567874.3102500001</v>
      </c>
      <c r="F28" s="642">
        <f t="shared" ref="F28:AM28" si="13">E28+F27</f>
        <v>6653410.2153749997</v>
      </c>
      <c r="G28" s="642">
        <f t="shared" si="13"/>
        <v>10412878.2205</v>
      </c>
      <c r="H28" s="642">
        <f t="shared" si="13"/>
        <v>11498414.125624999</v>
      </c>
      <c r="I28" s="642">
        <f t="shared" si="13"/>
        <v>-202172.87591666728</v>
      </c>
      <c r="J28" s="642">
        <f t="shared" si="13"/>
        <v>1173308.0225416659</v>
      </c>
      <c r="K28" s="642">
        <f t="shared" si="13"/>
        <v>5222721.0209999997</v>
      </c>
      <c r="L28" s="642">
        <f t="shared" si="13"/>
        <v>5222721.0209999997</v>
      </c>
      <c r="M28" s="642">
        <f t="shared" si="13"/>
        <v>5222721.0209999997</v>
      </c>
      <c r="N28" s="642">
        <f t="shared" si="13"/>
        <v>5222721.0209999997</v>
      </c>
      <c r="O28" s="642">
        <f t="shared" si="13"/>
        <v>5222721.0209999997</v>
      </c>
      <c r="P28" s="642">
        <f t="shared" si="13"/>
        <v>5222721.0209999997</v>
      </c>
      <c r="Q28" s="642">
        <f t="shared" si="13"/>
        <v>5222721.0209999997</v>
      </c>
      <c r="R28" s="642">
        <f t="shared" si="13"/>
        <v>5222721.0209999997</v>
      </c>
      <c r="S28" s="642">
        <f t="shared" si="13"/>
        <v>5222721.0209999997</v>
      </c>
      <c r="T28" s="642">
        <f t="shared" si="13"/>
        <v>5222721.0209999997</v>
      </c>
      <c r="U28" s="642">
        <f t="shared" si="13"/>
        <v>5222721.0209999997</v>
      </c>
      <c r="V28" s="642">
        <f t="shared" si="13"/>
        <v>5222721.0209999997</v>
      </c>
      <c r="W28" s="642">
        <f t="shared" si="13"/>
        <v>5222721.0209999997</v>
      </c>
      <c r="X28" s="642">
        <f t="shared" si="13"/>
        <v>5222721.0209999997</v>
      </c>
      <c r="Y28" s="642">
        <f t="shared" si="13"/>
        <v>5222721.0209999997</v>
      </c>
      <c r="Z28" s="642">
        <f t="shared" si="13"/>
        <v>5222721.0209999997</v>
      </c>
      <c r="AA28" s="642">
        <f t="shared" si="13"/>
        <v>5222721.0209999997</v>
      </c>
      <c r="AB28" s="642">
        <f t="shared" si="13"/>
        <v>5222721.0209999997</v>
      </c>
      <c r="AC28" s="642">
        <f t="shared" si="13"/>
        <v>5222721.0209999997</v>
      </c>
      <c r="AD28" s="642">
        <f t="shared" si="13"/>
        <v>5222721.0209999997</v>
      </c>
      <c r="AE28" s="642">
        <f t="shared" si="13"/>
        <v>5222721.0209999997</v>
      </c>
      <c r="AF28" s="642">
        <f t="shared" si="13"/>
        <v>5222721.0209999997</v>
      </c>
      <c r="AG28" s="642">
        <f t="shared" si="13"/>
        <v>5222721.0209999997</v>
      </c>
      <c r="AH28" s="642">
        <f t="shared" si="13"/>
        <v>5222721.0209999997</v>
      </c>
      <c r="AI28" s="642">
        <f t="shared" si="13"/>
        <v>5222721.0209999997</v>
      </c>
      <c r="AJ28" s="642">
        <f t="shared" si="13"/>
        <v>5222721.0209999997</v>
      </c>
      <c r="AK28" s="642">
        <f t="shared" si="13"/>
        <v>5222721.0209999997</v>
      </c>
      <c r="AL28" s="642">
        <f t="shared" si="13"/>
        <v>5222721.0209999997</v>
      </c>
      <c r="AM28" s="642">
        <f t="shared" si="13"/>
        <v>5222721.0209999997</v>
      </c>
      <c r="AN28" s="644"/>
      <c r="AU28" s="645">
        <f>'EVTE - Projetado'!$Q$60</f>
        <v>23555833.333333336</v>
      </c>
    </row>
    <row r="29" spans="2:47">
      <c r="B29" s="598" t="s">
        <v>614</v>
      </c>
      <c r="C29" s="654"/>
      <c r="D29" s="654">
        <f>D25+D27</f>
        <v>217944.68595833331</v>
      </c>
      <c r="E29" s="654">
        <f t="shared" ref="E29:AM29" si="14">E25+E27</f>
        <v>47192.185958333313</v>
      </c>
      <c r="F29" s="654">
        <f t="shared" si="14"/>
        <v>51692.185958333313</v>
      </c>
      <c r="G29" s="654">
        <f t="shared" si="14"/>
        <v>179022.28595833341</v>
      </c>
      <c r="H29" s="654">
        <f t="shared" si="14"/>
        <v>51692.185958333313</v>
      </c>
      <c r="I29" s="654">
        <f t="shared" si="14"/>
        <v>-557170.80959722213</v>
      </c>
      <c r="J29" s="654">
        <f t="shared" si="14"/>
        <v>65499.090402777772</v>
      </c>
      <c r="K29" s="654">
        <f t="shared" si="14"/>
        <v>192829.19040277787</v>
      </c>
      <c r="L29" s="654">
        <f t="shared" si="14"/>
        <v>-1309981.8080555554</v>
      </c>
      <c r="M29" s="654">
        <f t="shared" si="14"/>
        <v>-684981.80805555545</v>
      </c>
      <c r="N29" s="654">
        <f t="shared" si="14"/>
        <v>-3231583.8080555559</v>
      </c>
      <c r="O29" s="654">
        <f t="shared" si="14"/>
        <v>13809165.844810952</v>
      </c>
      <c r="P29" s="654">
        <f t="shared" si="14"/>
        <v>-883749.07186201075</v>
      </c>
      <c r="Q29" s="654">
        <f t="shared" si="14"/>
        <v>109850.39207837568</v>
      </c>
      <c r="R29" s="654">
        <f t="shared" si="14"/>
        <v>-234350.32443658309</v>
      </c>
      <c r="S29" s="654">
        <f t="shared" si="14"/>
        <v>-723651.47584472504</v>
      </c>
      <c r="T29" s="654">
        <f t="shared" si="14"/>
        <v>-558863.15269070747</v>
      </c>
      <c r="U29" s="654">
        <f t="shared" si="14"/>
        <v>19377632.780425705</v>
      </c>
      <c r="V29" s="654">
        <f t="shared" si="14"/>
        <v>-2482495.3209424857</v>
      </c>
      <c r="W29" s="654">
        <f t="shared" si="14"/>
        <v>-3234081.7009011954</v>
      </c>
      <c r="X29" s="654">
        <f t="shared" si="14"/>
        <v>-4405398.9042964</v>
      </c>
      <c r="Y29" s="654">
        <f t="shared" si="14"/>
        <v>-5671291.0492415186</v>
      </c>
      <c r="Z29" s="654">
        <f t="shared" si="14"/>
        <v>-3254461.3081104234</v>
      </c>
      <c r="AA29" s="654">
        <f t="shared" si="14"/>
        <v>18453617.278037347</v>
      </c>
      <c r="AB29" s="654">
        <f t="shared" si="14"/>
        <v>2892964.1335205366</v>
      </c>
      <c r="AC29" s="654">
        <f t="shared" si="14"/>
        <v>3987323.0934617994</v>
      </c>
      <c r="AD29" s="654">
        <f t="shared" si="14"/>
        <v>5241676.053394475</v>
      </c>
      <c r="AE29" s="654">
        <f t="shared" si="14"/>
        <v>5804854.9333642479</v>
      </c>
      <c r="AF29" s="654">
        <f t="shared" si="14"/>
        <v>13264347.733353943</v>
      </c>
      <c r="AG29" s="654">
        <f t="shared" si="14"/>
        <v>7460833.333333334</v>
      </c>
      <c r="AH29" s="654">
        <f t="shared" si="14"/>
        <v>7460833.333333334</v>
      </c>
      <c r="AI29" s="654">
        <f t="shared" si="14"/>
        <v>7460833.333333334</v>
      </c>
      <c r="AJ29" s="654">
        <f t="shared" si="14"/>
        <v>7460833.333333334</v>
      </c>
      <c r="AK29" s="654">
        <f t="shared" si="14"/>
        <v>30437326.666666627</v>
      </c>
      <c r="AL29" s="654">
        <f t="shared" si="14"/>
        <v>0</v>
      </c>
      <c r="AM29" s="654">
        <f t="shared" si="14"/>
        <v>0</v>
      </c>
      <c r="AN29" s="644">
        <f t="shared" si="2"/>
        <v>116795903.51095462</v>
      </c>
      <c r="AU29" s="645">
        <f>'EVTE - Projetado'!$Q$61</f>
        <v>6380833.333333334</v>
      </c>
    </row>
    <row r="30" spans="2:47">
      <c r="E30" s="642">
        <f>E29+D29</f>
        <v>265136.87191666663</v>
      </c>
      <c r="F30" s="642">
        <f>F29+E30</f>
        <v>316829.05787499994</v>
      </c>
      <c r="G30" s="642">
        <f t="shared" ref="G30:AM30" si="15">G29+F30</f>
        <v>495851.34383333335</v>
      </c>
      <c r="H30" s="642">
        <f t="shared" si="15"/>
        <v>547543.52979166666</v>
      </c>
      <c r="I30" s="642">
        <f t="shared" si="15"/>
        <v>-9627.279805555474</v>
      </c>
      <c r="J30" s="642">
        <f t="shared" si="15"/>
        <v>55871.810597222298</v>
      </c>
      <c r="K30" s="642">
        <f t="shared" si="15"/>
        <v>248701.00100000016</v>
      </c>
      <c r="L30" s="642">
        <f t="shared" si="15"/>
        <v>-1061280.8070555553</v>
      </c>
      <c r="M30" s="642">
        <f t="shared" si="15"/>
        <v>-1746262.6151111107</v>
      </c>
      <c r="N30" s="642">
        <f t="shared" si="15"/>
        <v>-4977846.4231666662</v>
      </c>
      <c r="O30" s="642">
        <f t="shared" si="15"/>
        <v>8831319.4216442853</v>
      </c>
      <c r="P30" s="642">
        <f t="shared" si="15"/>
        <v>7947570.349782275</v>
      </c>
      <c r="Q30" s="642">
        <f t="shared" si="15"/>
        <v>8057420.7418606505</v>
      </c>
      <c r="R30" s="642">
        <f t="shared" si="15"/>
        <v>7823070.4174240679</v>
      </c>
      <c r="S30" s="642">
        <f t="shared" si="15"/>
        <v>7099418.9415793428</v>
      </c>
      <c r="T30" s="642">
        <f t="shared" si="15"/>
        <v>6540555.7888886351</v>
      </c>
      <c r="U30" s="642">
        <f t="shared" si="15"/>
        <v>25918188.569314338</v>
      </c>
      <c r="V30" s="642">
        <f t="shared" si="15"/>
        <v>23435693.248371854</v>
      </c>
      <c r="W30" s="642">
        <f t="shared" si="15"/>
        <v>20201611.547470659</v>
      </c>
      <c r="X30" s="642">
        <f t="shared" si="15"/>
        <v>15796212.643174259</v>
      </c>
      <c r="Y30" s="642">
        <f t="shared" si="15"/>
        <v>10124921.59393274</v>
      </c>
      <c r="Z30" s="642">
        <f t="shared" si="15"/>
        <v>6870460.285822317</v>
      </c>
      <c r="AA30" s="642">
        <f t="shared" si="15"/>
        <v>25324077.563859664</v>
      </c>
      <c r="AB30" s="642">
        <f t="shared" si="15"/>
        <v>28217041.6973802</v>
      </c>
      <c r="AC30" s="642">
        <f t="shared" si="15"/>
        <v>32204364.790842</v>
      </c>
      <c r="AD30" s="642">
        <f t="shared" si="15"/>
        <v>37446040.844236478</v>
      </c>
      <c r="AE30" s="642">
        <f t="shared" si="15"/>
        <v>43250895.777600728</v>
      </c>
      <c r="AF30" s="642">
        <f t="shared" si="15"/>
        <v>56515243.510954671</v>
      </c>
      <c r="AG30" s="642">
        <f t="shared" si="15"/>
        <v>63976076.844288006</v>
      </c>
      <c r="AH30" s="642">
        <f t="shared" si="15"/>
        <v>71436910.177621335</v>
      </c>
      <c r="AI30" s="642">
        <f t="shared" si="15"/>
        <v>78897743.510954663</v>
      </c>
      <c r="AJ30" s="642">
        <f t="shared" si="15"/>
        <v>86358576.844287992</v>
      </c>
      <c r="AK30" s="642">
        <f t="shared" si="15"/>
        <v>116795903.51095462</v>
      </c>
      <c r="AL30" s="642">
        <f t="shared" si="15"/>
        <v>116795903.51095462</v>
      </c>
      <c r="AM30" s="642">
        <f t="shared" si="15"/>
        <v>116795903.51095462</v>
      </c>
      <c r="AN30" s="644"/>
      <c r="AU30" s="643"/>
    </row>
    <row r="31" spans="2:47">
      <c r="B31" s="656" t="s">
        <v>615</v>
      </c>
      <c r="C31" s="657"/>
      <c r="D31" s="657" t="s">
        <v>10</v>
      </c>
      <c r="E31" s="657"/>
      <c r="F31" s="657"/>
      <c r="G31" s="657"/>
      <c r="H31" s="657"/>
      <c r="I31" s="657"/>
      <c r="J31" s="657"/>
      <c r="K31" s="657"/>
      <c r="L31" s="657"/>
      <c r="M31" s="657"/>
      <c r="N31" s="657"/>
      <c r="O31" s="657"/>
      <c r="P31" s="657"/>
      <c r="Q31" s="657"/>
      <c r="R31" s="657"/>
      <c r="S31" s="657"/>
      <c r="T31" s="657"/>
      <c r="U31" s="657"/>
      <c r="V31" s="657"/>
      <c r="W31" s="657"/>
      <c r="X31" s="657"/>
      <c r="Y31" s="657"/>
      <c r="Z31" s="657"/>
      <c r="AA31" s="657"/>
      <c r="AB31" s="658"/>
      <c r="AN31" s="644">
        <f t="shared" si="2"/>
        <v>0</v>
      </c>
      <c r="AU31" s="643"/>
    </row>
    <row r="32" spans="2:47">
      <c r="B32" s="659"/>
      <c r="AB32" s="660"/>
      <c r="AN32" s="644">
        <f t="shared" si="2"/>
        <v>0</v>
      </c>
      <c r="AU32" s="643"/>
    </row>
    <row r="33" spans="2:47">
      <c r="B33" s="661" t="s">
        <v>616</v>
      </c>
      <c r="AB33" s="660"/>
      <c r="AN33" s="644">
        <f t="shared" si="2"/>
        <v>0</v>
      </c>
      <c r="AU33" s="643"/>
    </row>
    <row r="34" spans="2:47">
      <c r="B34" s="662" t="s">
        <v>617</v>
      </c>
      <c r="C34" s="663">
        <f>'EVTE - Projetado'!N81</f>
        <v>0.14000000000000001</v>
      </c>
      <c r="D34" s="642">
        <f>$C$34/12*$C$27</f>
        <v>62455.038876125</v>
      </c>
      <c r="E34" s="642">
        <f>D34</f>
        <v>62455.038876125</v>
      </c>
      <c r="F34" s="642">
        <f>$E$34</f>
        <v>62455.038876125</v>
      </c>
      <c r="G34" s="642">
        <f t="shared" ref="G34:Q34" si="16">$E$34</f>
        <v>62455.038876125</v>
      </c>
      <c r="H34" s="642">
        <f t="shared" si="16"/>
        <v>62455.038876125</v>
      </c>
      <c r="I34" s="642">
        <f t="shared" si="16"/>
        <v>62455.038876125</v>
      </c>
      <c r="J34" s="642">
        <f t="shared" si="16"/>
        <v>62455.038876125</v>
      </c>
      <c r="K34" s="642">
        <f t="shared" si="16"/>
        <v>62455.038876125</v>
      </c>
      <c r="L34" s="642">
        <f t="shared" si="16"/>
        <v>62455.038876125</v>
      </c>
      <c r="M34" s="642">
        <f t="shared" si="16"/>
        <v>62455.038876125</v>
      </c>
      <c r="N34" s="642">
        <f t="shared" si="16"/>
        <v>62455.038876125</v>
      </c>
      <c r="O34" s="642">
        <f t="shared" si="16"/>
        <v>62455.038876125</v>
      </c>
      <c r="P34" s="642">
        <f t="shared" si="16"/>
        <v>62455.038876125</v>
      </c>
      <c r="Q34" s="642">
        <f t="shared" si="16"/>
        <v>62455.038876125</v>
      </c>
      <c r="R34" s="642"/>
      <c r="S34" s="642"/>
      <c r="T34" s="642"/>
      <c r="U34" s="642"/>
      <c r="V34" s="642"/>
      <c r="W34" s="642"/>
      <c r="X34" s="642"/>
      <c r="Y34" s="642"/>
      <c r="Z34" s="642"/>
      <c r="AA34" s="642"/>
      <c r="AB34" s="660"/>
      <c r="AN34" s="644">
        <f t="shared" si="2"/>
        <v>874370.54426574998</v>
      </c>
    </row>
    <row r="35" spans="2:47">
      <c r="B35" s="661" t="s">
        <v>618</v>
      </c>
      <c r="D35" s="642"/>
      <c r="E35" s="642"/>
      <c r="F35" s="642"/>
      <c r="G35" s="642"/>
      <c r="H35" s="642"/>
      <c r="I35" s="642"/>
      <c r="J35" s="642"/>
      <c r="K35" s="642"/>
      <c r="L35" s="642"/>
      <c r="M35" s="642"/>
      <c r="N35" s="642"/>
      <c r="O35" s="642"/>
      <c r="AB35" s="660"/>
      <c r="AN35" s="644">
        <f t="shared" si="2"/>
        <v>0</v>
      </c>
    </row>
    <row r="36" spans="2:47">
      <c r="B36" s="662"/>
      <c r="C36" s="663">
        <f>'EVTE - Projetado'!N82</f>
        <v>0.16</v>
      </c>
      <c r="D36" s="642"/>
      <c r="E36" s="642"/>
      <c r="F36" s="642"/>
      <c r="G36" s="642"/>
      <c r="H36" s="642"/>
      <c r="I36" s="642"/>
      <c r="J36" s="642"/>
      <c r="K36" s="642"/>
      <c r="L36" s="642"/>
      <c r="M36" s="642"/>
      <c r="N36" s="642"/>
      <c r="O36" s="642"/>
      <c r="P36" s="642"/>
      <c r="Q36" s="642"/>
      <c r="R36" s="642">
        <f>$C$36/12*$C$27</f>
        <v>71377.187286999993</v>
      </c>
      <c r="S36" s="642">
        <f>R36</f>
        <v>71377.187286999993</v>
      </c>
      <c r="T36" s="642">
        <f t="shared" ref="T36:AA36" si="17">S36</f>
        <v>71377.187286999993</v>
      </c>
      <c r="U36" s="642">
        <f t="shared" si="17"/>
        <v>71377.187286999993</v>
      </c>
      <c r="V36" s="642">
        <f t="shared" si="17"/>
        <v>71377.187286999993</v>
      </c>
      <c r="W36" s="642">
        <f t="shared" si="17"/>
        <v>71377.187286999993</v>
      </c>
      <c r="X36" s="642">
        <f t="shared" si="17"/>
        <v>71377.187286999993</v>
      </c>
      <c r="Y36" s="642">
        <f t="shared" si="17"/>
        <v>71377.187286999993</v>
      </c>
      <c r="Z36" s="642">
        <f t="shared" si="17"/>
        <v>71377.187286999993</v>
      </c>
      <c r="AA36" s="642">
        <f t="shared" si="17"/>
        <v>71377.187286999993</v>
      </c>
      <c r="AB36" s="660"/>
      <c r="AN36" s="644">
        <f t="shared" si="2"/>
        <v>713771.87286999996</v>
      </c>
    </row>
    <row r="37" spans="2:47">
      <c r="B37" s="662" t="s">
        <v>384</v>
      </c>
      <c r="C37" s="601" t="s">
        <v>619</v>
      </c>
      <c r="D37" s="642"/>
      <c r="E37" s="642"/>
      <c r="F37" s="642"/>
      <c r="G37" s="642"/>
      <c r="H37" s="642"/>
      <c r="I37" s="642"/>
      <c r="J37" s="642"/>
      <c r="K37" s="642"/>
      <c r="L37" s="642"/>
      <c r="M37" s="642"/>
      <c r="N37" s="642"/>
      <c r="O37" s="642"/>
      <c r="P37" s="642"/>
      <c r="Q37" s="642"/>
      <c r="R37" s="642"/>
      <c r="S37" s="642"/>
      <c r="T37" s="642"/>
      <c r="U37" s="642"/>
      <c r="V37" s="642"/>
      <c r="W37" s="642"/>
      <c r="X37" s="642"/>
      <c r="Y37" s="642"/>
      <c r="Z37" s="642"/>
      <c r="AA37" s="642"/>
      <c r="AB37" s="664">
        <f>C27</f>
        <v>5353289.0465249997</v>
      </c>
      <c r="AC37" s="642"/>
      <c r="AD37" s="642"/>
      <c r="AE37" s="642"/>
      <c r="AF37" s="642"/>
      <c r="AG37" s="642"/>
      <c r="AH37" s="642"/>
      <c r="AI37" s="642"/>
      <c r="AJ37" s="642"/>
      <c r="AK37" s="642"/>
      <c r="AL37" s="642"/>
      <c r="AM37" s="642"/>
      <c r="AN37" s="644">
        <f t="shared" si="2"/>
        <v>5353289.0465249997</v>
      </c>
      <c r="AO37" s="642">
        <f>AN37+AN36+AN34</f>
        <v>6941431.4636607496</v>
      </c>
      <c r="AP37" s="665">
        <f>AO37/AN37</f>
        <v>1.2966666666666666</v>
      </c>
      <c r="AQ37" s="642">
        <f>AO37/25</f>
        <v>277657.25854642998</v>
      </c>
    </row>
    <row r="38" spans="2:47">
      <c r="B38" s="666"/>
      <c r="C38" s="667" t="s">
        <v>2</v>
      </c>
      <c r="D38" s="668">
        <f>D37+D36+D34</f>
        <v>62455.038876125</v>
      </c>
      <c r="E38" s="668">
        <f t="shared" ref="E38:AA38" si="18">E37+E36+E34</f>
        <v>62455.038876125</v>
      </c>
      <c r="F38" s="668">
        <f t="shared" si="18"/>
        <v>62455.038876125</v>
      </c>
      <c r="G38" s="668">
        <f t="shared" si="18"/>
        <v>62455.038876125</v>
      </c>
      <c r="H38" s="668">
        <f t="shared" si="18"/>
        <v>62455.038876125</v>
      </c>
      <c r="I38" s="668">
        <f t="shared" si="18"/>
        <v>62455.038876125</v>
      </c>
      <c r="J38" s="668">
        <f t="shared" si="18"/>
        <v>62455.038876125</v>
      </c>
      <c r="K38" s="668">
        <f t="shared" si="18"/>
        <v>62455.038876125</v>
      </c>
      <c r="L38" s="668">
        <f t="shared" si="18"/>
        <v>62455.038876125</v>
      </c>
      <c r="M38" s="668">
        <f t="shared" si="18"/>
        <v>62455.038876125</v>
      </c>
      <c r="N38" s="668">
        <f t="shared" si="18"/>
        <v>62455.038876125</v>
      </c>
      <c r="O38" s="668">
        <f t="shared" si="18"/>
        <v>62455.038876125</v>
      </c>
      <c r="P38" s="668">
        <f t="shared" si="18"/>
        <v>62455.038876125</v>
      </c>
      <c r="Q38" s="668">
        <f t="shared" si="18"/>
        <v>62455.038876125</v>
      </c>
      <c r="R38" s="668">
        <f t="shared" si="18"/>
        <v>71377.187286999993</v>
      </c>
      <c r="S38" s="668">
        <f t="shared" si="18"/>
        <v>71377.187286999993</v>
      </c>
      <c r="T38" s="668">
        <f t="shared" si="18"/>
        <v>71377.187286999993</v>
      </c>
      <c r="U38" s="668">
        <f t="shared" si="18"/>
        <v>71377.187286999993</v>
      </c>
      <c r="V38" s="668">
        <f t="shared" si="18"/>
        <v>71377.187286999993</v>
      </c>
      <c r="W38" s="668">
        <f t="shared" si="18"/>
        <v>71377.187286999993</v>
      </c>
      <c r="X38" s="668">
        <f t="shared" si="18"/>
        <v>71377.187286999993</v>
      </c>
      <c r="Y38" s="668">
        <f t="shared" si="18"/>
        <v>71377.187286999993</v>
      </c>
      <c r="Z38" s="668">
        <f t="shared" si="18"/>
        <v>71377.187286999993</v>
      </c>
      <c r="AA38" s="668">
        <f t="shared" si="18"/>
        <v>71377.187286999993</v>
      </c>
      <c r="AB38" s="669">
        <f>AB37+AB36+AB34</f>
        <v>5353289.0465249997</v>
      </c>
      <c r="AC38" s="642"/>
      <c r="AD38" s="642"/>
      <c r="AE38" s="642"/>
      <c r="AF38" s="642"/>
      <c r="AG38" s="642"/>
      <c r="AH38" s="642"/>
      <c r="AI38" s="642"/>
      <c r="AJ38" s="642"/>
      <c r="AK38" s="642"/>
      <c r="AL38" s="642"/>
      <c r="AM38" s="642"/>
      <c r="AN38" s="644">
        <f t="shared" si="2"/>
        <v>6941431.4636607496</v>
      </c>
      <c r="AP38" s="665"/>
    </row>
    <row r="39" spans="2:47">
      <c r="AN39" s="644">
        <f t="shared" si="2"/>
        <v>0</v>
      </c>
      <c r="AP39" s="665">
        <f>(AP37-1)/25*100</f>
        <v>1.1866666666666665</v>
      </c>
    </row>
    <row r="40" spans="2:47">
      <c r="B40" s="598" t="s">
        <v>620</v>
      </c>
      <c r="C40" s="654"/>
      <c r="D40" s="654">
        <f>D29-D38</f>
        <v>155489.64708220831</v>
      </c>
      <c r="E40" s="654">
        <f t="shared" ref="E40:AM40" si="19">E29-E38</f>
        <v>-15262.852917791686</v>
      </c>
      <c r="F40" s="654">
        <f t="shared" si="19"/>
        <v>-10762.852917791686</v>
      </c>
      <c r="G40" s="654">
        <f t="shared" si="19"/>
        <v>116567.2470822084</v>
      </c>
      <c r="H40" s="654">
        <f t="shared" si="19"/>
        <v>-10762.852917791686</v>
      </c>
      <c r="I40" s="654">
        <f t="shared" si="19"/>
        <v>-619625.84847334714</v>
      </c>
      <c r="J40" s="654">
        <f t="shared" si="19"/>
        <v>3044.0515266527727</v>
      </c>
      <c r="K40" s="654">
        <f t="shared" si="19"/>
        <v>130374.15152665286</v>
      </c>
      <c r="L40" s="654">
        <f t="shared" si="19"/>
        <v>-1372436.8469316803</v>
      </c>
      <c r="M40" s="654">
        <f t="shared" si="19"/>
        <v>-747436.84693168045</v>
      </c>
      <c r="N40" s="654">
        <f t="shared" si="19"/>
        <v>-3294038.846931681</v>
      </c>
      <c r="O40" s="654">
        <f t="shared" si="19"/>
        <v>13746710.805934826</v>
      </c>
      <c r="P40" s="654">
        <f t="shared" si="19"/>
        <v>-946204.11073813576</v>
      </c>
      <c r="Q40" s="654">
        <f t="shared" si="19"/>
        <v>47395.353202250677</v>
      </c>
      <c r="R40" s="654">
        <f t="shared" si="19"/>
        <v>-305727.5117235831</v>
      </c>
      <c r="S40" s="654">
        <f t="shared" si="19"/>
        <v>-795028.66313172504</v>
      </c>
      <c r="T40" s="654">
        <f t="shared" si="19"/>
        <v>-630240.33997770748</v>
      </c>
      <c r="U40" s="654">
        <f t="shared" si="19"/>
        <v>19306255.593138706</v>
      </c>
      <c r="V40" s="654">
        <f t="shared" si="19"/>
        <v>-2553872.5082294857</v>
      </c>
      <c r="W40" s="654">
        <f t="shared" si="19"/>
        <v>-3305458.8881881954</v>
      </c>
      <c r="X40" s="654">
        <f t="shared" si="19"/>
        <v>-4476776.0915834</v>
      </c>
      <c r="Y40" s="654">
        <f t="shared" si="19"/>
        <v>-5742668.2365285186</v>
      </c>
      <c r="Z40" s="654">
        <f t="shared" si="19"/>
        <v>-3325838.4953974234</v>
      </c>
      <c r="AA40" s="654">
        <f t="shared" si="19"/>
        <v>18382240.090750348</v>
      </c>
      <c r="AB40" s="654">
        <f t="shared" si="19"/>
        <v>-2460324.9130044631</v>
      </c>
      <c r="AC40" s="654">
        <f t="shared" si="19"/>
        <v>3987323.0934617994</v>
      </c>
      <c r="AD40" s="654">
        <f t="shared" si="19"/>
        <v>5241676.053394475</v>
      </c>
      <c r="AE40" s="654">
        <f t="shared" si="19"/>
        <v>5804854.9333642479</v>
      </c>
      <c r="AF40" s="654">
        <f t="shared" si="19"/>
        <v>13264347.733353943</v>
      </c>
      <c r="AG40" s="654">
        <f t="shared" si="19"/>
        <v>7460833.333333334</v>
      </c>
      <c r="AH40" s="654">
        <f t="shared" si="19"/>
        <v>7460833.333333334</v>
      </c>
      <c r="AI40" s="654">
        <f t="shared" si="19"/>
        <v>7460833.333333334</v>
      </c>
      <c r="AJ40" s="654">
        <f t="shared" si="19"/>
        <v>7460833.333333334</v>
      </c>
      <c r="AK40" s="654">
        <f t="shared" si="19"/>
        <v>30437326.666666627</v>
      </c>
      <c r="AL40" s="654">
        <f t="shared" si="19"/>
        <v>0</v>
      </c>
      <c r="AM40" s="654">
        <f t="shared" si="19"/>
        <v>0</v>
      </c>
      <c r="AN40" s="644">
        <f t="shared" si="2"/>
        <v>109854472.04729387</v>
      </c>
    </row>
    <row r="41" spans="2:47">
      <c r="E41" s="642">
        <f>E40+D40</f>
        <v>140226.79416441661</v>
      </c>
      <c r="F41" s="642">
        <f>E41+F40</f>
        <v>129463.94124662492</v>
      </c>
      <c r="G41" s="642">
        <f t="shared" ref="G41:AM41" si="20">F41+G40</f>
        <v>246031.18832883332</v>
      </c>
      <c r="H41" s="642">
        <f t="shared" si="20"/>
        <v>235268.33541104163</v>
      </c>
      <c r="I41" s="642">
        <f t="shared" si="20"/>
        <v>-384357.51306230552</v>
      </c>
      <c r="J41" s="642">
        <f t="shared" si="20"/>
        <v>-381313.46153565275</v>
      </c>
      <c r="K41" s="642">
        <f t="shared" si="20"/>
        <v>-250939.31000899989</v>
      </c>
      <c r="L41" s="642">
        <f t="shared" si="20"/>
        <v>-1623376.1569406802</v>
      </c>
      <c r="M41" s="642">
        <f t="shared" si="20"/>
        <v>-2370813.0038723606</v>
      </c>
      <c r="N41" s="642">
        <f t="shared" si="20"/>
        <v>-5664851.8508040421</v>
      </c>
      <c r="O41" s="642">
        <f t="shared" si="20"/>
        <v>8081858.9551307838</v>
      </c>
      <c r="P41" s="642">
        <f t="shared" si="20"/>
        <v>7135654.844392648</v>
      </c>
      <c r="Q41" s="642">
        <f t="shared" si="20"/>
        <v>7183050.1975948988</v>
      </c>
      <c r="R41" s="642">
        <f t="shared" si="20"/>
        <v>6877322.6858713161</v>
      </c>
      <c r="S41" s="642">
        <f t="shared" si="20"/>
        <v>6082294.0227395911</v>
      </c>
      <c r="T41" s="642">
        <f t="shared" si="20"/>
        <v>5452053.6827618834</v>
      </c>
      <c r="U41" s="642">
        <f t="shared" si="20"/>
        <v>24758309.275900587</v>
      </c>
      <c r="V41" s="642">
        <f t="shared" si="20"/>
        <v>22204436.767671101</v>
      </c>
      <c r="W41" s="642">
        <f t="shared" si="20"/>
        <v>18898977.879482906</v>
      </c>
      <c r="X41" s="642">
        <f t="shared" si="20"/>
        <v>14422201.787899505</v>
      </c>
      <c r="Y41" s="642">
        <f t="shared" si="20"/>
        <v>8679533.5513709858</v>
      </c>
      <c r="Z41" s="642">
        <f t="shared" si="20"/>
        <v>5353695.0559735624</v>
      </c>
      <c r="AA41" s="642">
        <f t="shared" si="20"/>
        <v>23735935.146723911</v>
      </c>
      <c r="AB41" s="642">
        <f t="shared" si="20"/>
        <v>21275610.233719449</v>
      </c>
      <c r="AC41" s="642">
        <f t="shared" si="20"/>
        <v>25262933.32718125</v>
      </c>
      <c r="AD41" s="642">
        <f t="shared" si="20"/>
        <v>30504609.380575724</v>
      </c>
      <c r="AE41" s="642">
        <f t="shared" si="20"/>
        <v>36309464.313939974</v>
      </c>
      <c r="AF41" s="642">
        <f t="shared" si="20"/>
        <v>49573812.047293916</v>
      </c>
      <c r="AG41" s="642">
        <f t="shared" si="20"/>
        <v>57034645.380627252</v>
      </c>
      <c r="AH41" s="642">
        <f t="shared" si="20"/>
        <v>64495478.713960588</v>
      </c>
      <c r="AI41" s="642">
        <f t="shared" si="20"/>
        <v>71956312.047293916</v>
      </c>
      <c r="AJ41" s="642">
        <f t="shared" si="20"/>
        <v>79417145.380627245</v>
      </c>
      <c r="AK41" s="642">
        <f t="shared" si="20"/>
        <v>109854472.04729387</v>
      </c>
      <c r="AL41" s="642">
        <f t="shared" si="20"/>
        <v>109854472.04729387</v>
      </c>
      <c r="AM41" s="642">
        <f t="shared" si="20"/>
        <v>109854472.04729387</v>
      </c>
    </row>
    <row r="42" spans="2:47">
      <c r="B42" s="598" t="s">
        <v>621</v>
      </c>
      <c r="C42" s="598" t="s">
        <v>622</v>
      </c>
      <c r="AA42" s="670">
        <f>0.8*AA41</f>
        <v>18988748.117379129</v>
      </c>
      <c r="AB42" s="670">
        <f>0.7*AB41</f>
        <v>14892927.163603613</v>
      </c>
    </row>
    <row r="43" spans="2:47">
      <c r="B43" s="601" t="s">
        <v>623</v>
      </c>
      <c r="C43" s="601" t="s">
        <v>624</v>
      </c>
      <c r="AA43" s="670">
        <f>AA42/2</f>
        <v>9494374.0586895645</v>
      </c>
      <c r="AB43" s="670">
        <f>AB42/2</f>
        <v>7446463.5818018066</v>
      </c>
    </row>
    <row r="44" spans="2:47">
      <c r="B44" s="601" t="s">
        <v>625</v>
      </c>
      <c r="C44" s="601" t="s">
        <v>626</v>
      </c>
      <c r="AA44" s="670">
        <f>AA43/12</f>
        <v>791197.83822413033</v>
      </c>
      <c r="AB44" s="670">
        <f>AB43/12</f>
        <v>620538.63181681721</v>
      </c>
    </row>
    <row r="45" spans="2:47">
      <c r="B45" s="598"/>
      <c r="C45" s="598"/>
      <c r="D45" s="600"/>
    </row>
    <row r="46" spans="2:47">
      <c r="B46" s="598" t="s">
        <v>621</v>
      </c>
      <c r="C46" s="598" t="s">
        <v>627</v>
      </c>
    </row>
    <row r="47" spans="2:47">
      <c r="B47" s="601" t="s">
        <v>623</v>
      </c>
      <c r="C47" s="601" t="s">
        <v>628</v>
      </c>
    </row>
    <row r="48" spans="2:47">
      <c r="B48" s="601" t="s">
        <v>625</v>
      </c>
      <c r="C48" s="601" t="s">
        <v>629</v>
      </c>
    </row>
    <row r="49" spans="2:40">
      <c r="B49" s="601" t="s">
        <v>630</v>
      </c>
    </row>
    <row r="51" spans="2:40">
      <c r="B51" s="598" t="s">
        <v>530</v>
      </c>
      <c r="C51" s="671" t="s">
        <v>531</v>
      </c>
      <c r="D51" s="600" t="s">
        <v>539</v>
      </c>
      <c r="E51" s="600" t="s">
        <v>541</v>
      </c>
      <c r="F51" s="600" t="s">
        <v>631</v>
      </c>
      <c r="G51" s="601" t="s">
        <v>632</v>
      </c>
    </row>
    <row r="52" spans="2:40">
      <c r="B52" s="602" t="s">
        <v>633</v>
      </c>
      <c r="C52" s="603">
        <f ca="1">F52/C55</f>
        <v>0.19558667185709458</v>
      </c>
      <c r="D52" s="604">
        <f ca="1">F52/$C$55</f>
        <v>0.19558667185709458</v>
      </c>
      <c r="E52" s="604">
        <f ca="1">G52/$C$55</f>
        <v>0.39117334371418916</v>
      </c>
      <c r="F52" s="605">
        <v>10000000</v>
      </c>
      <c r="G52" s="606">
        <v>20000000</v>
      </c>
    </row>
    <row r="53" spans="2:40">
      <c r="B53" s="602" t="s">
        <v>533</v>
      </c>
      <c r="C53" s="607">
        <f>C27*-1</f>
        <v>-5353289.0465249997</v>
      </c>
      <c r="D53" s="670">
        <f t="shared" ref="D53:AB53" si="21">D38</f>
        <v>62455.038876125</v>
      </c>
      <c r="E53" s="670">
        <f t="shared" si="21"/>
        <v>62455.038876125</v>
      </c>
      <c r="F53" s="670">
        <f t="shared" si="21"/>
        <v>62455.038876125</v>
      </c>
      <c r="G53" s="670">
        <f t="shared" si="21"/>
        <v>62455.038876125</v>
      </c>
      <c r="H53" s="670">
        <f t="shared" si="21"/>
        <v>62455.038876125</v>
      </c>
      <c r="I53" s="670">
        <f t="shared" si="21"/>
        <v>62455.038876125</v>
      </c>
      <c r="J53" s="670">
        <f t="shared" si="21"/>
        <v>62455.038876125</v>
      </c>
      <c r="K53" s="670">
        <f t="shared" si="21"/>
        <v>62455.038876125</v>
      </c>
      <c r="L53" s="670">
        <f t="shared" si="21"/>
        <v>62455.038876125</v>
      </c>
      <c r="M53" s="670">
        <f t="shared" si="21"/>
        <v>62455.038876125</v>
      </c>
      <c r="N53" s="670">
        <f t="shared" si="21"/>
        <v>62455.038876125</v>
      </c>
      <c r="O53" s="670">
        <f t="shared" si="21"/>
        <v>62455.038876125</v>
      </c>
      <c r="P53" s="670">
        <f t="shared" si="21"/>
        <v>62455.038876125</v>
      </c>
      <c r="Q53" s="670">
        <f t="shared" si="21"/>
        <v>62455.038876125</v>
      </c>
      <c r="R53" s="670">
        <f t="shared" si="21"/>
        <v>71377.187286999993</v>
      </c>
      <c r="S53" s="670">
        <f t="shared" si="21"/>
        <v>71377.187286999993</v>
      </c>
      <c r="T53" s="670">
        <f t="shared" si="21"/>
        <v>71377.187286999993</v>
      </c>
      <c r="U53" s="670">
        <f t="shared" si="21"/>
        <v>71377.187286999993</v>
      </c>
      <c r="V53" s="670">
        <f t="shared" si="21"/>
        <v>71377.187286999993</v>
      </c>
      <c r="W53" s="670">
        <f t="shared" si="21"/>
        <v>71377.187286999993</v>
      </c>
      <c r="X53" s="670">
        <f t="shared" si="21"/>
        <v>71377.187286999993</v>
      </c>
      <c r="Y53" s="670">
        <f t="shared" si="21"/>
        <v>71377.187286999993</v>
      </c>
      <c r="Z53" s="670">
        <f t="shared" si="21"/>
        <v>71377.187286999993</v>
      </c>
      <c r="AA53" s="670">
        <f t="shared" si="21"/>
        <v>71377.187286999993</v>
      </c>
      <c r="AB53" s="670">
        <f t="shared" si="21"/>
        <v>5353289.0465249997</v>
      </c>
      <c r="AC53" s="670"/>
      <c r="AD53" s="670"/>
      <c r="AE53" s="670"/>
      <c r="AF53" s="670"/>
      <c r="AG53" s="670"/>
      <c r="AH53" s="670"/>
      <c r="AI53" s="670"/>
      <c r="AJ53" s="670"/>
      <c r="AK53" s="670"/>
      <c r="AL53" s="670"/>
      <c r="AM53" s="670"/>
      <c r="AN53" s="672"/>
    </row>
    <row r="54" spans="2:40">
      <c r="B54" s="602" t="s">
        <v>534</v>
      </c>
      <c r="C54" s="608">
        <f>AP37-1</f>
        <v>0.29666666666666663</v>
      </c>
      <c r="D54" s="672"/>
      <c r="E54" s="672"/>
      <c r="F54" s="672"/>
      <c r="G54" s="672"/>
      <c r="H54" s="672"/>
      <c r="I54" s="672"/>
      <c r="J54" s="672"/>
      <c r="K54" s="672"/>
      <c r="L54" s="672"/>
      <c r="M54" s="672"/>
      <c r="N54" s="672"/>
      <c r="O54" s="672"/>
      <c r="P54" s="672"/>
      <c r="Q54" s="672"/>
      <c r="R54" s="672"/>
      <c r="S54" s="672"/>
      <c r="T54" s="672"/>
      <c r="U54" s="672"/>
      <c r="V54" s="672"/>
      <c r="W54" s="672"/>
      <c r="X54" s="672"/>
      <c r="Y54" s="672"/>
      <c r="Z54" s="672"/>
      <c r="AA54" s="672"/>
      <c r="AB54" s="672"/>
      <c r="AC54" s="672"/>
      <c r="AD54" s="672"/>
      <c r="AE54" s="672"/>
      <c r="AF54" s="672"/>
      <c r="AG54" s="672"/>
      <c r="AH54" s="672"/>
      <c r="AI54" s="672"/>
      <c r="AJ54" s="672"/>
      <c r="AK54" s="672"/>
      <c r="AL54" s="672"/>
      <c r="AM54" s="672"/>
      <c r="AN54" s="672"/>
    </row>
    <row r="55" spans="2:40">
      <c r="B55" s="602" t="s">
        <v>535</v>
      </c>
      <c r="C55" s="607">
        <f ca="1">'Cidade Jardim III'!AH35</f>
        <v>51128228.243008815</v>
      </c>
      <c r="D55" s="670">
        <f>[10]TIR!$M18</f>
        <v>0</v>
      </c>
      <c r="E55" s="670">
        <f>[10]TIR!$M19</f>
        <v>0</v>
      </c>
      <c r="F55" s="670">
        <f>[10]TIR!$M20</f>
        <v>5903562.5000000009</v>
      </c>
      <c r="G55" s="670">
        <f>[10]TIR!$M21</f>
        <v>238527.77777777778</v>
      </c>
      <c r="H55" s="670">
        <f>[10]TIR!$M22</f>
        <v>6142090.2777777789</v>
      </c>
      <c r="I55" s="670">
        <f>[10]TIR!$M23</f>
        <v>477055.55555555556</v>
      </c>
      <c r="J55" s="670">
        <f>[10]TIR!$M24</f>
        <v>7722336.805555556</v>
      </c>
      <c r="K55" s="670">
        <f>[10]TIR!$M25</f>
        <v>715583.33333333337</v>
      </c>
      <c r="L55" s="670">
        <f>[10]TIR!$M26</f>
        <v>2057302.0833333335</v>
      </c>
      <c r="M55" s="670">
        <f>[10]TIR!$M27</f>
        <v>6619145.833333334</v>
      </c>
      <c r="N55" s="670">
        <f>[10]TIR!$M28</f>
        <v>3637548.611111111</v>
      </c>
      <c r="O55" s="670">
        <f>[10]TIR!$M29</f>
        <v>954111.11111111112</v>
      </c>
      <c r="P55" s="670">
        <f>[10]TIR!$M30</f>
        <v>2057302.0833333335</v>
      </c>
      <c r="Q55" s="670">
        <f>[10]TIR!$M31</f>
        <v>2057302.0833333335</v>
      </c>
      <c r="R55" s="670">
        <f>[10]TIR!$M32</f>
        <v>1818774.3055555555</v>
      </c>
      <c r="S55" s="670">
        <f>[10]TIR!$M33</f>
        <v>477055.55555555556</v>
      </c>
      <c r="T55" s="670">
        <f>[10]TIR!$M34</f>
        <v>477055.55555555556</v>
      </c>
      <c r="U55" s="670">
        <f>[10]TIR!$M35</f>
        <v>1580246.5277777778</v>
      </c>
      <c r="V55" s="670">
        <f>[10]TIR!$M36</f>
        <v>0</v>
      </c>
      <c r="W55" s="670">
        <f>[10]TIR!$M37</f>
        <v>0</v>
      </c>
      <c r="X55" s="670">
        <f>[10]TIR!$M38</f>
        <v>0</v>
      </c>
      <c r="Y55" s="670">
        <f>[10]TIR!$M39</f>
        <v>0</v>
      </c>
      <c r="Z55" s="670">
        <f>[10]TIR!$M40</f>
        <v>0</v>
      </c>
      <c r="AA55" s="670">
        <f>[10]TIR!$M41</f>
        <v>0</v>
      </c>
      <c r="AB55" s="672"/>
      <c r="AC55" s="672"/>
      <c r="AD55" s="672"/>
      <c r="AE55" s="672"/>
      <c r="AF55" s="672"/>
      <c r="AG55" s="672"/>
      <c r="AH55" s="672"/>
      <c r="AI55" s="672"/>
      <c r="AJ55" s="672"/>
      <c r="AK55" s="672"/>
      <c r="AL55" s="672"/>
      <c r="AM55" s="672"/>
      <c r="AN55" s="670">
        <f>SUM(D55:AB55)</f>
        <v>42935000</v>
      </c>
    </row>
    <row r="56" spans="2:40">
      <c r="B56" s="601" t="s">
        <v>130</v>
      </c>
      <c r="C56" s="601" t="s">
        <v>557</v>
      </c>
    </row>
    <row r="57" spans="2:40">
      <c r="G57" s="642"/>
    </row>
    <row r="58" spans="2:40">
      <c r="B58" s="598" t="s">
        <v>634</v>
      </c>
      <c r="C58" s="598" t="s">
        <v>635</v>
      </c>
      <c r="D58" s="598" t="s">
        <v>636</v>
      </c>
      <c r="E58" s="598" t="s">
        <v>637</v>
      </c>
      <c r="G58" s="642"/>
    </row>
    <row r="59" spans="2:40">
      <c r="B59" s="647" t="s">
        <v>21</v>
      </c>
      <c r="C59" s="673">
        <v>9.5999999999999992E-3</v>
      </c>
      <c r="D59" s="647" t="s">
        <v>638</v>
      </c>
      <c r="E59" s="647" t="s">
        <v>639</v>
      </c>
      <c r="F59" s="647"/>
      <c r="G59" s="642"/>
    </row>
    <row r="60" spans="2:40">
      <c r="B60" s="647" t="s">
        <v>640</v>
      </c>
      <c r="C60" s="673">
        <v>6.0499999999999998E-2</v>
      </c>
      <c r="D60" s="647" t="s">
        <v>641</v>
      </c>
      <c r="E60" s="674" t="s">
        <v>182</v>
      </c>
      <c r="F60" s="675" t="s">
        <v>642</v>
      </c>
      <c r="G60" s="642"/>
    </row>
    <row r="61" spans="2:40">
      <c r="B61" s="647" t="s">
        <v>643</v>
      </c>
      <c r="C61" s="673">
        <v>-7.1999999999999998E-3</v>
      </c>
      <c r="D61" s="647" t="s">
        <v>644</v>
      </c>
      <c r="E61" s="647" t="s">
        <v>645</v>
      </c>
      <c r="F61" s="647"/>
      <c r="G61" s="642"/>
    </row>
    <row r="62" spans="2:40">
      <c r="B62" s="676" t="s">
        <v>646</v>
      </c>
      <c r="C62" s="677">
        <f>C54/36*5</f>
        <v>4.1203703703703701E-2</v>
      </c>
      <c r="D62" s="676" t="s">
        <v>10</v>
      </c>
      <c r="E62" s="676" t="s">
        <v>639</v>
      </c>
      <c r="G62" s="642"/>
    </row>
    <row r="63" spans="2:40">
      <c r="C63" s="678">
        <f>C62/5</f>
        <v>8.2407407407407395E-3</v>
      </c>
      <c r="G63" s="642"/>
    </row>
    <row r="64" spans="2:40">
      <c r="B64" s="601" t="s">
        <v>647</v>
      </c>
      <c r="G64" s="642"/>
    </row>
    <row r="65" spans="2:28">
      <c r="B65" s="601" t="s">
        <v>648</v>
      </c>
      <c r="G65" s="642"/>
    </row>
    <row r="66" spans="2:28">
      <c r="G66" s="642"/>
    </row>
    <row r="67" spans="2:28">
      <c r="B67" s="679"/>
      <c r="C67" s="642"/>
      <c r="D67" s="642"/>
      <c r="E67" s="642"/>
      <c r="F67" s="642"/>
      <c r="G67" s="642"/>
      <c r="H67" s="642"/>
      <c r="I67" s="642"/>
      <c r="J67" s="642"/>
      <c r="K67" s="642"/>
      <c r="L67" s="642"/>
      <c r="M67" s="642"/>
      <c r="N67" s="642"/>
      <c r="O67" s="642"/>
      <c r="P67" s="642"/>
      <c r="Q67" s="642"/>
      <c r="R67" s="642"/>
      <c r="S67" s="642"/>
      <c r="T67" s="642"/>
      <c r="U67" s="642"/>
      <c r="V67" s="642"/>
      <c r="W67" s="642"/>
      <c r="X67" s="642"/>
      <c r="Y67" s="642"/>
      <c r="Z67" s="642"/>
      <c r="AA67" s="642"/>
      <c r="AB67" s="642"/>
    </row>
    <row r="68" spans="2:28">
      <c r="G68" s="642"/>
    </row>
    <row r="69" spans="2:28">
      <c r="G69" s="642"/>
    </row>
    <row r="70" spans="2:28">
      <c r="G70" s="642"/>
    </row>
    <row r="71" spans="2:28">
      <c r="G71" s="642"/>
    </row>
  </sheetData>
  <mergeCells count="1">
    <mergeCell ref="D2:Q2"/>
  </mergeCells>
  <printOptions horizontalCentered="1" verticalCentered="1"/>
  <pageMargins left="0" right="0" top="0" bottom="0" header="0" footer="0"/>
  <pageSetup paperSize="9" scale="54" orientation="landscape" r:id="rId1"/>
  <headerFooter>
    <oddFooter>&amp;L&amp;1#&amp;"Calibri"&amp;10&amp;K000000Internal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08866-708C-40ED-9B77-CA12C5FF38C8}">
  <sheetPr codeName="Planilha12">
    <tabColor rgb="FF00B050"/>
    <pageSetUpPr fitToPage="1"/>
  </sheetPr>
  <dimension ref="A1:CF415"/>
  <sheetViews>
    <sheetView showGridLines="0" topLeftCell="H31" zoomScale="90" zoomScaleNormal="90" workbookViewId="0">
      <selection activeCell="N42" sqref="N42"/>
    </sheetView>
  </sheetViews>
  <sheetFormatPr baseColWidth="10" defaultColWidth="8.6640625" defaultRowHeight="12"/>
  <cols>
    <col min="1" max="1" width="23.5" style="385" hidden="1" customWidth="1"/>
    <col min="2" max="2" width="23.6640625" style="385" hidden="1" customWidth="1"/>
    <col min="3" max="3" width="16.5" style="385" hidden="1" customWidth="1"/>
    <col min="4" max="4" width="16" style="385" hidden="1" customWidth="1"/>
    <col min="5" max="5" width="15.33203125" style="385" hidden="1" customWidth="1"/>
    <col min="6" max="7" width="16" style="385" hidden="1" customWidth="1"/>
    <col min="8" max="8" width="6.6640625" style="385" customWidth="1"/>
    <col min="9" max="9" width="17.33203125" style="385" customWidth="1"/>
    <col min="10" max="10" width="16.5" style="385" customWidth="1"/>
    <col min="11" max="11" width="15" style="385" customWidth="1"/>
    <col min="12" max="12" width="9.5" style="385" customWidth="1"/>
    <col min="13" max="17" width="15" style="385" customWidth="1"/>
    <col min="18" max="18" width="14" style="385" bestFit="1" customWidth="1"/>
    <col min="19" max="19" width="28" style="385" customWidth="1"/>
    <col min="20" max="23" width="8.6640625" style="385" customWidth="1"/>
    <col min="24" max="31" width="8.6640625" style="385" hidden="1" customWidth="1"/>
    <col min="32" max="36" width="8.6640625" style="385" customWidth="1"/>
    <col min="37" max="72" width="8.6640625" style="385"/>
    <col min="73" max="86" width="0" style="385" hidden="1" customWidth="1"/>
    <col min="87" max="16384" width="8.6640625" style="385"/>
  </cols>
  <sheetData>
    <row r="1" spans="1:77" ht="13" thickBot="1">
      <c r="A1" s="380" t="s">
        <v>344</v>
      </c>
      <c r="B1" s="381"/>
      <c r="C1" s="381"/>
      <c r="D1" s="381"/>
      <c r="E1" s="382"/>
      <c r="F1" s="383"/>
      <c r="G1" s="384"/>
      <c r="H1" s="384"/>
      <c r="R1" s="384"/>
    </row>
    <row r="2" spans="1:77" ht="111" customHeight="1" thickBot="1">
      <c r="A2" s="386"/>
      <c r="B2" s="387"/>
      <c r="C2" s="388" t="s">
        <v>345</v>
      </c>
      <c r="D2" s="389">
        <v>44418</v>
      </c>
      <c r="E2" s="388" t="s">
        <v>346</v>
      </c>
      <c r="F2" s="390">
        <v>5.05</v>
      </c>
      <c r="G2" s="391"/>
      <c r="H2" s="391"/>
      <c r="R2" s="391"/>
    </row>
    <row r="3" spans="1:77">
      <c r="A3" s="392" t="s">
        <v>347</v>
      </c>
      <c r="B3" s="393" t="s">
        <v>348</v>
      </c>
      <c r="C3" s="393"/>
      <c r="D3" s="392" t="s">
        <v>264</v>
      </c>
      <c r="E3" s="394" t="s">
        <v>349</v>
      </c>
      <c r="F3" s="395"/>
    </row>
    <row r="4" spans="1:77">
      <c r="A4" s="396" t="s">
        <v>350</v>
      </c>
      <c r="B4" s="397" t="s">
        <v>351</v>
      </c>
      <c r="C4" s="397"/>
      <c r="D4" s="396" t="s">
        <v>352</v>
      </c>
      <c r="E4" s="397" t="s">
        <v>353</v>
      </c>
      <c r="F4" s="397"/>
      <c r="I4" s="385" t="s">
        <v>192</v>
      </c>
      <c r="N4" s="398"/>
      <c r="O4" s="398"/>
      <c r="P4" s="398"/>
      <c r="Q4" s="398"/>
      <c r="Z4" s="396" t="s">
        <v>354</v>
      </c>
      <c r="AA4" s="399">
        <f>AA5-0.25%</f>
        <v>0</v>
      </c>
      <c r="AB4" s="385" t="s">
        <v>355</v>
      </c>
    </row>
    <row r="5" spans="1:77">
      <c r="A5" s="396" t="s">
        <v>356</v>
      </c>
      <c r="B5" s="397" t="s">
        <v>357</v>
      </c>
      <c r="C5" s="397"/>
      <c r="D5" s="396" t="s">
        <v>358</v>
      </c>
      <c r="E5" s="397" t="s">
        <v>359</v>
      </c>
      <c r="F5" s="397"/>
      <c r="I5" s="400" t="s">
        <v>360</v>
      </c>
      <c r="J5" s="400" t="s">
        <v>361</v>
      </c>
      <c r="Z5" s="396" t="s">
        <v>362</v>
      </c>
      <c r="AA5" s="399">
        <f>AA6-0.25%</f>
        <v>2.4999999999999992E-3</v>
      </c>
      <c r="AB5" s="385" t="s">
        <v>363</v>
      </c>
    </row>
    <row r="6" spans="1:77" ht="13" thickBot="1">
      <c r="A6" s="396" t="s">
        <v>364</v>
      </c>
      <c r="B6" s="397" t="s">
        <v>365</v>
      </c>
      <c r="C6" s="397"/>
      <c r="D6" s="401" t="s">
        <v>366</v>
      </c>
      <c r="E6" s="397" t="s">
        <v>365</v>
      </c>
      <c r="F6" s="397"/>
      <c r="Z6" s="396" t="s">
        <v>367</v>
      </c>
      <c r="AA6" s="399">
        <f>AA7-0.25%</f>
        <v>4.9999999999999992E-3</v>
      </c>
      <c r="AB6" s="385" t="s">
        <v>368</v>
      </c>
    </row>
    <row r="7" spans="1:77">
      <c r="A7" s="402" t="s">
        <v>369</v>
      </c>
      <c r="B7" s="403"/>
      <c r="C7" s="404"/>
      <c r="D7" s="405"/>
      <c r="E7" s="406" t="s">
        <v>370</v>
      </c>
      <c r="F7" s="407" t="s">
        <v>371</v>
      </c>
      <c r="I7" s="398" t="s">
        <v>372</v>
      </c>
      <c r="J7" s="398" t="s">
        <v>373</v>
      </c>
      <c r="K7" s="398" t="s">
        <v>374</v>
      </c>
      <c r="L7" s="398" t="s">
        <v>375</v>
      </c>
      <c r="M7" s="398" t="s">
        <v>376</v>
      </c>
      <c r="N7" s="398" t="s">
        <v>377</v>
      </c>
      <c r="Z7" s="396" t="s">
        <v>378</v>
      </c>
      <c r="AA7" s="399">
        <f>AA8-0.25%</f>
        <v>7.4999999999999997E-3</v>
      </c>
      <c r="AB7" s="385" t="s">
        <v>379</v>
      </c>
    </row>
    <row r="8" spans="1:77">
      <c r="A8" s="408"/>
      <c r="B8" s="409" t="s">
        <v>380</v>
      </c>
      <c r="C8" s="410">
        <v>4</v>
      </c>
      <c r="D8" s="411" t="s">
        <v>381</v>
      </c>
      <c r="E8" s="412"/>
      <c r="F8" s="413"/>
      <c r="I8" s="414" t="s">
        <v>382</v>
      </c>
      <c r="J8" s="415">
        <f>'Cidade Jardim III'!O17</f>
        <v>6305.32</v>
      </c>
      <c r="K8" s="416">
        <v>1</v>
      </c>
      <c r="Z8" s="396" t="s">
        <v>383</v>
      </c>
      <c r="AA8" s="399">
        <f>1%</f>
        <v>0.01</v>
      </c>
      <c r="AB8" s="385" t="s">
        <v>384</v>
      </c>
    </row>
    <row r="9" spans="1:77">
      <c r="A9" s="408"/>
      <c r="B9" s="409" t="s">
        <v>385</v>
      </c>
      <c r="C9" s="417">
        <v>2</v>
      </c>
      <c r="D9" s="418" t="s">
        <v>381</v>
      </c>
      <c r="E9" s="419">
        <v>10000000</v>
      </c>
      <c r="F9" s="420">
        <v>1980198.0198019804</v>
      </c>
      <c r="I9" s="414" t="s">
        <v>354</v>
      </c>
      <c r="J9" s="421">
        <f>J8</f>
        <v>6305.32</v>
      </c>
      <c r="K9" s="415">
        <v>1</v>
      </c>
      <c r="L9" s="422">
        <v>14</v>
      </c>
      <c r="M9" s="416">
        <f>IFERROR(J9/L9,0)</f>
        <v>450.38</v>
      </c>
      <c r="Z9" s="396" t="s">
        <v>386</v>
      </c>
      <c r="AA9" s="399">
        <f>AA8+0.25%</f>
        <v>1.2500000000000001E-2</v>
      </c>
      <c r="AB9" s="385" t="s">
        <v>387</v>
      </c>
      <c r="BW9" s="385">
        <v>18750</v>
      </c>
    </row>
    <row r="10" spans="1:77">
      <c r="A10" s="408"/>
      <c r="B10" s="409" t="s">
        <v>388</v>
      </c>
      <c r="C10" s="423">
        <v>2</v>
      </c>
      <c r="D10" s="418" t="s">
        <v>381</v>
      </c>
      <c r="E10" s="419">
        <v>11467500</v>
      </c>
      <c r="F10" s="420">
        <v>2270792.0792079209</v>
      </c>
      <c r="I10" s="414" t="s">
        <v>362</v>
      </c>
      <c r="J10" s="421">
        <f>J9/2</f>
        <v>3152.66</v>
      </c>
      <c r="K10" s="415">
        <v>1</v>
      </c>
      <c r="L10" s="422">
        <v>14</v>
      </c>
      <c r="M10" s="424">
        <f t="shared" ref="M10:M12" si="0">IFERROR(J10/L10,0)</f>
        <v>225.19</v>
      </c>
      <c r="N10" s="425">
        <f>($J$8*$M$10)/$J$17</f>
        <v>144.87778459365919</v>
      </c>
      <c r="Z10" s="385" t="s">
        <v>389</v>
      </c>
      <c r="AA10" s="399">
        <f>AA9+0.25%</f>
        <v>1.5000000000000001E-2</v>
      </c>
      <c r="AB10" s="385" t="s">
        <v>390</v>
      </c>
      <c r="BV10" s="385">
        <v>17500</v>
      </c>
      <c r="BW10" s="385">
        <v>5853.6585365853662</v>
      </c>
      <c r="BX10" s="426">
        <v>1.989583333333333</v>
      </c>
    </row>
    <row r="11" spans="1:77">
      <c r="A11" s="408"/>
      <c r="B11" s="409"/>
      <c r="C11" s="423"/>
      <c r="D11" s="418"/>
      <c r="E11" s="427">
        <v>0</v>
      </c>
      <c r="F11" s="428">
        <v>0</v>
      </c>
      <c r="I11" s="414" t="s">
        <v>367</v>
      </c>
      <c r="J11" s="421">
        <f>J10</f>
        <v>3152.66</v>
      </c>
      <c r="K11" s="415">
        <v>1</v>
      </c>
      <c r="L11" s="422">
        <v>14</v>
      </c>
      <c r="M11" s="424">
        <f t="shared" si="0"/>
        <v>225.19</v>
      </c>
      <c r="N11" s="425">
        <f>($J$8*$M$10)/$J$17</f>
        <v>144.87778459365919</v>
      </c>
      <c r="Z11" s="385" t="s">
        <v>391</v>
      </c>
      <c r="AA11" s="399">
        <f t="shared" ref="AA11:AA85" si="1">AA10+0.25%</f>
        <v>1.7500000000000002E-2</v>
      </c>
      <c r="AB11" s="385" t="s">
        <v>392</v>
      </c>
      <c r="BV11" s="385">
        <v>17500</v>
      </c>
      <c r="BW11" s="385">
        <v>5853.6585365853662</v>
      </c>
      <c r="BX11" s="426">
        <v>1.989583333333333</v>
      </c>
    </row>
    <row r="12" spans="1:77">
      <c r="A12" s="408"/>
      <c r="B12" s="409"/>
      <c r="C12" s="423"/>
      <c r="D12" s="418"/>
      <c r="E12" s="429">
        <v>0</v>
      </c>
      <c r="F12" s="428">
        <v>0</v>
      </c>
      <c r="I12" s="414" t="s">
        <v>383</v>
      </c>
      <c r="J12" s="421">
        <v>801.99999999999966</v>
      </c>
      <c r="K12" s="415">
        <v>1</v>
      </c>
      <c r="L12" s="422">
        <v>14</v>
      </c>
      <c r="M12" s="416">
        <f t="shared" si="0"/>
        <v>57.285714285714263</v>
      </c>
      <c r="AA12" s="399">
        <f t="shared" si="1"/>
        <v>0.02</v>
      </c>
      <c r="AB12" s="385" t="s">
        <v>393</v>
      </c>
      <c r="BV12" s="385">
        <v>18750</v>
      </c>
      <c r="BW12" s="385">
        <v>5853.6585365853662</v>
      </c>
      <c r="BX12" s="426">
        <v>2.203125</v>
      </c>
    </row>
    <row r="13" spans="1:77">
      <c r="A13" s="408"/>
      <c r="B13" s="409" t="s">
        <v>394</v>
      </c>
      <c r="C13" s="430">
        <v>400</v>
      </c>
      <c r="D13" s="418" t="s">
        <v>395</v>
      </c>
      <c r="E13" s="431">
        <v>25000</v>
      </c>
      <c r="F13" s="432">
        <v>4950.4950495049507</v>
      </c>
      <c r="I13" s="414" t="s">
        <v>386</v>
      </c>
      <c r="J13" s="415">
        <v>0</v>
      </c>
      <c r="K13" s="415">
        <v>0.6</v>
      </c>
      <c r="L13" s="433"/>
      <c r="M13" s="416">
        <f t="shared" ref="M13:M16" si="2">IFERROR(J13/L13,0)</f>
        <v>0</v>
      </c>
      <c r="AA13" s="399">
        <f t="shared" si="1"/>
        <v>2.2499999999999999E-2</v>
      </c>
      <c r="AB13" s="385" t="s">
        <v>396</v>
      </c>
      <c r="BV13" s="385">
        <v>20000</v>
      </c>
      <c r="BW13" s="385">
        <v>5853.6585365853662</v>
      </c>
      <c r="BX13" s="426">
        <v>2.4166666666666665</v>
      </c>
      <c r="BY13" s="385">
        <v>13400</v>
      </c>
    </row>
    <row r="14" spans="1:77">
      <c r="A14" s="408"/>
      <c r="B14" s="409" t="s">
        <v>397</v>
      </c>
      <c r="C14" s="430">
        <v>400</v>
      </c>
      <c r="D14" s="418" t="s">
        <v>395</v>
      </c>
      <c r="E14" s="431">
        <v>28668.75</v>
      </c>
      <c r="F14" s="432">
        <v>5676.9801980198026</v>
      </c>
      <c r="I14" s="414"/>
      <c r="J14" s="433"/>
      <c r="K14" s="433"/>
      <c r="L14" s="433"/>
      <c r="M14" s="416">
        <f t="shared" si="2"/>
        <v>0</v>
      </c>
      <c r="AA14" s="399">
        <f t="shared" si="1"/>
        <v>2.4999999999999998E-2</v>
      </c>
      <c r="AB14" s="385" t="s">
        <v>398</v>
      </c>
      <c r="BV14" s="385">
        <v>25000</v>
      </c>
      <c r="BW14" s="385">
        <v>5853.6585365853662</v>
      </c>
      <c r="BX14" s="426">
        <v>3.270833333333333</v>
      </c>
      <c r="BY14" s="385">
        <v>3350</v>
      </c>
    </row>
    <row r="15" spans="1:77">
      <c r="A15" s="408"/>
      <c r="B15" s="409"/>
      <c r="C15" s="430"/>
      <c r="D15" s="418"/>
      <c r="E15" s="434"/>
      <c r="F15" s="413"/>
      <c r="I15" s="414"/>
      <c r="J15" s="433"/>
      <c r="K15" s="433"/>
      <c r="L15" s="433"/>
      <c r="M15" s="416">
        <f t="shared" si="2"/>
        <v>0</v>
      </c>
      <c r="AA15" s="399">
        <f t="shared" si="1"/>
        <v>2.7499999999999997E-2</v>
      </c>
      <c r="AB15" s="385" t="s">
        <v>399</v>
      </c>
      <c r="BY15" s="385">
        <v>4</v>
      </c>
    </row>
    <row r="16" spans="1:77">
      <c r="A16" s="408"/>
      <c r="B16" s="409"/>
      <c r="C16" s="430"/>
      <c r="D16" s="418"/>
      <c r="E16" s="434"/>
      <c r="F16" s="413"/>
      <c r="I16" s="414"/>
      <c r="J16" s="433"/>
      <c r="K16" s="433"/>
      <c r="L16" s="433"/>
      <c r="M16" s="416">
        <f t="shared" si="2"/>
        <v>0</v>
      </c>
      <c r="AA16" s="399">
        <f t="shared" si="1"/>
        <v>2.9999999999999995E-2</v>
      </c>
      <c r="AB16" s="385" t="s">
        <v>400</v>
      </c>
    </row>
    <row r="17" spans="1:84">
      <c r="A17" s="408"/>
      <c r="B17" s="409" t="s">
        <v>401</v>
      </c>
      <c r="C17" s="435">
        <v>1634</v>
      </c>
      <c r="D17" s="418"/>
      <c r="E17" s="431">
        <v>5985.76</v>
      </c>
      <c r="F17" s="432">
        <v>1185.2990099009901</v>
      </c>
      <c r="I17" s="436" t="s">
        <v>402</v>
      </c>
      <c r="J17" s="437">
        <f>J11*K11+J12*K12+J13*K13+J14*K14+J15*K15+J16*K16+J10*K10+J9*K9-3612</f>
        <v>9800.64</v>
      </c>
      <c r="K17" s="384"/>
      <c r="L17" s="438">
        <v>14</v>
      </c>
      <c r="M17" s="438">
        <f>SUM(M9:M16)</f>
        <v>958.04571428571421</v>
      </c>
      <c r="N17" s="437">
        <f>7*N10</f>
        <v>1014.1444921556143</v>
      </c>
      <c r="AA17" s="399">
        <f t="shared" si="1"/>
        <v>3.2499999999999994E-2</v>
      </c>
      <c r="AB17" s="385" t="s">
        <v>403</v>
      </c>
      <c r="BX17" s="439"/>
      <c r="BY17" s="385">
        <v>0.25</v>
      </c>
    </row>
    <row r="18" spans="1:84" ht="13" thickBot="1">
      <c r="A18" s="440"/>
      <c r="B18" s="441" t="s">
        <v>404</v>
      </c>
      <c r="C18" s="442">
        <v>1089</v>
      </c>
      <c r="D18" s="443" t="s">
        <v>395</v>
      </c>
      <c r="E18" s="444">
        <v>1652.8925619834711</v>
      </c>
      <c r="F18" s="432">
        <v>327.30545781850913</v>
      </c>
      <c r="J18" s="445" t="str">
        <f>IF(J17&lt;=J8,"Área Terreno menor ou igual que Construída","Área Constrúida maior que Terreno ")</f>
        <v xml:space="preserve">Área Constrúida maior que Terreno </v>
      </c>
      <c r="K18" s="445"/>
      <c r="AA18" s="399">
        <f t="shared" si="1"/>
        <v>3.4999999999999996E-2</v>
      </c>
      <c r="AB18" s="385" t="s">
        <v>405</v>
      </c>
      <c r="BX18" s="439"/>
    </row>
    <row r="19" spans="1:84">
      <c r="A19" s="446" t="s">
        <v>406</v>
      </c>
      <c r="B19" s="404" t="s">
        <v>370</v>
      </c>
      <c r="C19" s="404" t="s">
        <v>296</v>
      </c>
      <c r="D19" s="404"/>
      <c r="E19" s="404" t="s">
        <v>370</v>
      </c>
      <c r="F19" s="447" t="s">
        <v>371</v>
      </c>
      <c r="AA19" s="399">
        <f t="shared" si="1"/>
        <v>3.7499999999999999E-2</v>
      </c>
      <c r="AB19" s="385" t="s">
        <v>407</v>
      </c>
      <c r="BW19" s="448">
        <v>2845.6724999999997</v>
      </c>
      <c r="BX19" s="448">
        <v>3013.0649999999996</v>
      </c>
      <c r="BY19" s="448">
        <v>3180.4574999999995</v>
      </c>
    </row>
    <row r="20" spans="1:84">
      <c r="A20" s="449" t="s">
        <v>408</v>
      </c>
      <c r="B20" s="450">
        <v>9780731.8399999999</v>
      </c>
      <c r="C20" s="451">
        <v>22.780323372539886</v>
      </c>
      <c r="D20" s="452"/>
      <c r="E20" s="453">
        <v>5985.76</v>
      </c>
      <c r="F20" s="454">
        <v>1185.2990099009901</v>
      </c>
      <c r="G20" s="455"/>
      <c r="H20" s="455"/>
      <c r="I20" s="385" t="s">
        <v>202</v>
      </c>
      <c r="M20" s="385" t="s">
        <v>229</v>
      </c>
      <c r="R20" s="455"/>
      <c r="AA20" s="399">
        <f t="shared" si="1"/>
        <v>0.04</v>
      </c>
      <c r="AB20" s="385" t="s">
        <v>409</v>
      </c>
      <c r="BW20" s="456">
        <v>4666902.8999999994</v>
      </c>
      <c r="BX20" s="456">
        <v>4941426.5999999996</v>
      </c>
      <c r="BY20" s="456">
        <v>5215950.2999999989</v>
      </c>
      <c r="CB20" s="385" t="s">
        <v>410</v>
      </c>
      <c r="CC20" s="457" t="s">
        <v>411</v>
      </c>
      <c r="CE20" s="385" t="s">
        <v>412</v>
      </c>
      <c r="CF20" s="385">
        <v>644.38</v>
      </c>
    </row>
    <row r="21" spans="1:84">
      <c r="A21" s="449" t="s">
        <v>413</v>
      </c>
      <c r="B21" s="450">
        <v>195614.63680000001</v>
      </c>
      <c r="C21" s="451">
        <v>0.45560646745079775</v>
      </c>
      <c r="D21" s="452"/>
      <c r="E21" s="458"/>
      <c r="F21" s="459"/>
      <c r="G21" s="455"/>
      <c r="H21" s="455"/>
      <c r="I21" s="460" t="s">
        <v>414</v>
      </c>
      <c r="J21" s="460" t="s">
        <v>415</v>
      </c>
      <c r="K21" s="460" t="s">
        <v>370</v>
      </c>
      <c r="M21" s="460" t="s">
        <v>416</v>
      </c>
      <c r="N21" s="460" t="s">
        <v>417</v>
      </c>
      <c r="O21" s="460" t="s">
        <v>418</v>
      </c>
      <c r="P21" s="460" t="s">
        <v>419</v>
      </c>
      <c r="Q21" s="460" t="s">
        <v>420</v>
      </c>
      <c r="R21" s="455"/>
      <c r="AA21" s="399">
        <f t="shared" si="1"/>
        <v>4.2500000000000003E-2</v>
      </c>
      <c r="AB21" s="385" t="s">
        <v>421</v>
      </c>
      <c r="BW21" s="456">
        <v>140007.08699999997</v>
      </c>
      <c r="BX21" s="456">
        <v>148242.79799999998</v>
      </c>
      <c r="BY21" s="456">
        <v>156478.50899999996</v>
      </c>
      <c r="CE21" s="385" t="s">
        <v>422</v>
      </c>
      <c r="CF21" s="385">
        <v>694.76</v>
      </c>
    </row>
    <row r="22" spans="1:84">
      <c r="A22" s="449" t="s">
        <v>423</v>
      </c>
      <c r="B22" s="450">
        <v>97807.318400000004</v>
      </c>
      <c r="C22" s="451">
        <v>0.22780323372539887</v>
      </c>
      <c r="D22" s="452"/>
      <c r="E22" s="458"/>
      <c r="F22" s="459"/>
      <c r="G22" s="455"/>
      <c r="H22" s="455"/>
      <c r="I22" s="415" t="s">
        <v>424</v>
      </c>
      <c r="J22" s="461">
        <f>'Cidade Jardim III'!W18</f>
        <v>40000000</v>
      </c>
      <c r="K22" s="462">
        <f>J22</f>
        <v>40000000</v>
      </c>
      <c r="M22" s="463"/>
      <c r="O22" s="464">
        <f>'Cidade Jardim III'!K11</f>
        <v>14552011.428571427</v>
      </c>
      <c r="P22" s="465"/>
      <c r="Q22" s="466"/>
      <c r="R22" s="455"/>
      <c r="AA22" s="399">
        <f t="shared" si="1"/>
        <v>4.5000000000000005E-2</v>
      </c>
      <c r="AB22" s="385" t="s">
        <v>425</v>
      </c>
      <c r="BW22" s="456">
        <v>46669.028999999995</v>
      </c>
      <c r="BX22" s="456">
        <v>49414.265999999996</v>
      </c>
      <c r="BY22" s="456">
        <v>52159.50299999999</v>
      </c>
      <c r="CF22" s="385">
        <v>1339.1399999999999</v>
      </c>
    </row>
    <row r="23" spans="1:84">
      <c r="A23" s="449" t="s">
        <v>426</v>
      </c>
      <c r="B23" s="450">
        <v>60000</v>
      </c>
      <c r="C23" s="451">
        <v>0.13974612786770699</v>
      </c>
      <c r="D23" s="452"/>
      <c r="E23" s="458"/>
      <c r="F23" s="459"/>
      <c r="G23" s="455"/>
      <c r="H23" s="455"/>
      <c r="I23" s="415" t="s">
        <v>427</v>
      </c>
      <c r="J23" s="467"/>
      <c r="K23" s="468">
        <f>J23</f>
        <v>0</v>
      </c>
      <c r="M23" s="469" t="s">
        <v>428</v>
      </c>
      <c r="N23" s="470">
        <v>0.30000000000000021</v>
      </c>
      <c r="O23" s="471">
        <f>O22*N23</f>
        <v>4365603.428571431</v>
      </c>
      <c r="P23" s="472">
        <v>5</v>
      </c>
      <c r="Q23" s="473">
        <f>P23*O23</f>
        <v>21828017.142857157</v>
      </c>
      <c r="R23" s="455">
        <v>63825000</v>
      </c>
      <c r="AA23" s="399">
        <f t="shared" si="1"/>
        <v>4.7500000000000007E-2</v>
      </c>
      <c r="AB23" s="385" t="s">
        <v>429</v>
      </c>
      <c r="BW23" s="474">
        <v>60000</v>
      </c>
      <c r="BX23" s="474">
        <v>60001</v>
      </c>
      <c r="BY23" s="474">
        <v>60002</v>
      </c>
      <c r="CB23" s="385" t="s">
        <v>410</v>
      </c>
      <c r="CC23" s="457" t="s">
        <v>430</v>
      </c>
    </row>
    <row r="24" spans="1:84">
      <c r="A24" s="449" t="s">
        <v>431</v>
      </c>
      <c r="B24" s="450">
        <v>4138750</v>
      </c>
      <c r="C24" s="451">
        <v>9.6395714452078725</v>
      </c>
      <c r="D24" s="452"/>
      <c r="E24" s="458"/>
      <c r="F24" s="459"/>
      <c r="G24" s="455"/>
      <c r="H24" s="455"/>
      <c r="I24" s="415" t="s">
        <v>432</v>
      </c>
      <c r="J24" s="475">
        <v>2.4999999999999998E-2</v>
      </c>
      <c r="K24" s="468">
        <f t="shared" ref="K24:K29" si="3">J24*$J$22</f>
        <v>999999.99999999988</v>
      </c>
      <c r="M24" s="463" t="s">
        <v>433</v>
      </c>
      <c r="N24" s="476">
        <v>0.4000000000000003</v>
      </c>
      <c r="O24" s="477">
        <f>O22*N24</f>
        <v>5820804.5714285756</v>
      </c>
      <c r="P24" s="478">
        <v>16</v>
      </c>
      <c r="Q24" s="479">
        <f>O24/P24</f>
        <v>363800.28571428597</v>
      </c>
      <c r="R24" s="455">
        <f>Q24*P24*L17</f>
        <v>81491264.00000006</v>
      </c>
      <c r="AA24" s="399">
        <f t="shared" si="1"/>
        <v>5.000000000000001E-2</v>
      </c>
      <c r="AB24" s="385" t="s">
        <v>434</v>
      </c>
      <c r="BW24" s="456">
        <v>4100255.4208500008</v>
      </c>
      <c r="BX24" s="456">
        <v>13.667518069500003</v>
      </c>
      <c r="BY24" s="456">
        <v>0</v>
      </c>
    </row>
    <row r="25" spans="1:84">
      <c r="A25" s="449" t="s">
        <v>435</v>
      </c>
      <c r="B25" s="450">
        <v>1717400</v>
      </c>
      <c r="C25" s="451">
        <v>4</v>
      </c>
      <c r="D25" s="452"/>
      <c r="E25" s="458"/>
      <c r="F25" s="459"/>
      <c r="G25" s="455"/>
      <c r="H25" s="455"/>
      <c r="I25" s="415" t="s">
        <v>20</v>
      </c>
      <c r="J25" s="475">
        <v>0.01</v>
      </c>
      <c r="K25" s="468">
        <f t="shared" si="3"/>
        <v>400000</v>
      </c>
      <c r="M25" s="469" t="s">
        <v>436</v>
      </c>
      <c r="N25" s="470">
        <v>0.30000000000000021</v>
      </c>
      <c r="O25" s="471">
        <f>O22*N25</f>
        <v>4365603.428571431</v>
      </c>
      <c r="P25" s="472">
        <v>1</v>
      </c>
      <c r="Q25" s="473">
        <f>O25/P25</f>
        <v>4365603.428571431</v>
      </c>
      <c r="R25" s="455">
        <f>Q25*L17*P25</f>
        <v>61118448.00000003</v>
      </c>
      <c r="AA25" s="399">
        <f t="shared" si="1"/>
        <v>5.2500000000000012E-2</v>
      </c>
      <c r="BW25" s="456">
        <v>1120000</v>
      </c>
      <c r="BX25" s="456">
        <v>1280000</v>
      </c>
      <c r="BY25" s="456">
        <v>1600000</v>
      </c>
    </row>
    <row r="26" spans="1:84">
      <c r="A26" s="449" t="s">
        <v>437</v>
      </c>
      <c r="B26" s="450">
        <v>858700</v>
      </c>
      <c r="C26" s="451">
        <v>2</v>
      </c>
      <c r="D26" s="452"/>
      <c r="E26" s="458"/>
      <c r="F26" s="459"/>
      <c r="G26" s="455"/>
      <c r="H26" s="455"/>
      <c r="I26" s="415" t="s">
        <v>141</v>
      </c>
      <c r="J26" s="475">
        <v>2.4999999999999992E-3</v>
      </c>
      <c r="K26" s="468">
        <f t="shared" si="3"/>
        <v>99999.999999999971</v>
      </c>
      <c r="M26" s="463"/>
      <c r="N26" s="480" t="str">
        <f>IF(N23+N24+N25&lt;&gt;100%,"Reveja Percentuais","Ok")</f>
        <v>Ok</v>
      </c>
      <c r="O26" s="481"/>
      <c r="P26" s="482">
        <f>P23+P24+P25</f>
        <v>22</v>
      </c>
      <c r="Q26" s="452"/>
      <c r="R26" s="455"/>
      <c r="AA26" s="399">
        <f t="shared" si="1"/>
        <v>5.5000000000000014E-2</v>
      </c>
      <c r="BW26" s="456">
        <v>560000</v>
      </c>
      <c r="BX26" s="456">
        <v>640000</v>
      </c>
      <c r="BY26" s="456">
        <v>800000</v>
      </c>
    </row>
    <row r="27" spans="1:84">
      <c r="A27" s="449" t="s">
        <v>438</v>
      </c>
      <c r="B27" s="450">
        <v>858700</v>
      </c>
      <c r="C27" s="451">
        <v>2</v>
      </c>
      <c r="D27" s="452"/>
      <c r="E27" s="458"/>
      <c r="F27" s="459"/>
      <c r="G27" s="455"/>
      <c r="H27" s="455"/>
      <c r="I27" s="415" t="s">
        <v>439</v>
      </c>
      <c r="J27" s="475">
        <v>1.2500000000000001E-2</v>
      </c>
      <c r="K27" s="468">
        <f t="shared" si="3"/>
        <v>500000</v>
      </c>
      <c r="M27" s="463"/>
      <c r="Q27" s="452"/>
      <c r="R27" s="455"/>
      <c r="AA27" s="399">
        <f t="shared" si="1"/>
        <v>5.7500000000000016E-2</v>
      </c>
      <c r="BW27" s="456">
        <v>560000</v>
      </c>
      <c r="BX27" s="456">
        <v>640000</v>
      </c>
      <c r="BY27" s="456">
        <v>800000</v>
      </c>
    </row>
    <row r="28" spans="1:84">
      <c r="A28" s="449" t="s">
        <v>440</v>
      </c>
      <c r="B28" s="450">
        <v>3434800</v>
      </c>
      <c r="C28" s="451">
        <v>8</v>
      </c>
      <c r="D28" s="452"/>
      <c r="E28" s="458"/>
      <c r="F28" s="459"/>
      <c r="G28" s="455"/>
      <c r="H28" s="455"/>
      <c r="I28" s="415" t="s">
        <v>200</v>
      </c>
      <c r="J28" s="475">
        <v>4.9999999999999992E-3</v>
      </c>
      <c r="K28" s="468">
        <f t="shared" si="3"/>
        <v>199999.99999999997</v>
      </c>
      <c r="M28" s="483"/>
      <c r="N28" s="484"/>
      <c r="O28" s="484"/>
      <c r="P28" s="484"/>
      <c r="Q28" s="485"/>
      <c r="R28" s="455"/>
      <c r="AA28" s="399">
        <f t="shared" si="1"/>
        <v>6.0000000000000019E-2</v>
      </c>
      <c r="BW28" s="456">
        <v>3080000</v>
      </c>
      <c r="BX28" s="456">
        <v>3520000</v>
      </c>
      <c r="BY28" s="456">
        <v>4400000</v>
      </c>
    </row>
    <row r="29" spans="1:84">
      <c r="A29" s="449" t="s">
        <v>441</v>
      </c>
      <c r="B29" s="419">
        <v>21142503.795199998</v>
      </c>
      <c r="C29" s="486">
        <v>49.243050646791659</v>
      </c>
      <c r="D29" s="452"/>
      <c r="E29" s="458"/>
      <c r="F29" s="459"/>
      <c r="I29" s="415" t="s">
        <v>442</v>
      </c>
      <c r="J29" s="475">
        <v>2.4999999999999992E-3</v>
      </c>
      <c r="K29" s="468">
        <f t="shared" si="3"/>
        <v>99999.999999999971</v>
      </c>
      <c r="AA29" s="399">
        <f t="shared" si="1"/>
        <v>6.2500000000000014E-2</v>
      </c>
      <c r="BW29" s="487">
        <v>14333834.43685</v>
      </c>
      <c r="BX29" s="487">
        <v>11279098.331518069</v>
      </c>
      <c r="BY29" s="487">
        <v>13084590.311999999</v>
      </c>
    </row>
    <row r="30" spans="1:84">
      <c r="A30" s="449" t="s">
        <v>443</v>
      </c>
      <c r="B30" s="419">
        <v>21792496.204800002</v>
      </c>
      <c r="C30" s="488">
        <v>50.756949353208348</v>
      </c>
      <c r="D30" s="489"/>
      <c r="E30" s="458"/>
      <c r="F30" s="459"/>
      <c r="G30" s="455"/>
      <c r="H30" s="455"/>
      <c r="I30" s="415" t="s">
        <v>444</v>
      </c>
      <c r="J30" s="475"/>
      <c r="K30" s="490"/>
      <c r="R30" s="455"/>
      <c r="AA30" s="399">
        <f t="shared" si="1"/>
        <v>6.5000000000000016E-2</v>
      </c>
      <c r="BX30" s="491"/>
    </row>
    <row r="31" spans="1:84">
      <c r="A31" s="449" t="s">
        <v>445</v>
      </c>
      <c r="B31" s="419">
        <v>42935000</v>
      </c>
      <c r="C31" s="486">
        <v>100</v>
      </c>
      <c r="D31" s="452"/>
      <c r="E31" s="458"/>
      <c r="F31" s="459"/>
      <c r="G31" s="455"/>
      <c r="H31" s="455"/>
      <c r="I31" s="438" t="s">
        <v>2</v>
      </c>
      <c r="J31" s="416" t="s">
        <v>182</v>
      </c>
      <c r="K31" s="492">
        <f>SUM(K22:K30)</f>
        <v>42300000</v>
      </c>
      <c r="R31" s="455"/>
      <c r="AA31" s="399">
        <f t="shared" si="1"/>
        <v>6.7500000000000018E-2</v>
      </c>
      <c r="BV31" s="425" t="s">
        <v>446</v>
      </c>
      <c r="BW31" s="385">
        <v>28000000</v>
      </c>
      <c r="BX31" s="385">
        <v>32000000</v>
      </c>
      <c r="BY31" s="385">
        <v>40000000</v>
      </c>
    </row>
    <row r="32" spans="1:84" ht="13" thickBot="1">
      <c r="A32" s="493" t="s">
        <v>447</v>
      </c>
      <c r="B32" s="444"/>
      <c r="C32" s="494">
        <v>0.50756949353208347</v>
      </c>
      <c r="D32" s="495"/>
      <c r="E32" s="496"/>
      <c r="F32" s="459"/>
      <c r="G32" s="455"/>
      <c r="H32" s="455"/>
      <c r="R32" s="455"/>
      <c r="AA32" s="399">
        <f t="shared" si="1"/>
        <v>7.0000000000000021E-2</v>
      </c>
      <c r="BV32" s="497" t="s">
        <v>5</v>
      </c>
      <c r="BW32" s="498">
        <v>13666165.56315</v>
      </c>
      <c r="BX32" s="498">
        <v>20720901.668481931</v>
      </c>
      <c r="BY32" s="498">
        <v>26915409.688000001</v>
      </c>
    </row>
    <row r="33" spans="1:27">
      <c r="A33" s="499" t="s">
        <v>431</v>
      </c>
      <c r="B33" s="500"/>
      <c r="C33" s="501"/>
      <c r="D33" s="502" t="s">
        <v>448</v>
      </c>
      <c r="E33" s="503"/>
      <c r="F33" s="504"/>
      <c r="I33" s="385" t="s">
        <v>213</v>
      </c>
      <c r="M33" s="385" t="s">
        <v>238</v>
      </c>
      <c r="AA33" s="399">
        <f t="shared" si="1"/>
        <v>7.2500000000000023E-2</v>
      </c>
    </row>
    <row r="34" spans="1:27">
      <c r="A34" s="396" t="s">
        <v>449</v>
      </c>
      <c r="B34" s="505">
        <v>1089</v>
      </c>
      <c r="C34" s="506" t="s">
        <v>450</v>
      </c>
      <c r="D34" s="507"/>
      <c r="F34" s="501"/>
      <c r="I34" s="460" t="s">
        <v>446</v>
      </c>
      <c r="J34" s="460" t="s">
        <v>451</v>
      </c>
      <c r="K34" s="460" t="s">
        <v>370</v>
      </c>
      <c r="M34" s="1202" t="s">
        <v>452</v>
      </c>
      <c r="N34" s="1203"/>
      <c r="O34" s="1203"/>
      <c r="P34" s="1203"/>
      <c r="Q34" s="1204"/>
      <c r="AA34" s="399">
        <f t="shared" si="1"/>
        <v>7.5000000000000025E-2</v>
      </c>
    </row>
    <row r="35" spans="1:27">
      <c r="A35" s="396" t="s">
        <v>453</v>
      </c>
      <c r="B35" s="508"/>
      <c r="C35" s="509"/>
      <c r="D35" s="510"/>
      <c r="E35" s="384"/>
      <c r="F35" s="501"/>
      <c r="I35" s="416" t="str">
        <f>I17</f>
        <v>Área Total Construída</v>
      </c>
      <c r="J35" s="468">
        <f>'Cidade Jardim III'!G13</f>
        <v>7589</v>
      </c>
      <c r="K35" s="511">
        <f>'Cidade Jardim III'!W11</f>
        <v>203728159.99999997</v>
      </c>
      <c r="M35" s="512" t="s">
        <v>454</v>
      </c>
      <c r="N35" s="425" t="s">
        <v>62</v>
      </c>
      <c r="O35" s="425" t="s">
        <v>455</v>
      </c>
      <c r="P35" s="425" t="s">
        <v>227</v>
      </c>
      <c r="Q35" s="513" t="s">
        <v>456</v>
      </c>
      <c r="AA35" s="399">
        <f t="shared" si="1"/>
        <v>7.7500000000000027E-2</v>
      </c>
    </row>
    <row r="36" spans="1:27">
      <c r="A36" s="396" t="s">
        <v>457</v>
      </c>
      <c r="B36" s="505"/>
      <c r="C36" s="514"/>
      <c r="D36" s="507"/>
      <c r="F36" s="501"/>
      <c r="I36" s="416" t="s">
        <v>458</v>
      </c>
      <c r="J36" s="515">
        <f>'Cidade Jardim III'!G11</f>
        <v>16000</v>
      </c>
      <c r="M36" s="516">
        <v>0</v>
      </c>
      <c r="N36" s="517"/>
      <c r="O36" s="517"/>
      <c r="P36" s="517"/>
      <c r="Q36" s="518">
        <f>P36+O36+N36</f>
        <v>0</v>
      </c>
      <c r="AA36" s="399">
        <f t="shared" si="1"/>
        <v>8.0000000000000029E-2</v>
      </c>
    </row>
    <row r="37" spans="1:27">
      <c r="A37" s="396" t="s">
        <v>459</v>
      </c>
      <c r="B37" s="519" t="s">
        <v>460</v>
      </c>
      <c r="C37" s="514"/>
      <c r="D37" s="510"/>
      <c r="E37" s="384"/>
      <c r="F37" s="501"/>
      <c r="M37" s="516">
        <v>1</v>
      </c>
      <c r="N37" s="517"/>
      <c r="O37" s="517"/>
      <c r="P37" s="517"/>
      <c r="Q37" s="518">
        <f t="shared" ref="Q37:Q60" si="4">P37+O37+N37</f>
        <v>0</v>
      </c>
      <c r="AA37" s="399">
        <f t="shared" si="1"/>
        <v>8.2500000000000032E-2</v>
      </c>
    </row>
    <row r="38" spans="1:27">
      <c r="A38" s="520" t="s">
        <v>461</v>
      </c>
      <c r="B38" s="521" t="s">
        <v>370</v>
      </c>
      <c r="C38" s="522" t="s">
        <v>296</v>
      </c>
      <c r="D38" s="523"/>
      <c r="F38" s="501"/>
      <c r="I38" s="385" t="s">
        <v>224</v>
      </c>
      <c r="M38" s="516">
        <v>2</v>
      </c>
      <c r="N38" s="517"/>
      <c r="O38" s="517"/>
      <c r="P38" s="517"/>
      <c r="Q38" s="518">
        <f t="shared" si="4"/>
        <v>0</v>
      </c>
      <c r="AA38" s="399">
        <f t="shared" si="1"/>
        <v>8.5000000000000034E-2</v>
      </c>
    </row>
    <row r="39" spans="1:27">
      <c r="A39" s="396" t="s">
        <v>462</v>
      </c>
      <c r="B39" s="524">
        <v>3850000</v>
      </c>
      <c r="C39" s="525"/>
      <c r="D39" s="439"/>
      <c r="F39" s="501"/>
      <c r="I39" s="460" t="s">
        <v>463</v>
      </c>
      <c r="J39" s="460" t="s">
        <v>464</v>
      </c>
      <c r="K39" s="460" t="s">
        <v>370</v>
      </c>
      <c r="M39" s="516">
        <v>3</v>
      </c>
      <c r="N39" s="526"/>
      <c r="O39" s="517"/>
      <c r="P39" s="517"/>
      <c r="Q39" s="518">
        <f t="shared" si="4"/>
        <v>0</v>
      </c>
      <c r="AA39" s="399">
        <f t="shared" si="1"/>
        <v>8.7500000000000036E-2</v>
      </c>
    </row>
    <row r="40" spans="1:27">
      <c r="A40" s="396" t="s">
        <v>465</v>
      </c>
      <c r="B40" s="527">
        <v>115500</v>
      </c>
      <c r="C40" s="528">
        <v>0.03</v>
      </c>
      <c r="F40" s="501"/>
      <c r="I40" s="415" t="s">
        <v>466</v>
      </c>
      <c r="J40" s="529">
        <f>'Cidade Jardim III'!K13</f>
        <v>7500.0000000000009</v>
      </c>
      <c r="K40" s="530"/>
      <c r="M40" s="516">
        <v>4</v>
      </c>
      <c r="N40" s="517"/>
      <c r="O40" s="517"/>
      <c r="P40" s="526"/>
      <c r="Q40" s="518">
        <f t="shared" si="4"/>
        <v>0</v>
      </c>
      <c r="AA40" s="399">
        <f t="shared" si="1"/>
        <v>9.0000000000000038E-2</v>
      </c>
    </row>
    <row r="41" spans="1:27">
      <c r="A41" s="396" t="s">
        <v>467</v>
      </c>
      <c r="B41" s="527">
        <v>38500</v>
      </c>
      <c r="C41" s="528">
        <v>0.01</v>
      </c>
      <c r="F41" s="501"/>
      <c r="I41" s="416" t="str">
        <f>I17</f>
        <v>Área Total Construída</v>
      </c>
      <c r="J41" s="468">
        <f>'Cidade Jardim III'!G13</f>
        <v>7589</v>
      </c>
      <c r="K41" s="531"/>
      <c r="M41" s="516">
        <v>5</v>
      </c>
      <c r="N41" s="526"/>
      <c r="O41" s="517"/>
      <c r="P41" s="526"/>
      <c r="Q41" s="518">
        <f t="shared" si="4"/>
        <v>0</v>
      </c>
      <c r="AA41" s="399">
        <f t="shared" si="1"/>
        <v>9.2500000000000041E-2</v>
      </c>
    </row>
    <row r="42" spans="1:27">
      <c r="A42" s="396" t="s">
        <v>468</v>
      </c>
      <c r="B42" s="527">
        <v>19250</v>
      </c>
      <c r="C42" s="528">
        <v>5.0000000000000001E-3</v>
      </c>
      <c r="F42" s="501"/>
      <c r="I42" s="532" t="s">
        <v>469</v>
      </c>
      <c r="J42" s="533"/>
      <c r="K42" s="511">
        <f>J41*J40</f>
        <v>56917500.000000007</v>
      </c>
      <c r="L42" s="439"/>
      <c r="M42" s="516">
        <v>6</v>
      </c>
      <c r="N42" s="919">
        <f>15000000*2/2</f>
        <v>15000000</v>
      </c>
      <c r="O42" s="517"/>
      <c r="P42" s="526"/>
      <c r="Q42" s="518">
        <f t="shared" si="4"/>
        <v>15000000</v>
      </c>
      <c r="AA42" s="399">
        <f t="shared" si="1"/>
        <v>9.5000000000000043E-2</v>
      </c>
    </row>
    <row r="43" spans="1:27">
      <c r="A43" s="396" t="s">
        <v>470</v>
      </c>
      <c r="B43" s="527">
        <v>57750</v>
      </c>
      <c r="C43" s="528">
        <v>1.4999999999999999E-2</v>
      </c>
      <c r="D43" s="439"/>
      <c r="F43" s="501"/>
      <c r="I43" s="415" t="s">
        <v>471</v>
      </c>
      <c r="J43" s="475">
        <v>0.04</v>
      </c>
      <c r="K43" s="468">
        <f>J43*$K$42</f>
        <v>2276700.0000000005</v>
      </c>
      <c r="M43" s="516">
        <v>7</v>
      </c>
      <c r="N43" s="526"/>
      <c r="O43" s="526"/>
      <c r="P43" s="526"/>
      <c r="Q43" s="518">
        <f t="shared" si="4"/>
        <v>0</v>
      </c>
      <c r="AA43" s="399">
        <f t="shared" si="1"/>
        <v>9.7500000000000045E-2</v>
      </c>
    </row>
    <row r="44" spans="1:27">
      <c r="A44" s="396" t="s">
        <v>472</v>
      </c>
      <c r="B44" s="527">
        <v>57750</v>
      </c>
      <c r="C44" s="528">
        <v>1.4999999999999999E-2</v>
      </c>
      <c r="F44" s="501"/>
      <c r="I44" s="415" t="s">
        <v>473</v>
      </c>
      <c r="J44" s="475">
        <v>0.01</v>
      </c>
      <c r="K44" s="468">
        <f>J44*$K$42</f>
        <v>569175.00000000012</v>
      </c>
      <c r="M44" s="516">
        <v>8</v>
      </c>
      <c r="N44" s="526"/>
      <c r="O44" s="517"/>
      <c r="P44" s="526"/>
      <c r="Q44" s="518">
        <f t="shared" si="4"/>
        <v>0</v>
      </c>
      <c r="AA44" s="399">
        <f t="shared" si="1"/>
        <v>0.10000000000000005</v>
      </c>
    </row>
    <row r="45" spans="1:27" ht="13" thickBot="1">
      <c r="A45" s="396" t="s">
        <v>474</v>
      </c>
      <c r="B45" s="534">
        <v>4138750</v>
      </c>
      <c r="C45" s="535" t="s">
        <v>182</v>
      </c>
      <c r="E45" s="536"/>
      <c r="F45" s="501"/>
      <c r="I45" s="415" t="s">
        <v>475</v>
      </c>
      <c r="J45" s="475">
        <v>0.01</v>
      </c>
      <c r="K45" s="515">
        <f>J45*K42</f>
        <v>569175.00000000012</v>
      </c>
      <c r="M45" s="516">
        <v>9</v>
      </c>
      <c r="N45" s="517"/>
      <c r="O45" s="526"/>
      <c r="P45" s="526"/>
      <c r="Q45" s="518">
        <f t="shared" si="4"/>
        <v>0</v>
      </c>
      <c r="AA45" s="399">
        <f t="shared" si="1"/>
        <v>0.10250000000000005</v>
      </c>
    </row>
    <row r="46" spans="1:27">
      <c r="A46" s="537" t="s">
        <v>476</v>
      </c>
      <c r="B46" s="392" t="s">
        <v>477</v>
      </c>
      <c r="C46" s="538">
        <v>3</v>
      </c>
      <c r="D46" s="392" t="s">
        <v>478</v>
      </c>
      <c r="E46" s="397">
        <v>3</v>
      </c>
      <c r="F46" s="539"/>
      <c r="I46" s="532" t="s">
        <v>124</v>
      </c>
      <c r="J46" s="533"/>
      <c r="K46" s="511">
        <f>K31</f>
        <v>42300000</v>
      </c>
      <c r="M46" s="516">
        <v>10</v>
      </c>
      <c r="N46" s="526"/>
      <c r="O46" s="526">
        <f>15000000/24</f>
        <v>625000</v>
      </c>
      <c r="P46" s="526"/>
      <c r="Q46" s="518">
        <f t="shared" si="4"/>
        <v>625000</v>
      </c>
      <c r="AA46" s="399">
        <f t="shared" si="1"/>
        <v>0.10500000000000005</v>
      </c>
    </row>
    <row r="47" spans="1:27">
      <c r="A47" s="540" t="s">
        <v>349</v>
      </c>
      <c r="B47" s="396" t="s">
        <v>479</v>
      </c>
      <c r="C47" s="538">
        <v>1</v>
      </c>
      <c r="D47" s="396" t="s">
        <v>480</v>
      </c>
      <c r="E47" s="508">
        <v>3</v>
      </c>
      <c r="F47" s="408"/>
      <c r="I47" s="415" t="s">
        <v>148</v>
      </c>
      <c r="J47" s="475">
        <v>5.000000000000001E-2</v>
      </c>
      <c r="K47" s="468">
        <f t="shared" ref="K47:K52" si="5">J47*$K$35</f>
        <v>10186408</v>
      </c>
      <c r="L47" s="481"/>
      <c r="M47" s="516">
        <v>11</v>
      </c>
      <c r="N47" s="517"/>
      <c r="O47" s="526">
        <f t="shared" ref="O47:O69" si="6">O46</f>
        <v>625000</v>
      </c>
      <c r="P47" s="526"/>
      <c r="Q47" s="518">
        <f t="shared" si="4"/>
        <v>625000</v>
      </c>
      <c r="AA47" s="399">
        <f t="shared" si="1"/>
        <v>0.10750000000000005</v>
      </c>
    </row>
    <row r="48" spans="1:27" ht="13" thickBot="1">
      <c r="A48" s="541"/>
      <c r="B48" s="542" t="s">
        <v>481</v>
      </c>
      <c r="C48" s="543">
        <v>400</v>
      </c>
      <c r="D48" s="401" t="s">
        <v>482</v>
      </c>
      <c r="E48" s="544">
        <v>2</v>
      </c>
      <c r="F48" s="440"/>
      <c r="I48" s="415" t="s">
        <v>483</v>
      </c>
      <c r="J48" s="475">
        <v>0.01</v>
      </c>
      <c r="K48" s="468">
        <f t="shared" si="5"/>
        <v>2037281.5999999999</v>
      </c>
      <c r="M48" s="516">
        <v>12</v>
      </c>
      <c r="N48" s="919">
        <f>(3*16500*1000)*30%</f>
        <v>14850000</v>
      </c>
      <c r="O48" s="526">
        <f>O47+(((3*16500*1000)*40%)/22)</f>
        <v>1525000</v>
      </c>
      <c r="P48" s="526"/>
      <c r="Q48" s="518">
        <f t="shared" si="4"/>
        <v>16375000</v>
      </c>
      <c r="AA48" s="399">
        <f t="shared" si="1"/>
        <v>0.11000000000000006</v>
      </c>
    </row>
    <row r="49" spans="1:27">
      <c r="A49" s="499" t="s">
        <v>484</v>
      </c>
      <c r="B49" s="545" t="s">
        <v>485</v>
      </c>
      <c r="C49" s="545" t="s">
        <v>131</v>
      </c>
      <c r="D49" s="546" t="s">
        <v>486</v>
      </c>
      <c r="E49" s="546" t="s">
        <v>487</v>
      </c>
      <c r="F49" s="547" t="s">
        <v>488</v>
      </c>
      <c r="I49" s="415" t="s">
        <v>489</v>
      </c>
      <c r="J49" s="475">
        <v>0.01</v>
      </c>
      <c r="K49" s="468">
        <f t="shared" si="5"/>
        <v>2037281.5999999999</v>
      </c>
      <c r="M49" s="516">
        <v>13</v>
      </c>
      <c r="N49" s="526"/>
      <c r="O49" s="526">
        <f t="shared" si="6"/>
        <v>1525000</v>
      </c>
      <c r="P49" s="526"/>
      <c r="Q49" s="518">
        <f t="shared" si="4"/>
        <v>1525000</v>
      </c>
      <c r="AA49" s="399">
        <f t="shared" si="1"/>
        <v>0.11250000000000006</v>
      </c>
    </row>
    <row r="50" spans="1:27">
      <c r="A50" s="396" t="s">
        <v>354</v>
      </c>
      <c r="B50" s="548">
        <v>400</v>
      </c>
      <c r="C50" s="549">
        <v>1</v>
      </c>
      <c r="D50" s="550">
        <v>400</v>
      </c>
      <c r="E50" s="397">
        <v>1</v>
      </c>
      <c r="F50" s="551">
        <v>400</v>
      </c>
      <c r="I50" s="415" t="s">
        <v>490</v>
      </c>
      <c r="J50" s="475">
        <v>0.04</v>
      </c>
      <c r="K50" s="468">
        <f t="shared" si="5"/>
        <v>8149126.3999999994</v>
      </c>
      <c r="M50" s="516">
        <v>14</v>
      </c>
      <c r="N50" s="919"/>
      <c r="O50" s="526">
        <f t="shared" si="6"/>
        <v>1525000</v>
      </c>
      <c r="P50" s="526"/>
      <c r="Q50" s="518">
        <f t="shared" si="4"/>
        <v>1525000</v>
      </c>
      <c r="AA50" s="399">
        <f t="shared" si="1"/>
        <v>0.11500000000000006</v>
      </c>
    </row>
    <row r="51" spans="1:27">
      <c r="A51" s="396" t="s">
        <v>362</v>
      </c>
      <c r="B51" s="548">
        <v>400</v>
      </c>
      <c r="C51" s="549">
        <v>1</v>
      </c>
      <c r="D51" s="550">
        <v>400</v>
      </c>
      <c r="E51" s="397">
        <v>1</v>
      </c>
      <c r="F51" s="551">
        <v>400</v>
      </c>
      <c r="I51" s="415" t="s">
        <v>442</v>
      </c>
      <c r="J51" s="475">
        <v>0.01</v>
      </c>
      <c r="K51" s="468">
        <f t="shared" si="5"/>
        <v>2037281.5999999999</v>
      </c>
      <c r="M51" s="516">
        <v>15</v>
      </c>
      <c r="N51" s="526"/>
      <c r="O51" s="526">
        <f t="shared" si="6"/>
        <v>1525000</v>
      </c>
      <c r="P51" s="526"/>
      <c r="Q51" s="518">
        <f t="shared" si="4"/>
        <v>1525000</v>
      </c>
      <c r="AA51" s="399">
        <f t="shared" si="1"/>
        <v>0.11750000000000006</v>
      </c>
    </row>
    <row r="52" spans="1:27">
      <c r="A52" s="396" t="s">
        <v>383</v>
      </c>
      <c r="B52" s="548">
        <v>300</v>
      </c>
      <c r="C52" s="549">
        <v>1</v>
      </c>
      <c r="D52" s="550">
        <v>300</v>
      </c>
      <c r="E52" s="397">
        <v>1</v>
      </c>
      <c r="F52" s="551">
        <v>300</v>
      </c>
      <c r="I52" s="415" t="s">
        <v>444</v>
      </c>
      <c r="J52" s="475">
        <v>0</v>
      </c>
      <c r="K52" s="468">
        <f t="shared" si="5"/>
        <v>0</v>
      </c>
      <c r="M52" s="516">
        <v>16</v>
      </c>
      <c r="N52" s="919"/>
      <c r="O52" s="526">
        <f t="shared" si="6"/>
        <v>1525000</v>
      </c>
      <c r="P52" s="526"/>
      <c r="Q52" s="518">
        <f t="shared" si="4"/>
        <v>1525000</v>
      </c>
      <c r="AA52" s="399">
        <f t="shared" si="1"/>
        <v>0.12000000000000006</v>
      </c>
    </row>
    <row r="53" spans="1:27">
      <c r="A53" s="396" t="s">
        <v>386</v>
      </c>
      <c r="B53" s="548">
        <v>900</v>
      </c>
      <c r="C53" s="549">
        <v>1</v>
      </c>
      <c r="D53" s="550">
        <v>900</v>
      </c>
      <c r="E53" s="397">
        <v>0.6</v>
      </c>
      <c r="F53" s="551">
        <v>534</v>
      </c>
      <c r="I53" s="438" t="s">
        <v>2</v>
      </c>
      <c r="J53" s="416" t="s">
        <v>182</v>
      </c>
      <c r="K53" s="492">
        <f>SUM(K40:K52)</f>
        <v>127079929.19999999</v>
      </c>
      <c r="M53" s="516">
        <v>17</v>
      </c>
      <c r="N53" s="517"/>
      <c r="O53" s="526">
        <f t="shared" si="6"/>
        <v>1525000</v>
      </c>
      <c r="P53" s="526"/>
      <c r="Q53" s="518">
        <f t="shared" si="4"/>
        <v>1525000</v>
      </c>
      <c r="AA53" s="399">
        <f t="shared" si="1"/>
        <v>0.12250000000000007</v>
      </c>
    </row>
    <row r="54" spans="1:27">
      <c r="A54" s="396"/>
      <c r="B54" s="552"/>
      <c r="C54" s="553">
        <v>1</v>
      </c>
      <c r="D54" s="550">
        <v>0</v>
      </c>
      <c r="E54" s="397"/>
      <c r="F54" s="551">
        <v>0</v>
      </c>
      <c r="M54" s="516">
        <v>18</v>
      </c>
      <c r="N54" s="526">
        <f>(4*16500*1000)*30%</f>
        <v>19800000</v>
      </c>
      <c r="O54" s="526">
        <f>O53+(((4*1000*18000)*40%)/(M69-M54))</f>
        <v>3445000</v>
      </c>
      <c r="P54" s="526"/>
      <c r="Q54" s="518">
        <f t="shared" si="4"/>
        <v>23245000</v>
      </c>
      <c r="AA54" s="399">
        <f t="shared" si="1"/>
        <v>0.12500000000000006</v>
      </c>
    </row>
    <row r="55" spans="1:27">
      <c r="A55" s="396"/>
      <c r="B55" s="552"/>
      <c r="C55" s="553">
        <v>1</v>
      </c>
      <c r="D55" s="550">
        <v>0</v>
      </c>
      <c r="E55" s="397"/>
      <c r="F55" s="551">
        <v>0</v>
      </c>
      <c r="I55" s="385" t="s">
        <v>491</v>
      </c>
      <c r="M55" s="516">
        <v>19</v>
      </c>
      <c r="N55" s="517"/>
      <c r="O55" s="526">
        <f t="shared" si="6"/>
        <v>3445000</v>
      </c>
      <c r="P55" s="526"/>
      <c r="Q55" s="518">
        <f t="shared" si="4"/>
        <v>3445000</v>
      </c>
      <c r="AA55" s="399">
        <f t="shared" si="1"/>
        <v>0.12750000000000006</v>
      </c>
    </row>
    <row r="56" spans="1:27">
      <c r="A56" s="396"/>
      <c r="B56" s="552"/>
      <c r="C56" s="549">
        <v>1</v>
      </c>
      <c r="D56" s="550">
        <v>0</v>
      </c>
      <c r="E56" s="397"/>
      <c r="F56" s="551">
        <v>0</v>
      </c>
      <c r="I56" s="554" t="s">
        <v>492</v>
      </c>
      <c r="J56" s="460"/>
      <c r="K56" s="460" t="s">
        <v>246</v>
      </c>
      <c r="M56" s="516">
        <v>20</v>
      </c>
      <c r="N56" s="526"/>
      <c r="O56" s="526">
        <f t="shared" si="6"/>
        <v>3445000</v>
      </c>
      <c r="P56" s="526"/>
      <c r="Q56" s="518">
        <f t="shared" si="4"/>
        <v>3445000</v>
      </c>
      <c r="AA56" s="399">
        <f t="shared" si="1"/>
        <v>0.13000000000000006</v>
      </c>
    </row>
    <row r="57" spans="1:27" ht="13" thickBot="1">
      <c r="A57" s="401" t="s">
        <v>493</v>
      </c>
      <c r="B57" s="555" t="s">
        <v>494</v>
      </c>
      <c r="C57" s="556" t="s">
        <v>131</v>
      </c>
      <c r="D57" s="557">
        <v>2000</v>
      </c>
      <c r="E57" s="555" t="s">
        <v>495</v>
      </c>
      <c r="F57" s="558">
        <v>1634</v>
      </c>
      <c r="I57" s="415" t="s">
        <v>132</v>
      </c>
      <c r="J57" s="415" t="s">
        <v>496</v>
      </c>
      <c r="K57" s="468">
        <f>K46/J8</f>
        <v>6708.6206568421594</v>
      </c>
      <c r="M57" s="516">
        <v>21</v>
      </c>
      <c r="N57" s="517"/>
      <c r="O57" s="526">
        <f t="shared" si="6"/>
        <v>3445000</v>
      </c>
      <c r="P57" s="526"/>
      <c r="Q57" s="518">
        <f t="shared" si="4"/>
        <v>3445000</v>
      </c>
      <c r="AA57" s="399">
        <f t="shared" si="1"/>
        <v>0.13250000000000006</v>
      </c>
    </row>
    <row r="58" spans="1:27">
      <c r="A58" s="499" t="s">
        <v>497</v>
      </c>
      <c r="B58" s="546" t="s">
        <v>498</v>
      </c>
      <c r="C58" s="545" t="s">
        <v>131</v>
      </c>
      <c r="D58" s="546" t="s">
        <v>486</v>
      </c>
      <c r="E58" s="546" t="s">
        <v>499</v>
      </c>
      <c r="F58" s="559"/>
      <c r="I58" s="415" t="s">
        <v>127</v>
      </c>
      <c r="J58" s="415" t="s">
        <v>500</v>
      </c>
      <c r="K58" s="468">
        <f>J40</f>
        <v>7500.0000000000009</v>
      </c>
      <c r="M58" s="516">
        <v>22</v>
      </c>
      <c r="N58" s="517"/>
      <c r="O58" s="526">
        <f t="shared" si="6"/>
        <v>3445000</v>
      </c>
      <c r="P58" s="526"/>
      <c r="Q58" s="518">
        <f t="shared" si="4"/>
        <v>3445000</v>
      </c>
      <c r="AA58" s="399">
        <f t="shared" si="1"/>
        <v>0.13500000000000006</v>
      </c>
    </row>
    <row r="59" spans="1:27">
      <c r="A59" s="396" t="s">
        <v>501</v>
      </c>
      <c r="B59" s="560">
        <v>10000000</v>
      </c>
      <c r="C59" s="561">
        <v>2</v>
      </c>
      <c r="D59" s="550">
        <v>20000000</v>
      </c>
      <c r="E59" s="562">
        <v>400</v>
      </c>
      <c r="F59" s="501"/>
      <c r="I59" s="415" t="s">
        <v>502</v>
      </c>
      <c r="J59" s="563" t="s">
        <v>503</v>
      </c>
      <c r="K59" s="468">
        <f>(K42+K46)/J35</f>
        <v>13073.856898142049</v>
      </c>
      <c r="M59" s="516">
        <v>23</v>
      </c>
      <c r="N59" s="517"/>
      <c r="O59" s="526">
        <f t="shared" si="6"/>
        <v>3445000</v>
      </c>
      <c r="P59" s="517"/>
      <c r="Q59" s="518">
        <f t="shared" si="4"/>
        <v>3445000</v>
      </c>
      <c r="AA59" s="399">
        <f t="shared" si="1"/>
        <v>0.13750000000000007</v>
      </c>
    </row>
    <row r="60" spans="1:27">
      <c r="A60" s="396" t="s">
        <v>504</v>
      </c>
      <c r="B60" s="560">
        <v>11467500</v>
      </c>
      <c r="C60" s="561">
        <v>2</v>
      </c>
      <c r="D60" s="550">
        <v>22935000</v>
      </c>
      <c r="E60" s="562">
        <v>417</v>
      </c>
      <c r="F60" s="501"/>
      <c r="I60" s="415" t="s">
        <v>505</v>
      </c>
      <c r="J60" s="415" t="s">
        <v>506</v>
      </c>
      <c r="K60" s="468">
        <f>K53/J35</f>
        <v>16745.279905125837</v>
      </c>
      <c r="L60" s="491"/>
      <c r="M60" s="516">
        <v>24</v>
      </c>
      <c r="N60" s="526">
        <f>1*18000*1000*30%+11775000</f>
        <v>17175000</v>
      </c>
      <c r="O60" s="526">
        <f>O59+1*18000*1000*40%/10+(19942500/(M69-M60))</f>
        <v>6380833.333333334</v>
      </c>
      <c r="P60" s="837"/>
      <c r="Q60" s="518">
        <f t="shared" si="4"/>
        <v>23555833.333333336</v>
      </c>
      <c r="AA60" s="399">
        <f t="shared" si="1"/>
        <v>0.14000000000000007</v>
      </c>
    </row>
    <row r="61" spans="1:27">
      <c r="A61" s="396"/>
      <c r="B61" s="560">
        <v>0</v>
      </c>
      <c r="C61" s="561"/>
      <c r="D61" s="550">
        <v>0</v>
      </c>
      <c r="E61" s="562"/>
      <c r="F61" s="501"/>
      <c r="I61" s="415" t="s">
        <v>507</v>
      </c>
      <c r="J61" s="415" t="s">
        <v>508</v>
      </c>
      <c r="K61" s="468">
        <f>K53/L17</f>
        <v>9077137.7999999989</v>
      </c>
      <c r="M61" s="516">
        <v>25</v>
      </c>
      <c r="N61" s="517"/>
      <c r="O61" s="526">
        <f t="shared" si="6"/>
        <v>6380833.333333334</v>
      </c>
      <c r="P61" s="837">
        <f t="shared" ref="P61:P72" si="7">R26</f>
        <v>0</v>
      </c>
      <c r="Q61" s="518">
        <f t="shared" ref="Q61:Q72" si="8">P61+O61+N61</f>
        <v>6380833.333333334</v>
      </c>
      <c r="AA61" s="399">
        <f t="shared" si="1"/>
        <v>0.14250000000000007</v>
      </c>
    </row>
    <row r="62" spans="1:27">
      <c r="A62" s="396"/>
      <c r="B62" s="560">
        <v>0</v>
      </c>
      <c r="C62" s="561"/>
      <c r="D62" s="550">
        <v>0</v>
      </c>
      <c r="E62" s="562"/>
      <c r="F62" s="501"/>
      <c r="M62" s="516">
        <v>26</v>
      </c>
      <c r="N62" s="517"/>
      <c r="O62" s="526">
        <f t="shared" si="6"/>
        <v>6380833.333333334</v>
      </c>
      <c r="P62" s="837">
        <f t="shared" si="7"/>
        <v>0</v>
      </c>
      <c r="Q62" s="518">
        <f t="shared" si="8"/>
        <v>6380833.333333334</v>
      </c>
      <c r="AA62" s="399">
        <f t="shared" si="1"/>
        <v>0.14500000000000007</v>
      </c>
    </row>
    <row r="63" spans="1:27" ht="13" thickBot="1">
      <c r="A63" s="401" t="s">
        <v>509</v>
      </c>
      <c r="B63" s="564" t="s">
        <v>494</v>
      </c>
      <c r="C63" s="565">
        <v>4</v>
      </c>
      <c r="D63" s="566">
        <v>42935000</v>
      </c>
      <c r="E63" s="567">
        <v>408.5</v>
      </c>
      <c r="F63" s="568"/>
      <c r="I63" s="415" t="s">
        <v>510</v>
      </c>
      <c r="J63" s="415" t="s">
        <v>511</v>
      </c>
      <c r="K63" s="468">
        <f>J36</f>
        <v>16000</v>
      </c>
      <c r="M63" s="516">
        <v>27</v>
      </c>
      <c r="N63" s="517"/>
      <c r="O63" s="526">
        <f t="shared" si="6"/>
        <v>6380833.333333334</v>
      </c>
      <c r="P63" s="837">
        <f t="shared" si="7"/>
        <v>0</v>
      </c>
      <c r="Q63" s="518">
        <f t="shared" si="8"/>
        <v>6380833.333333334</v>
      </c>
      <c r="AA63" s="399">
        <f t="shared" si="1"/>
        <v>0.14750000000000008</v>
      </c>
    </row>
    <row r="64" spans="1:27">
      <c r="A64" s="572" t="s">
        <v>512</v>
      </c>
      <c r="B64" s="573" t="s">
        <v>513</v>
      </c>
      <c r="C64" s="393"/>
      <c r="D64" s="393"/>
      <c r="E64" s="393"/>
      <c r="F64" s="574"/>
      <c r="M64" s="516">
        <v>28</v>
      </c>
      <c r="N64" s="517"/>
      <c r="O64" s="526">
        <f t="shared" si="6"/>
        <v>6380833.333333334</v>
      </c>
      <c r="P64" s="837">
        <f t="shared" si="7"/>
        <v>0</v>
      </c>
      <c r="Q64" s="518">
        <f t="shared" si="8"/>
        <v>6380833.333333334</v>
      </c>
      <c r="AA64" s="399">
        <f t="shared" si="1"/>
        <v>0.15000000000000008</v>
      </c>
    </row>
    <row r="65" spans="1:27">
      <c r="A65" s="920"/>
      <c r="B65" s="921"/>
      <c r="C65" s="922"/>
      <c r="D65" s="922"/>
      <c r="E65" s="922"/>
      <c r="F65" s="923"/>
      <c r="M65" s="516">
        <v>29</v>
      </c>
      <c r="N65" s="526">
        <v>6187500</v>
      </c>
      <c r="O65" s="526">
        <f>O64+1*18000*1000*30%/5</f>
        <v>7460833.333333334</v>
      </c>
      <c r="P65" s="837">
        <f t="shared" si="7"/>
        <v>0</v>
      </c>
      <c r="Q65" s="518">
        <f t="shared" si="8"/>
        <v>13648333.333333334</v>
      </c>
      <c r="AA65" s="399"/>
    </row>
    <row r="66" spans="1:27">
      <c r="A66" s="920"/>
      <c r="B66" s="921"/>
      <c r="C66" s="922"/>
      <c r="D66" s="922"/>
      <c r="E66" s="922"/>
      <c r="F66" s="923"/>
      <c r="M66" s="516">
        <v>30</v>
      </c>
      <c r="N66" s="517"/>
      <c r="O66" s="526">
        <f t="shared" si="6"/>
        <v>7460833.333333334</v>
      </c>
      <c r="P66" s="837">
        <f t="shared" si="7"/>
        <v>0</v>
      </c>
      <c r="Q66" s="518">
        <f t="shared" si="8"/>
        <v>7460833.333333334</v>
      </c>
      <c r="AA66" s="399"/>
    </row>
    <row r="67" spans="1:27">
      <c r="A67" s="920"/>
      <c r="B67" s="921"/>
      <c r="C67" s="922"/>
      <c r="D67" s="922"/>
      <c r="E67" s="922"/>
      <c r="F67" s="923"/>
      <c r="M67" s="516">
        <v>31</v>
      </c>
      <c r="N67" s="517"/>
      <c r="O67" s="526">
        <f t="shared" si="6"/>
        <v>7460833.333333334</v>
      </c>
      <c r="P67" s="837">
        <f t="shared" si="7"/>
        <v>0</v>
      </c>
      <c r="Q67" s="518">
        <f t="shared" si="8"/>
        <v>7460833.333333334</v>
      </c>
      <c r="AA67" s="399"/>
    </row>
    <row r="68" spans="1:27">
      <c r="A68" s="920"/>
      <c r="B68" s="921"/>
      <c r="C68" s="922"/>
      <c r="D68" s="922"/>
      <c r="E68" s="922"/>
      <c r="F68" s="923"/>
      <c r="M68" s="516">
        <v>32</v>
      </c>
      <c r="N68" s="517"/>
      <c r="O68" s="526">
        <f t="shared" si="6"/>
        <v>7460833.333333334</v>
      </c>
      <c r="P68" s="837">
        <f t="shared" si="7"/>
        <v>0</v>
      </c>
      <c r="Q68" s="518">
        <f t="shared" si="8"/>
        <v>7460833.333333334</v>
      </c>
      <c r="AA68" s="399"/>
    </row>
    <row r="69" spans="1:27">
      <c r="A69" s="920"/>
      <c r="B69" s="921"/>
      <c r="C69" s="922"/>
      <c r="D69" s="922"/>
      <c r="E69" s="922"/>
      <c r="F69" s="923"/>
      <c r="M69" s="516">
        <v>33</v>
      </c>
      <c r="N69" s="517"/>
      <c r="O69" s="526">
        <f t="shared" si="6"/>
        <v>7460833.333333334</v>
      </c>
      <c r="P69" s="837">
        <f t="shared" si="7"/>
        <v>0</v>
      </c>
      <c r="Q69" s="518">
        <f t="shared" si="8"/>
        <v>7460833.333333334</v>
      </c>
      <c r="AA69" s="399"/>
    </row>
    <row r="70" spans="1:27">
      <c r="A70" s="920"/>
      <c r="B70" s="921"/>
      <c r="C70" s="922"/>
      <c r="D70" s="922"/>
      <c r="E70" s="922"/>
      <c r="F70" s="923"/>
      <c r="M70" s="516">
        <v>34</v>
      </c>
      <c r="N70" s="517"/>
      <c r="O70" s="517"/>
      <c r="P70" s="837">
        <f>'Cidade Jardim III'!W11-SUM('EVTE - Projetado'!N42:O69)</f>
        <v>30437326.666666627</v>
      </c>
      <c r="Q70" s="518">
        <f t="shared" si="8"/>
        <v>30437326.666666627</v>
      </c>
      <c r="AA70" s="399"/>
    </row>
    <row r="71" spans="1:27">
      <c r="A71" s="920"/>
      <c r="B71" s="921"/>
      <c r="C71" s="922"/>
      <c r="D71" s="922"/>
      <c r="E71" s="922"/>
      <c r="F71" s="923"/>
      <c r="M71" s="516">
        <v>35</v>
      </c>
      <c r="N71" s="517"/>
      <c r="O71" s="517"/>
      <c r="P71" s="837">
        <f t="shared" si="7"/>
        <v>0</v>
      </c>
      <c r="Q71" s="518">
        <f t="shared" si="8"/>
        <v>0</v>
      </c>
      <c r="AA71" s="399"/>
    </row>
    <row r="72" spans="1:27">
      <c r="A72" s="920"/>
      <c r="B72" s="921"/>
      <c r="C72" s="922"/>
      <c r="D72" s="922"/>
      <c r="E72" s="922"/>
      <c r="F72" s="923"/>
      <c r="M72" s="516">
        <v>36</v>
      </c>
      <c r="N72" s="517"/>
      <c r="O72" s="517"/>
      <c r="P72" s="837">
        <f t="shared" si="7"/>
        <v>0</v>
      </c>
      <c r="Q72" s="518">
        <f t="shared" si="8"/>
        <v>0</v>
      </c>
      <c r="AA72" s="399"/>
    </row>
    <row r="73" spans="1:27">
      <c r="A73" s="920"/>
      <c r="B73" s="921"/>
      <c r="C73" s="922"/>
      <c r="D73" s="922"/>
      <c r="E73" s="922"/>
      <c r="F73" s="923"/>
      <c r="Q73" s="924"/>
      <c r="AA73" s="399"/>
    </row>
    <row r="74" spans="1:27">
      <c r="A74" s="920"/>
      <c r="B74" s="921"/>
      <c r="C74" s="922"/>
      <c r="D74" s="922"/>
      <c r="E74" s="922"/>
      <c r="F74" s="923"/>
      <c r="M74" s="569" t="s">
        <v>2</v>
      </c>
      <c r="N74" s="570">
        <f>SUM(N40:N72)</f>
        <v>73012500</v>
      </c>
      <c r="O74" s="570">
        <f>SUM(O37:O72)</f>
        <v>100278333.33333333</v>
      </c>
      <c r="P74" s="570">
        <f>SUM(P49:P72)</f>
        <v>30437326.666666627</v>
      </c>
      <c r="Q74" s="571">
        <f>ROUND(P74+O74+N74,2)</f>
        <v>203728160</v>
      </c>
      <c r="AA74" s="399"/>
    </row>
    <row r="75" spans="1:27">
      <c r="A75" s="920"/>
      <c r="B75" s="921"/>
      <c r="C75" s="922"/>
      <c r="D75" s="922"/>
      <c r="E75" s="922"/>
      <c r="F75" s="923"/>
      <c r="Q75" s="575" t="str">
        <f>IF(Q74='Cidade Jardim III'!W11,"OK","Verificar Cronograma")</f>
        <v>OK</v>
      </c>
      <c r="AA75" s="399"/>
    </row>
    <row r="76" spans="1:27" ht="13" thickBot="1">
      <c r="A76" s="576"/>
      <c r="B76" s="577" t="s">
        <v>514</v>
      </c>
      <c r="C76" s="536"/>
      <c r="D76" s="536"/>
      <c r="E76" s="536"/>
      <c r="F76" s="568"/>
      <c r="AA76" s="399">
        <f>AA64+0.25%</f>
        <v>0.15250000000000008</v>
      </c>
    </row>
    <row r="77" spans="1:27" ht="4.25" customHeight="1" thickBot="1">
      <c r="A77" s="384" t="s">
        <v>515</v>
      </c>
      <c r="F77" s="501"/>
      <c r="I77" s="517"/>
      <c r="J77" s="517"/>
      <c r="K77" s="517"/>
      <c r="L77" s="517"/>
      <c r="M77" s="517"/>
      <c r="N77" s="517"/>
      <c r="O77" s="517"/>
      <c r="P77" s="517"/>
      <c r="Q77" s="517"/>
      <c r="AA77" s="399">
        <f t="shared" si="1"/>
        <v>0.15500000000000008</v>
      </c>
    </row>
    <row r="78" spans="1:27" ht="13" thickBot="1">
      <c r="A78" s="578" t="s">
        <v>516</v>
      </c>
      <c r="C78" s="579">
        <v>1652.8925619834711</v>
      </c>
      <c r="D78" s="384" t="s">
        <v>517</v>
      </c>
      <c r="F78" s="580">
        <v>5.05</v>
      </c>
      <c r="AA78" s="399">
        <f t="shared" si="1"/>
        <v>0.15750000000000008</v>
      </c>
    </row>
    <row r="79" spans="1:27" ht="13" thickBot="1">
      <c r="A79" s="578" t="s">
        <v>518</v>
      </c>
      <c r="C79" s="581">
        <v>25000</v>
      </c>
      <c r="D79" s="384"/>
      <c r="F79" s="582"/>
      <c r="I79" s="385" t="s">
        <v>519</v>
      </c>
      <c r="L79" s="583"/>
      <c r="M79" s="385" t="s">
        <v>520</v>
      </c>
      <c r="AA79" s="399">
        <f t="shared" si="1"/>
        <v>0.16000000000000009</v>
      </c>
    </row>
    <row r="80" spans="1:27" ht="13" thickBot="1">
      <c r="A80" s="584" t="s">
        <v>521</v>
      </c>
      <c r="B80" s="585"/>
      <c r="C80" s="581">
        <v>27500</v>
      </c>
      <c r="F80" s="501"/>
      <c r="L80" s="583"/>
      <c r="O80" s="385" t="s">
        <v>522</v>
      </c>
      <c r="AA80" s="399">
        <f t="shared" si="1"/>
        <v>0.16250000000000009</v>
      </c>
    </row>
    <row r="81" spans="1:27">
      <c r="A81" s="578" t="s">
        <v>523</v>
      </c>
      <c r="F81" s="501"/>
      <c r="I81" s="586" t="s">
        <v>833</v>
      </c>
      <c r="J81" s="587" t="s">
        <v>524</v>
      </c>
      <c r="K81" s="588" t="s">
        <v>525</v>
      </c>
      <c r="L81" s="583"/>
      <c r="M81" s="497" t="s">
        <v>526</v>
      </c>
      <c r="N81" s="589">
        <v>0.14000000000000001</v>
      </c>
      <c r="O81" s="590" t="s">
        <v>390</v>
      </c>
      <c r="AA81" s="399">
        <f t="shared" si="1"/>
        <v>0.16500000000000009</v>
      </c>
    </row>
    <row r="82" spans="1:27">
      <c r="A82" s="591"/>
      <c r="F82" s="501"/>
      <c r="J82" s="587"/>
      <c r="L82" s="583"/>
      <c r="M82" s="497" t="s">
        <v>527</v>
      </c>
      <c r="N82" s="589">
        <v>0.16</v>
      </c>
      <c r="O82" s="433" t="s">
        <v>393</v>
      </c>
      <c r="AA82" s="399">
        <f t="shared" si="1"/>
        <v>0.16750000000000009</v>
      </c>
    </row>
    <row r="83" spans="1:27">
      <c r="F83" s="501"/>
      <c r="I83" s="465">
        <v>0</v>
      </c>
      <c r="J83" s="592">
        <f>-44200000-2890720</f>
        <v>-47090720</v>
      </c>
      <c r="L83" s="583"/>
      <c r="M83" s="497" t="s">
        <v>528</v>
      </c>
      <c r="N83" s="593">
        <v>25</v>
      </c>
      <c r="AA83" s="399">
        <f t="shared" si="1"/>
        <v>0.1700000000000001</v>
      </c>
    </row>
    <row r="84" spans="1:27">
      <c r="A84" s="591"/>
      <c r="F84" s="501"/>
      <c r="I84" s="465">
        <v>2022</v>
      </c>
      <c r="J84" s="594">
        <f>Inputs!I20</f>
        <v>-47095462.050000012</v>
      </c>
      <c r="K84" s="925"/>
      <c r="L84" s="596"/>
      <c r="M84" s="385" t="s">
        <v>529</v>
      </c>
      <c r="N84" s="597">
        <f>N90/N83</f>
        <v>1.1866666666666666E-2</v>
      </c>
      <c r="AA84" s="399">
        <f t="shared" si="1"/>
        <v>0.1725000000000001</v>
      </c>
    </row>
    <row r="85" spans="1:27">
      <c r="A85" s="591"/>
      <c r="F85" s="501"/>
      <c r="I85" s="465">
        <v>2023</v>
      </c>
      <c r="J85" s="594">
        <f>Inputs!J20</f>
        <v>41277571.230705187</v>
      </c>
      <c r="K85" s="925"/>
      <c r="L85" s="596"/>
      <c r="AA85" s="399">
        <f t="shared" si="1"/>
        <v>0.1750000000000001</v>
      </c>
    </row>
    <row r="86" spans="1:27">
      <c r="A86" s="591"/>
      <c r="F86" s="501"/>
      <c r="I86" s="465">
        <v>2024</v>
      </c>
      <c r="J86" s="594">
        <f>Inputs!K20</f>
        <v>-1103448.571170242</v>
      </c>
      <c r="K86" s="925"/>
      <c r="L86" s="596"/>
      <c r="AA86" s="399">
        <f t="shared" ref="AA86:AA149" si="9">AA85+0.25%</f>
        <v>0.1775000000000001</v>
      </c>
    </row>
    <row r="87" spans="1:27">
      <c r="A87" s="591"/>
      <c r="F87" s="501"/>
      <c r="I87" s="465">
        <v>2025</v>
      </c>
      <c r="J87" s="594">
        <f>Inputs!L20</f>
        <v>78116610.727131695</v>
      </c>
      <c r="K87" s="925"/>
      <c r="L87" s="596"/>
      <c r="M87" s="598" t="s">
        <v>530</v>
      </c>
      <c r="N87" s="599" t="s">
        <v>531</v>
      </c>
      <c r="O87" s="600"/>
      <c r="P87" s="600"/>
      <c r="Q87" s="600"/>
      <c r="R87" s="601"/>
      <c r="AA87" s="399">
        <f t="shared" si="9"/>
        <v>0.1800000000000001</v>
      </c>
    </row>
    <row r="88" spans="1:27">
      <c r="A88" s="591"/>
      <c r="F88" s="501"/>
      <c r="I88" s="465"/>
      <c r="J88" s="594"/>
      <c r="K88" s="595"/>
      <c r="L88" s="596"/>
      <c r="M88" s="602" t="s">
        <v>532</v>
      </c>
      <c r="N88" s="603">
        <f ca="1">'FlCx_Invest_Mutuo - PROJETADO'!C52</f>
        <v>0.19558667185709458</v>
      </c>
      <c r="O88" s="604"/>
      <c r="P88" s="604"/>
      <c r="Q88" s="605"/>
      <c r="R88" s="606"/>
      <c r="AA88" s="399">
        <f t="shared" si="9"/>
        <v>0.18250000000000011</v>
      </c>
    </row>
    <row r="89" spans="1:27">
      <c r="A89" s="591"/>
      <c r="F89" s="501"/>
      <c r="I89" s="465"/>
      <c r="J89" s="594"/>
      <c r="K89" s="595"/>
      <c r="L89" s="596"/>
      <c r="M89" s="602" t="s">
        <v>533</v>
      </c>
      <c r="N89" s="607">
        <f>'FlCx_Invest_Mutuo - PROJETADO'!C53</f>
        <v>-5353289.0465249997</v>
      </c>
      <c r="AA89" s="399">
        <f t="shared" si="9"/>
        <v>0.18500000000000011</v>
      </c>
    </row>
    <row r="90" spans="1:27">
      <c r="A90" s="591"/>
      <c r="F90" s="501"/>
      <c r="I90" s="465"/>
      <c r="J90" s="594"/>
      <c r="K90" s="595"/>
      <c r="L90" s="596"/>
      <c r="M90" s="602" t="s">
        <v>534</v>
      </c>
      <c r="N90" s="608">
        <f>'FlCx_Invest_Mutuo - PROJETADO'!C54</f>
        <v>0.29666666666666663</v>
      </c>
      <c r="AA90" s="399">
        <f t="shared" si="9"/>
        <v>0.18750000000000011</v>
      </c>
    </row>
    <row r="91" spans="1:27" ht="13" thickBot="1">
      <c r="A91" s="576"/>
      <c r="B91" s="536"/>
      <c r="C91" s="536"/>
      <c r="D91" s="536"/>
      <c r="E91" s="536"/>
      <c r="F91" s="568"/>
      <c r="I91" s="465"/>
      <c r="J91" s="594"/>
      <c r="K91" s="595"/>
      <c r="L91" s="596"/>
      <c r="M91" s="602" t="s">
        <v>535</v>
      </c>
      <c r="N91" s="607">
        <f ca="1">'FlCx_Invest_Mutuo - PROJETADO'!C55</f>
        <v>51128228.243008815</v>
      </c>
      <c r="AA91" s="399">
        <f t="shared" si="9"/>
        <v>0.19000000000000011</v>
      </c>
    </row>
    <row r="92" spans="1:27">
      <c r="A92" s="572" t="s">
        <v>536</v>
      </c>
      <c r="B92" s="503"/>
      <c r="C92" s="503"/>
      <c r="D92" s="503"/>
      <c r="E92" s="503"/>
      <c r="F92" s="504"/>
      <c r="H92" s="455"/>
      <c r="I92" s="465"/>
      <c r="J92" s="594"/>
      <c r="K92" s="595"/>
      <c r="L92" s="596"/>
      <c r="R92" s="455"/>
      <c r="AA92" s="399">
        <f t="shared" si="9"/>
        <v>0.19250000000000012</v>
      </c>
    </row>
    <row r="93" spans="1:27">
      <c r="A93" s="591"/>
      <c r="F93" s="501"/>
      <c r="I93" s="465"/>
      <c r="J93" s="594"/>
      <c r="K93" s="595"/>
      <c r="L93" s="596"/>
      <c r="M93" s="609" t="s">
        <v>530</v>
      </c>
      <c r="N93" s="610" t="s">
        <v>537</v>
      </c>
      <c r="AA93" s="399">
        <f t="shared" si="9"/>
        <v>0.19500000000000012</v>
      </c>
    </row>
    <row r="94" spans="1:27">
      <c r="A94" s="591"/>
      <c r="F94" s="501"/>
      <c r="I94" s="465"/>
      <c r="J94" s="594"/>
      <c r="K94" s="595"/>
      <c r="L94" s="596"/>
      <c r="M94" s="602" t="s">
        <v>538</v>
      </c>
      <c r="N94" s="611">
        <f>15000000/10</f>
        <v>1500000</v>
      </c>
      <c r="AA94" s="399">
        <f t="shared" si="9"/>
        <v>0.19750000000000012</v>
      </c>
    </row>
    <row r="95" spans="1:27">
      <c r="A95" s="591"/>
      <c r="F95" s="501"/>
      <c r="H95" s="491"/>
      <c r="I95" s="465"/>
      <c r="J95" s="594"/>
      <c r="K95" s="595"/>
      <c r="L95" s="596"/>
      <c r="M95" s="602" t="s">
        <v>539</v>
      </c>
      <c r="N95" s="612">
        <f ca="1">N94/N91</f>
        <v>2.9338000778564185E-2</v>
      </c>
      <c r="R95" s="491"/>
      <c r="AA95" s="399">
        <f t="shared" si="9"/>
        <v>0.20000000000000012</v>
      </c>
    </row>
    <row r="96" spans="1:27">
      <c r="A96" s="591"/>
      <c r="F96" s="501"/>
      <c r="I96" s="465"/>
      <c r="J96" s="613"/>
      <c r="L96" s="583"/>
      <c r="M96" s="602" t="s">
        <v>540</v>
      </c>
      <c r="N96" s="611">
        <f>N94*4</f>
        <v>6000000</v>
      </c>
      <c r="AA96" s="399">
        <f t="shared" si="9"/>
        <v>0.20250000000000012</v>
      </c>
    </row>
    <row r="97" spans="1:27">
      <c r="A97" s="591"/>
      <c r="F97" s="501"/>
      <c r="H97" s="491"/>
      <c r="I97" s="465"/>
      <c r="J97" s="614">
        <f>SUM(J83:J95)</f>
        <v>24104551.336666629</v>
      </c>
      <c r="K97" s="575" t="s">
        <v>834</v>
      </c>
      <c r="L97" s="583"/>
      <c r="M97" s="602" t="s">
        <v>541</v>
      </c>
      <c r="N97" s="615">
        <f ca="1">N96/N91</f>
        <v>0.11735200311425674</v>
      </c>
      <c r="R97" s="491"/>
      <c r="AA97" s="399">
        <f t="shared" si="9"/>
        <v>0.20500000000000013</v>
      </c>
    </row>
    <row r="98" spans="1:27">
      <c r="A98" s="591"/>
      <c r="F98" s="501"/>
      <c r="I98" s="465"/>
      <c r="J98" s="575" t="s">
        <v>834</v>
      </c>
      <c r="L98" s="583"/>
      <c r="AA98" s="399">
        <f t="shared" si="9"/>
        <v>0.20750000000000013</v>
      </c>
    </row>
    <row r="99" spans="1:27">
      <c r="A99" s="591"/>
      <c r="F99" s="501"/>
      <c r="H99" s="439"/>
      <c r="I99" s="465"/>
      <c r="L99" s="583"/>
      <c r="M99" s="385" t="s">
        <v>542</v>
      </c>
      <c r="R99" s="439"/>
      <c r="AA99" s="399">
        <f t="shared" si="9"/>
        <v>0.21000000000000013</v>
      </c>
    </row>
    <row r="100" spans="1:27">
      <c r="A100" s="591"/>
      <c r="F100" s="501"/>
      <c r="I100" s="616" t="s">
        <v>543</v>
      </c>
      <c r="J100" s="688">
        <v>0.1275</v>
      </c>
      <c r="L100" s="583"/>
      <c r="AA100" s="399">
        <f t="shared" si="9"/>
        <v>0.21250000000000013</v>
      </c>
    </row>
    <row r="101" spans="1:27">
      <c r="A101" s="591"/>
      <c r="F101" s="501"/>
      <c r="I101" s="497"/>
      <c r="L101" s="583"/>
      <c r="M101" s="609" t="s">
        <v>544</v>
      </c>
      <c r="N101" s="617" t="s">
        <v>246</v>
      </c>
      <c r="AA101" s="399">
        <f t="shared" si="9"/>
        <v>0.21500000000000014</v>
      </c>
    </row>
    <row r="102" spans="1:27">
      <c r="A102" s="591"/>
      <c r="F102" s="501"/>
      <c r="H102" s="618">
        <f>IF(K102="Empreendimento Viável",1,0)</f>
        <v>1</v>
      </c>
      <c r="I102" s="616" t="s">
        <v>96</v>
      </c>
      <c r="J102" s="619">
        <f>Inputs!I23</f>
        <v>0.95816833616164176</v>
      </c>
      <c r="K102" s="385" t="str">
        <f>IF(J102&gt;J100,"Empreendimento Viável","Inviável")</f>
        <v>Empreendimento Viável</v>
      </c>
      <c r="L102" s="583"/>
      <c r="M102" s="602" t="s">
        <v>545</v>
      </c>
      <c r="N102" s="620">
        <f>SUM('FlCx_Invest_Mutuo - PROJETADO'!D12:F20)</f>
        <v>3505050.0000000005</v>
      </c>
      <c r="AA102" s="399">
        <f t="shared" si="9"/>
        <v>0.21750000000000014</v>
      </c>
    </row>
    <row r="103" spans="1:27">
      <c r="A103" s="591"/>
      <c r="F103" s="501"/>
      <c r="H103" s="618"/>
      <c r="I103" s="497"/>
      <c r="L103" s="583"/>
      <c r="M103" s="602" t="s">
        <v>546</v>
      </c>
      <c r="N103" s="620">
        <f>N89</f>
        <v>-5353289.0465249997</v>
      </c>
      <c r="AA103" s="399">
        <f t="shared" si="9"/>
        <v>0.22000000000000014</v>
      </c>
    </row>
    <row r="104" spans="1:27">
      <c r="A104" s="591"/>
      <c r="F104" s="501"/>
      <c r="H104" s="618">
        <f>IF(K104="VPL Positivo - Viável",1,0)</f>
        <v>1</v>
      </c>
      <c r="I104" s="616" t="s">
        <v>95</v>
      </c>
      <c r="J104" s="621">
        <f>NPV(J100,Inputs!I20,Inputs!J20,Inputs!K20,Inputs!L20)</f>
        <v>38266973.040623516</v>
      </c>
      <c r="K104" s="385" t="str">
        <f>IF(J104&gt;0,"VPL Positivo - Viável","VPL Negativo - Inviável")</f>
        <v>VPL Positivo - Viável</v>
      </c>
      <c r="L104" s="583"/>
      <c r="M104" s="602" t="s">
        <v>547</v>
      </c>
      <c r="N104" s="620">
        <f>SUM('FlCx_Invest_Mutuo - PROJETADO'!D11:I23)</f>
        <v>14807454.403888887</v>
      </c>
      <c r="AA104" s="399">
        <f t="shared" si="9"/>
        <v>0.22250000000000014</v>
      </c>
    </row>
    <row r="105" spans="1:27">
      <c r="A105" s="591"/>
      <c r="F105" s="501"/>
      <c r="H105" s="618"/>
      <c r="I105" s="497"/>
      <c r="J105" s="622"/>
      <c r="L105" s="583"/>
      <c r="M105" s="602"/>
      <c r="N105" s="607"/>
      <c r="AA105" s="399">
        <f t="shared" si="9"/>
        <v>0.22500000000000014</v>
      </c>
    </row>
    <row r="106" spans="1:27">
      <c r="A106" s="591"/>
      <c r="F106" s="501"/>
      <c r="H106" s="618">
        <f>IF(K106="Lucro",1,0)</f>
        <v>1</v>
      </c>
      <c r="I106" s="616" t="s">
        <v>548</v>
      </c>
      <c r="J106" s="623">
        <f>'FlCx_Invest_Mutuo - PROJETADO'!AN29</f>
        <v>116795903.51095462</v>
      </c>
      <c r="K106" s="385" t="str">
        <f>IF(J106&gt;0,"Lucro","Prejuízo")</f>
        <v>Lucro</v>
      </c>
      <c r="L106" s="583"/>
      <c r="R106" s="398"/>
      <c r="AA106" s="399">
        <f t="shared" si="9"/>
        <v>0.22750000000000015</v>
      </c>
    </row>
    <row r="107" spans="1:27">
      <c r="A107" s="591"/>
      <c r="F107" s="501"/>
      <c r="H107" s="439"/>
      <c r="J107" s="624"/>
      <c r="L107" s="583"/>
      <c r="M107" s="385" t="s">
        <v>699</v>
      </c>
      <c r="R107" s="439"/>
      <c r="AA107" s="399">
        <f t="shared" si="9"/>
        <v>0.23000000000000015</v>
      </c>
    </row>
    <row r="108" spans="1:27">
      <c r="A108" s="591"/>
      <c r="F108" s="501"/>
      <c r="H108" s="625">
        <f>H106+H104+H102</f>
        <v>3</v>
      </c>
      <c r="I108" s="616" t="s">
        <v>550</v>
      </c>
      <c r="J108" s="626" t="str">
        <f>IF(H108=3,"Aprovado","Reprovado")</f>
        <v>Aprovado</v>
      </c>
      <c r="L108" s="583"/>
      <c r="M108" s="609" t="s">
        <v>551</v>
      </c>
      <c r="N108" s="617" t="s">
        <v>53</v>
      </c>
      <c r="O108" s="617" t="s">
        <v>246</v>
      </c>
      <c r="R108" s="439"/>
      <c r="AA108" s="399">
        <f t="shared" si="9"/>
        <v>0.23250000000000015</v>
      </c>
    </row>
    <row r="109" spans="1:27">
      <c r="A109" s="591"/>
      <c r="F109" s="501"/>
      <c r="H109" s="439"/>
      <c r="J109" s="627"/>
      <c r="L109" s="583"/>
      <c r="M109" s="602" t="s">
        <v>552</v>
      </c>
      <c r="N109" s="628">
        <v>0.16750000000000009</v>
      </c>
      <c r="O109" s="620">
        <f ca="1">'Cidade Jardim III'!O62*1000</f>
        <v>51128228.243008815</v>
      </c>
      <c r="R109" s="439"/>
      <c r="AA109" s="399">
        <f t="shared" si="9"/>
        <v>0.23500000000000015</v>
      </c>
    </row>
    <row r="110" spans="1:27" ht="13" thickBot="1">
      <c r="A110" s="591"/>
      <c r="F110" s="501"/>
      <c r="L110" s="583"/>
      <c r="M110" s="602" t="s">
        <v>553</v>
      </c>
      <c r="N110" s="628">
        <v>0.4000000000000003</v>
      </c>
      <c r="O110" s="620">
        <f ca="1">N110*O109</f>
        <v>20451291.297203541</v>
      </c>
      <c r="AA110" s="399">
        <f t="shared" si="9"/>
        <v>0.23750000000000016</v>
      </c>
    </row>
    <row r="111" spans="1:27">
      <c r="A111" s="591"/>
      <c r="F111" s="501"/>
      <c r="I111" s="629" t="s">
        <v>554</v>
      </c>
      <c r="J111" s="630"/>
      <c r="L111" s="583"/>
      <c r="M111" s="602" t="s">
        <v>129</v>
      </c>
      <c r="N111" s="628">
        <v>0.16000000000000009</v>
      </c>
      <c r="O111" s="620">
        <f ca="1">N111*O109</f>
        <v>8180516.518881415</v>
      </c>
      <c r="AA111" s="399">
        <f t="shared" si="9"/>
        <v>0.24000000000000016</v>
      </c>
    </row>
    <row r="112" spans="1:27">
      <c r="A112" s="591"/>
      <c r="F112" s="501"/>
      <c r="I112" s="631" t="s">
        <v>555</v>
      </c>
      <c r="J112" s="632"/>
      <c r="L112" s="583"/>
      <c r="M112" s="633" t="s">
        <v>556</v>
      </c>
      <c r="N112" s="634" t="s">
        <v>701</v>
      </c>
      <c r="O112" s="634">
        <f ca="1">O109-O110-O111</f>
        <v>22496420.42692386</v>
      </c>
      <c r="AA112" s="399">
        <f t="shared" si="9"/>
        <v>0.24250000000000016</v>
      </c>
    </row>
    <row r="113" spans="1:27" ht="13" thickBot="1">
      <c r="A113" s="591"/>
      <c r="F113" s="501"/>
      <c r="I113" s="635" t="s">
        <v>558</v>
      </c>
      <c r="J113" s="636"/>
      <c r="L113" s="583"/>
      <c r="M113" s="633" t="s">
        <v>556</v>
      </c>
      <c r="N113" s="634" t="s">
        <v>123</v>
      </c>
      <c r="O113" s="634">
        <f ca="1">O112/25*12</f>
        <v>10798281.804923452</v>
      </c>
      <c r="AA113" s="399">
        <f t="shared" si="9"/>
        <v>0.24500000000000016</v>
      </c>
    </row>
    <row r="114" spans="1:27">
      <c r="A114" s="591"/>
      <c r="F114" s="501"/>
      <c r="L114" s="583"/>
      <c r="M114" s="633" t="s">
        <v>556</v>
      </c>
      <c r="N114" s="634" t="s">
        <v>122</v>
      </c>
      <c r="O114" s="634">
        <f ca="1">O113/12</f>
        <v>899856.81707695441</v>
      </c>
      <c r="AA114" s="399">
        <f t="shared" si="9"/>
        <v>0.24750000000000016</v>
      </c>
    </row>
    <row r="115" spans="1:27">
      <c r="A115" s="591"/>
      <c r="F115" s="501"/>
      <c r="AA115" s="399">
        <f t="shared" si="9"/>
        <v>0.25000000000000017</v>
      </c>
    </row>
    <row r="116" spans="1:27" ht="6" customHeight="1">
      <c r="A116" s="591"/>
      <c r="F116" s="501"/>
      <c r="AA116" s="399">
        <f t="shared" si="9"/>
        <v>0.25250000000000017</v>
      </c>
    </row>
    <row r="117" spans="1:27" ht="4.25" customHeight="1">
      <c r="A117" s="384"/>
      <c r="F117" s="501"/>
      <c r="I117" s="517"/>
      <c r="J117" s="517"/>
      <c r="K117" s="517"/>
      <c r="L117" s="517"/>
      <c r="M117" s="517"/>
      <c r="N117" s="517"/>
      <c r="O117" s="517"/>
      <c r="P117" s="517"/>
      <c r="Q117" s="517"/>
      <c r="AA117" s="399">
        <f t="shared" si="9"/>
        <v>0.25500000000000017</v>
      </c>
    </row>
    <row r="118" spans="1:27">
      <c r="A118" s="591"/>
      <c r="F118" s="501"/>
      <c r="AA118" s="399">
        <f t="shared" si="9"/>
        <v>0.25750000000000017</v>
      </c>
    </row>
    <row r="119" spans="1:27">
      <c r="A119" s="591"/>
      <c r="F119" s="501"/>
      <c r="AA119" s="399">
        <f t="shared" si="9"/>
        <v>0.26000000000000018</v>
      </c>
    </row>
    <row r="120" spans="1:27">
      <c r="A120" s="591"/>
      <c r="F120" s="501"/>
      <c r="AA120" s="399">
        <f t="shared" si="9"/>
        <v>0.26250000000000018</v>
      </c>
    </row>
    <row r="121" spans="1:27">
      <c r="A121" s="591"/>
      <c r="F121" s="501"/>
      <c r="J121" s="637" t="s">
        <v>559</v>
      </c>
      <c r="K121" s="638">
        <v>1578920.78</v>
      </c>
      <c r="AA121" s="399">
        <f t="shared" si="9"/>
        <v>0.26500000000000018</v>
      </c>
    </row>
    <row r="122" spans="1:27">
      <c r="A122" s="591"/>
      <c r="F122" s="501"/>
      <c r="K122" s="497" t="s">
        <v>700</v>
      </c>
      <c r="AA122" s="399">
        <f t="shared" si="9"/>
        <v>0.26750000000000018</v>
      </c>
    </row>
    <row r="123" spans="1:27">
      <c r="A123" s="591"/>
      <c r="F123" s="501"/>
      <c r="AA123" s="399">
        <f t="shared" si="9"/>
        <v>0.27000000000000018</v>
      </c>
    </row>
    <row r="124" spans="1:27">
      <c r="A124" s="591"/>
      <c r="F124" s="501"/>
      <c r="G124" s="455">
        <v>12939.10880979192</v>
      </c>
      <c r="AA124" s="399">
        <f t="shared" si="9"/>
        <v>0.27250000000000019</v>
      </c>
    </row>
    <row r="125" spans="1:27">
      <c r="A125" s="591"/>
      <c r="F125" s="501"/>
      <c r="K125" s="439"/>
      <c r="AA125" s="399">
        <f t="shared" si="9"/>
        <v>0.27500000000000019</v>
      </c>
    </row>
    <row r="126" spans="1:27">
      <c r="A126" s="591"/>
      <c r="F126" s="501"/>
      <c r="G126" s="385" t="s">
        <v>561</v>
      </c>
      <c r="K126" s="399"/>
      <c r="AA126" s="399">
        <f t="shared" si="9"/>
        <v>0.27750000000000019</v>
      </c>
    </row>
    <row r="127" spans="1:27">
      <c r="A127" s="591"/>
      <c r="F127" s="501"/>
      <c r="G127" s="491">
        <v>13630731.84</v>
      </c>
      <c r="AA127" s="399">
        <f t="shared" si="9"/>
        <v>0.28000000000000019</v>
      </c>
    </row>
    <row r="128" spans="1:27">
      <c r="A128" s="591"/>
      <c r="F128" s="501"/>
      <c r="K128" s="639"/>
      <c r="AA128" s="399">
        <f t="shared" si="9"/>
        <v>0.2825000000000002</v>
      </c>
    </row>
    <row r="129" spans="1:27">
      <c r="A129" s="591"/>
      <c r="F129" s="501"/>
      <c r="G129" s="491">
        <v>13630731.84</v>
      </c>
      <c r="AA129" s="399">
        <f t="shared" si="9"/>
        <v>0.2850000000000002</v>
      </c>
    </row>
    <row r="130" spans="1:27">
      <c r="A130" s="591"/>
      <c r="F130" s="501"/>
      <c r="AA130" s="399">
        <f t="shared" si="9"/>
        <v>0.2875000000000002</v>
      </c>
    </row>
    <row r="131" spans="1:27">
      <c r="A131" s="591"/>
      <c r="F131" s="501"/>
      <c r="G131" s="439">
        <v>3850000</v>
      </c>
      <c r="AA131" s="399">
        <f t="shared" si="9"/>
        <v>0.2900000000000002</v>
      </c>
    </row>
    <row r="132" spans="1:27">
      <c r="A132" s="591"/>
      <c r="F132" s="501"/>
      <c r="AA132" s="399">
        <f t="shared" si="9"/>
        <v>0.2925000000000002</v>
      </c>
    </row>
    <row r="133" spans="1:27" ht="13" thickBot="1">
      <c r="A133" s="576"/>
      <c r="B133" s="536"/>
      <c r="C133" s="536"/>
      <c r="D133" s="536"/>
      <c r="E133" s="536"/>
      <c r="F133" s="568"/>
      <c r="AA133" s="399">
        <f t="shared" si="9"/>
        <v>0.29500000000000021</v>
      </c>
    </row>
    <row r="134" spans="1:27">
      <c r="AA134" s="399">
        <f t="shared" si="9"/>
        <v>0.29750000000000021</v>
      </c>
    </row>
    <row r="135" spans="1:27">
      <c r="AA135" s="399">
        <f t="shared" si="9"/>
        <v>0.30000000000000021</v>
      </c>
    </row>
    <row r="136" spans="1:27">
      <c r="AA136" s="399">
        <f t="shared" si="9"/>
        <v>0.30250000000000021</v>
      </c>
    </row>
    <row r="137" spans="1:27">
      <c r="AA137" s="399">
        <f t="shared" si="9"/>
        <v>0.30500000000000022</v>
      </c>
    </row>
    <row r="138" spans="1:27">
      <c r="AA138" s="399">
        <f t="shared" si="9"/>
        <v>0.30750000000000022</v>
      </c>
    </row>
    <row r="139" spans="1:27">
      <c r="AA139" s="399">
        <f t="shared" si="9"/>
        <v>0.31000000000000022</v>
      </c>
    </row>
    <row r="140" spans="1:27">
      <c r="AA140" s="399">
        <f t="shared" si="9"/>
        <v>0.31250000000000022</v>
      </c>
    </row>
    <row r="141" spans="1:27">
      <c r="AA141" s="399">
        <f t="shared" si="9"/>
        <v>0.31500000000000022</v>
      </c>
    </row>
    <row r="142" spans="1:27">
      <c r="AA142" s="399">
        <f t="shared" si="9"/>
        <v>0.31750000000000023</v>
      </c>
    </row>
    <row r="143" spans="1:27">
      <c r="AA143" s="399">
        <f t="shared" si="9"/>
        <v>0.32000000000000023</v>
      </c>
    </row>
    <row r="144" spans="1:27">
      <c r="AA144" s="399">
        <f t="shared" si="9"/>
        <v>0.32250000000000023</v>
      </c>
    </row>
    <row r="145" spans="27:27">
      <c r="AA145" s="399">
        <f t="shared" si="9"/>
        <v>0.32500000000000023</v>
      </c>
    </row>
    <row r="146" spans="27:27">
      <c r="AA146" s="399">
        <f t="shared" si="9"/>
        <v>0.32750000000000024</v>
      </c>
    </row>
    <row r="147" spans="27:27">
      <c r="AA147" s="399">
        <f t="shared" si="9"/>
        <v>0.33000000000000024</v>
      </c>
    </row>
    <row r="148" spans="27:27">
      <c r="AA148" s="399">
        <f t="shared" si="9"/>
        <v>0.33250000000000024</v>
      </c>
    </row>
    <row r="149" spans="27:27">
      <c r="AA149" s="399">
        <f t="shared" si="9"/>
        <v>0.33500000000000024</v>
      </c>
    </row>
    <row r="150" spans="27:27">
      <c r="AA150" s="399">
        <f t="shared" ref="AA150:AA213" si="10">AA149+0.25%</f>
        <v>0.33750000000000024</v>
      </c>
    </row>
    <row r="151" spans="27:27">
      <c r="AA151" s="399">
        <f t="shared" si="10"/>
        <v>0.34000000000000025</v>
      </c>
    </row>
    <row r="152" spans="27:27">
      <c r="AA152" s="399">
        <f t="shared" si="10"/>
        <v>0.34250000000000025</v>
      </c>
    </row>
    <row r="153" spans="27:27">
      <c r="AA153" s="399">
        <f t="shared" si="10"/>
        <v>0.34500000000000025</v>
      </c>
    </row>
    <row r="154" spans="27:27">
      <c r="AA154" s="399">
        <f t="shared" si="10"/>
        <v>0.34750000000000025</v>
      </c>
    </row>
    <row r="155" spans="27:27">
      <c r="AA155" s="399">
        <f t="shared" si="10"/>
        <v>0.35000000000000026</v>
      </c>
    </row>
    <row r="156" spans="27:27">
      <c r="AA156" s="399">
        <f t="shared" si="10"/>
        <v>0.35250000000000026</v>
      </c>
    </row>
    <row r="157" spans="27:27">
      <c r="AA157" s="399">
        <f t="shared" si="10"/>
        <v>0.35500000000000026</v>
      </c>
    </row>
    <row r="158" spans="27:27">
      <c r="AA158" s="399">
        <f t="shared" si="10"/>
        <v>0.35750000000000026</v>
      </c>
    </row>
    <row r="159" spans="27:27">
      <c r="AA159" s="399">
        <f t="shared" si="10"/>
        <v>0.36000000000000026</v>
      </c>
    </row>
    <row r="160" spans="27:27">
      <c r="AA160" s="399">
        <f t="shared" si="10"/>
        <v>0.36250000000000027</v>
      </c>
    </row>
    <row r="161" spans="27:27">
      <c r="AA161" s="399">
        <f t="shared" si="10"/>
        <v>0.36500000000000027</v>
      </c>
    </row>
    <row r="162" spans="27:27">
      <c r="AA162" s="399">
        <f t="shared" si="10"/>
        <v>0.36750000000000027</v>
      </c>
    </row>
    <row r="163" spans="27:27">
      <c r="AA163" s="399">
        <f t="shared" si="10"/>
        <v>0.37000000000000027</v>
      </c>
    </row>
    <row r="164" spans="27:27">
      <c r="AA164" s="399">
        <f t="shared" si="10"/>
        <v>0.37250000000000028</v>
      </c>
    </row>
    <row r="165" spans="27:27">
      <c r="AA165" s="399">
        <f t="shared" si="10"/>
        <v>0.37500000000000028</v>
      </c>
    </row>
    <row r="166" spans="27:27">
      <c r="AA166" s="399">
        <f t="shared" si="10"/>
        <v>0.37750000000000028</v>
      </c>
    </row>
    <row r="167" spans="27:27">
      <c r="AA167" s="399">
        <f t="shared" si="10"/>
        <v>0.38000000000000028</v>
      </c>
    </row>
    <row r="168" spans="27:27">
      <c r="AA168" s="399">
        <f t="shared" si="10"/>
        <v>0.38250000000000028</v>
      </c>
    </row>
    <row r="169" spans="27:27">
      <c r="AA169" s="399">
        <f t="shared" si="10"/>
        <v>0.38500000000000029</v>
      </c>
    </row>
    <row r="170" spans="27:27">
      <c r="AA170" s="399">
        <f t="shared" si="10"/>
        <v>0.38750000000000029</v>
      </c>
    </row>
    <row r="171" spans="27:27">
      <c r="AA171" s="399">
        <f t="shared" si="10"/>
        <v>0.39000000000000029</v>
      </c>
    </row>
    <row r="172" spans="27:27">
      <c r="AA172" s="399">
        <f t="shared" si="10"/>
        <v>0.39250000000000029</v>
      </c>
    </row>
    <row r="173" spans="27:27">
      <c r="AA173" s="399">
        <f t="shared" si="10"/>
        <v>0.3950000000000003</v>
      </c>
    </row>
    <row r="174" spans="27:27">
      <c r="AA174" s="399">
        <f t="shared" si="10"/>
        <v>0.3975000000000003</v>
      </c>
    </row>
    <row r="175" spans="27:27">
      <c r="AA175" s="399">
        <f t="shared" si="10"/>
        <v>0.4000000000000003</v>
      </c>
    </row>
    <row r="176" spans="27:27">
      <c r="AA176" s="399">
        <f t="shared" si="10"/>
        <v>0.4025000000000003</v>
      </c>
    </row>
    <row r="177" spans="27:27">
      <c r="AA177" s="399">
        <f t="shared" si="10"/>
        <v>0.4050000000000003</v>
      </c>
    </row>
    <row r="178" spans="27:27">
      <c r="AA178" s="399">
        <f t="shared" si="10"/>
        <v>0.40750000000000031</v>
      </c>
    </row>
    <row r="179" spans="27:27">
      <c r="AA179" s="399">
        <f t="shared" si="10"/>
        <v>0.41000000000000031</v>
      </c>
    </row>
    <row r="180" spans="27:27">
      <c r="AA180" s="399">
        <f t="shared" si="10"/>
        <v>0.41250000000000031</v>
      </c>
    </row>
    <row r="181" spans="27:27">
      <c r="AA181" s="399">
        <f t="shared" si="10"/>
        <v>0.41500000000000031</v>
      </c>
    </row>
    <row r="182" spans="27:27">
      <c r="AA182" s="399">
        <f t="shared" si="10"/>
        <v>0.41750000000000032</v>
      </c>
    </row>
    <row r="183" spans="27:27">
      <c r="AA183" s="399">
        <f t="shared" si="10"/>
        <v>0.42000000000000032</v>
      </c>
    </row>
    <row r="184" spans="27:27">
      <c r="AA184" s="399">
        <f t="shared" si="10"/>
        <v>0.42250000000000032</v>
      </c>
    </row>
    <row r="185" spans="27:27">
      <c r="AA185" s="399">
        <f t="shared" si="10"/>
        <v>0.42500000000000032</v>
      </c>
    </row>
    <row r="186" spans="27:27">
      <c r="AA186" s="399">
        <f t="shared" si="10"/>
        <v>0.42750000000000032</v>
      </c>
    </row>
    <row r="187" spans="27:27">
      <c r="AA187" s="399">
        <f t="shared" si="10"/>
        <v>0.43000000000000033</v>
      </c>
    </row>
    <row r="188" spans="27:27">
      <c r="AA188" s="399">
        <f t="shared" si="10"/>
        <v>0.43250000000000033</v>
      </c>
    </row>
    <row r="189" spans="27:27">
      <c r="AA189" s="399">
        <f t="shared" si="10"/>
        <v>0.43500000000000033</v>
      </c>
    </row>
    <row r="190" spans="27:27">
      <c r="AA190" s="399">
        <f t="shared" si="10"/>
        <v>0.43750000000000033</v>
      </c>
    </row>
    <row r="191" spans="27:27">
      <c r="AA191" s="399">
        <f t="shared" si="10"/>
        <v>0.44000000000000034</v>
      </c>
    </row>
    <row r="192" spans="27:27">
      <c r="AA192" s="399">
        <f t="shared" si="10"/>
        <v>0.44250000000000034</v>
      </c>
    </row>
    <row r="193" spans="27:27">
      <c r="AA193" s="399">
        <f t="shared" si="10"/>
        <v>0.44500000000000034</v>
      </c>
    </row>
    <row r="194" spans="27:27">
      <c r="AA194" s="399">
        <f t="shared" si="10"/>
        <v>0.44750000000000034</v>
      </c>
    </row>
    <row r="195" spans="27:27">
      <c r="AA195" s="399">
        <f t="shared" si="10"/>
        <v>0.45000000000000034</v>
      </c>
    </row>
    <row r="196" spans="27:27">
      <c r="AA196" s="399">
        <f t="shared" si="10"/>
        <v>0.45250000000000035</v>
      </c>
    </row>
    <row r="197" spans="27:27">
      <c r="AA197" s="399">
        <f t="shared" si="10"/>
        <v>0.45500000000000035</v>
      </c>
    </row>
    <row r="198" spans="27:27">
      <c r="AA198" s="399">
        <f t="shared" si="10"/>
        <v>0.45750000000000035</v>
      </c>
    </row>
    <row r="199" spans="27:27">
      <c r="AA199" s="399">
        <f t="shared" si="10"/>
        <v>0.46000000000000035</v>
      </c>
    </row>
    <row r="200" spans="27:27">
      <c r="AA200" s="399">
        <f t="shared" si="10"/>
        <v>0.46250000000000036</v>
      </c>
    </row>
    <row r="201" spans="27:27">
      <c r="AA201" s="399">
        <f t="shared" si="10"/>
        <v>0.46500000000000036</v>
      </c>
    </row>
    <row r="202" spans="27:27">
      <c r="AA202" s="399">
        <f t="shared" si="10"/>
        <v>0.46750000000000036</v>
      </c>
    </row>
    <row r="203" spans="27:27">
      <c r="AA203" s="399">
        <f t="shared" si="10"/>
        <v>0.47000000000000036</v>
      </c>
    </row>
    <row r="204" spans="27:27">
      <c r="AA204" s="399">
        <f t="shared" si="10"/>
        <v>0.47250000000000036</v>
      </c>
    </row>
    <row r="205" spans="27:27">
      <c r="AA205" s="399">
        <f t="shared" si="10"/>
        <v>0.47500000000000037</v>
      </c>
    </row>
    <row r="206" spans="27:27">
      <c r="AA206" s="399">
        <f t="shared" si="10"/>
        <v>0.47750000000000037</v>
      </c>
    </row>
    <row r="207" spans="27:27">
      <c r="AA207" s="399">
        <f t="shared" si="10"/>
        <v>0.48000000000000037</v>
      </c>
    </row>
    <row r="208" spans="27:27">
      <c r="AA208" s="399">
        <f t="shared" si="10"/>
        <v>0.48250000000000037</v>
      </c>
    </row>
    <row r="209" spans="27:27">
      <c r="AA209" s="399">
        <f t="shared" si="10"/>
        <v>0.48500000000000038</v>
      </c>
    </row>
    <row r="210" spans="27:27">
      <c r="AA210" s="399">
        <f t="shared" si="10"/>
        <v>0.48750000000000038</v>
      </c>
    </row>
    <row r="211" spans="27:27">
      <c r="AA211" s="399">
        <f t="shared" si="10"/>
        <v>0.49000000000000038</v>
      </c>
    </row>
    <row r="212" spans="27:27">
      <c r="AA212" s="399">
        <f t="shared" si="10"/>
        <v>0.49250000000000038</v>
      </c>
    </row>
    <row r="213" spans="27:27">
      <c r="AA213" s="399">
        <f t="shared" si="10"/>
        <v>0.49500000000000038</v>
      </c>
    </row>
    <row r="214" spans="27:27">
      <c r="AA214" s="399">
        <f t="shared" ref="AA214:AA277" si="11">AA213+0.25%</f>
        <v>0.49750000000000039</v>
      </c>
    </row>
    <row r="215" spans="27:27">
      <c r="AA215" s="399">
        <f t="shared" si="11"/>
        <v>0.50000000000000033</v>
      </c>
    </row>
    <row r="216" spans="27:27">
      <c r="AA216" s="399">
        <f t="shared" si="11"/>
        <v>0.50250000000000028</v>
      </c>
    </row>
    <row r="217" spans="27:27">
      <c r="AA217" s="399">
        <f t="shared" si="11"/>
        <v>0.50500000000000023</v>
      </c>
    </row>
    <row r="218" spans="27:27">
      <c r="AA218" s="399">
        <f t="shared" si="11"/>
        <v>0.50750000000000017</v>
      </c>
    </row>
    <row r="219" spans="27:27">
      <c r="AA219" s="399">
        <f t="shared" si="11"/>
        <v>0.51000000000000012</v>
      </c>
    </row>
    <row r="220" spans="27:27">
      <c r="AA220" s="399">
        <f t="shared" si="11"/>
        <v>0.51250000000000007</v>
      </c>
    </row>
    <row r="221" spans="27:27">
      <c r="AA221" s="399">
        <f t="shared" si="11"/>
        <v>0.51500000000000001</v>
      </c>
    </row>
    <row r="222" spans="27:27">
      <c r="AA222" s="399">
        <f t="shared" si="11"/>
        <v>0.51749999999999996</v>
      </c>
    </row>
    <row r="223" spans="27:27">
      <c r="AA223" s="399">
        <f t="shared" si="11"/>
        <v>0.51999999999999991</v>
      </c>
    </row>
    <row r="224" spans="27:27">
      <c r="AA224" s="399">
        <f t="shared" si="11"/>
        <v>0.52249999999999985</v>
      </c>
    </row>
    <row r="225" spans="27:27">
      <c r="AA225" s="399">
        <f t="shared" si="11"/>
        <v>0.5249999999999998</v>
      </c>
    </row>
    <row r="226" spans="27:27">
      <c r="AA226" s="399">
        <f t="shared" si="11"/>
        <v>0.52749999999999975</v>
      </c>
    </row>
    <row r="227" spans="27:27">
      <c r="AA227" s="399">
        <f t="shared" si="11"/>
        <v>0.52999999999999969</v>
      </c>
    </row>
    <row r="228" spans="27:27">
      <c r="AA228" s="399">
        <f t="shared" si="11"/>
        <v>0.53249999999999964</v>
      </c>
    </row>
    <row r="229" spans="27:27">
      <c r="AA229" s="399">
        <f t="shared" si="11"/>
        <v>0.53499999999999959</v>
      </c>
    </row>
    <row r="230" spans="27:27">
      <c r="AA230" s="399">
        <f t="shared" si="11"/>
        <v>0.53749999999999953</v>
      </c>
    </row>
    <row r="231" spans="27:27">
      <c r="AA231" s="399">
        <f t="shared" si="11"/>
        <v>0.53999999999999948</v>
      </c>
    </row>
    <row r="232" spans="27:27">
      <c r="AA232" s="399">
        <f t="shared" si="11"/>
        <v>0.54249999999999943</v>
      </c>
    </row>
    <row r="233" spans="27:27">
      <c r="AA233" s="399">
        <f t="shared" si="11"/>
        <v>0.54499999999999937</v>
      </c>
    </row>
    <row r="234" spans="27:27">
      <c r="AA234" s="399">
        <f t="shared" si="11"/>
        <v>0.54749999999999932</v>
      </c>
    </row>
    <row r="235" spans="27:27">
      <c r="AA235" s="399">
        <f t="shared" si="11"/>
        <v>0.54999999999999927</v>
      </c>
    </row>
    <row r="236" spans="27:27">
      <c r="AA236" s="399">
        <f t="shared" si="11"/>
        <v>0.55249999999999921</v>
      </c>
    </row>
    <row r="237" spans="27:27">
      <c r="AA237" s="399">
        <f t="shared" si="11"/>
        <v>0.55499999999999916</v>
      </c>
    </row>
    <row r="238" spans="27:27">
      <c r="AA238" s="399">
        <f t="shared" si="11"/>
        <v>0.55749999999999911</v>
      </c>
    </row>
    <row r="239" spans="27:27">
      <c r="AA239" s="399">
        <f t="shared" si="11"/>
        <v>0.55999999999999905</v>
      </c>
    </row>
    <row r="240" spans="27:27">
      <c r="AA240" s="399">
        <f t="shared" si="11"/>
        <v>0.562499999999999</v>
      </c>
    </row>
    <row r="241" spans="27:27">
      <c r="AA241" s="399">
        <f t="shared" si="11"/>
        <v>0.56499999999999895</v>
      </c>
    </row>
    <row r="242" spans="27:27">
      <c r="AA242" s="399">
        <f t="shared" si="11"/>
        <v>0.56749999999999889</v>
      </c>
    </row>
    <row r="243" spans="27:27">
      <c r="AA243" s="399">
        <f t="shared" si="11"/>
        <v>0.56999999999999884</v>
      </c>
    </row>
    <row r="244" spans="27:27">
      <c r="AA244" s="399">
        <f t="shared" si="11"/>
        <v>0.57249999999999879</v>
      </c>
    </row>
    <row r="245" spans="27:27">
      <c r="AA245" s="399">
        <f t="shared" si="11"/>
        <v>0.57499999999999873</v>
      </c>
    </row>
    <row r="246" spans="27:27">
      <c r="AA246" s="399">
        <f t="shared" si="11"/>
        <v>0.57749999999999868</v>
      </c>
    </row>
    <row r="247" spans="27:27">
      <c r="AA247" s="399">
        <f t="shared" si="11"/>
        <v>0.57999999999999863</v>
      </c>
    </row>
    <row r="248" spans="27:27">
      <c r="AA248" s="399">
        <f t="shared" si="11"/>
        <v>0.58249999999999857</v>
      </c>
    </row>
    <row r="249" spans="27:27">
      <c r="AA249" s="399">
        <f t="shared" si="11"/>
        <v>0.58499999999999852</v>
      </c>
    </row>
    <row r="250" spans="27:27">
      <c r="AA250" s="399">
        <f t="shared" si="11"/>
        <v>0.58749999999999847</v>
      </c>
    </row>
    <row r="251" spans="27:27">
      <c r="AA251" s="399">
        <f t="shared" si="11"/>
        <v>0.58999999999999841</v>
      </c>
    </row>
    <row r="252" spans="27:27">
      <c r="AA252" s="399">
        <f t="shared" si="11"/>
        <v>0.59249999999999836</v>
      </c>
    </row>
    <row r="253" spans="27:27">
      <c r="AA253" s="399">
        <f t="shared" si="11"/>
        <v>0.59499999999999831</v>
      </c>
    </row>
    <row r="254" spans="27:27">
      <c r="AA254" s="399">
        <f t="shared" si="11"/>
        <v>0.59749999999999825</v>
      </c>
    </row>
    <row r="255" spans="27:27">
      <c r="AA255" s="399">
        <f t="shared" si="11"/>
        <v>0.5999999999999982</v>
      </c>
    </row>
    <row r="256" spans="27:27">
      <c r="AA256" s="399">
        <f t="shared" si="11"/>
        <v>0.60249999999999815</v>
      </c>
    </row>
    <row r="257" spans="27:27">
      <c r="AA257" s="399">
        <f t="shared" si="11"/>
        <v>0.60499999999999809</v>
      </c>
    </row>
    <row r="258" spans="27:27">
      <c r="AA258" s="399">
        <f t="shared" si="11"/>
        <v>0.60749999999999804</v>
      </c>
    </row>
    <row r="259" spans="27:27">
      <c r="AA259" s="399">
        <f t="shared" si="11"/>
        <v>0.60999999999999799</v>
      </c>
    </row>
    <row r="260" spans="27:27">
      <c r="AA260" s="399">
        <f t="shared" si="11"/>
        <v>0.61249999999999793</v>
      </c>
    </row>
    <row r="261" spans="27:27">
      <c r="AA261" s="399">
        <f t="shared" si="11"/>
        <v>0.61499999999999788</v>
      </c>
    </row>
    <row r="262" spans="27:27">
      <c r="AA262" s="399">
        <f t="shared" si="11"/>
        <v>0.61749999999999783</v>
      </c>
    </row>
    <row r="263" spans="27:27">
      <c r="AA263" s="399">
        <f t="shared" si="11"/>
        <v>0.61999999999999778</v>
      </c>
    </row>
    <row r="264" spans="27:27">
      <c r="AA264" s="399">
        <f t="shared" si="11"/>
        <v>0.62249999999999772</v>
      </c>
    </row>
    <row r="265" spans="27:27">
      <c r="AA265" s="399">
        <f t="shared" si="11"/>
        <v>0.62499999999999767</v>
      </c>
    </row>
    <row r="266" spans="27:27">
      <c r="AA266" s="399">
        <f t="shared" si="11"/>
        <v>0.62749999999999762</v>
      </c>
    </row>
    <row r="267" spans="27:27">
      <c r="AA267" s="399">
        <f t="shared" si="11"/>
        <v>0.62999999999999756</v>
      </c>
    </row>
    <row r="268" spans="27:27">
      <c r="AA268" s="399">
        <f t="shared" si="11"/>
        <v>0.63249999999999751</v>
      </c>
    </row>
    <row r="269" spans="27:27">
      <c r="AA269" s="399">
        <f t="shared" si="11"/>
        <v>0.63499999999999746</v>
      </c>
    </row>
    <row r="270" spans="27:27">
      <c r="AA270" s="399">
        <f t="shared" si="11"/>
        <v>0.6374999999999974</v>
      </c>
    </row>
    <row r="271" spans="27:27">
      <c r="AA271" s="399">
        <f t="shared" si="11"/>
        <v>0.63999999999999735</v>
      </c>
    </row>
    <row r="272" spans="27:27">
      <c r="AA272" s="399">
        <f t="shared" si="11"/>
        <v>0.6424999999999973</v>
      </c>
    </row>
    <row r="273" spans="27:27">
      <c r="AA273" s="399">
        <f t="shared" si="11"/>
        <v>0.64499999999999724</v>
      </c>
    </row>
    <row r="274" spans="27:27">
      <c r="AA274" s="399">
        <f t="shared" si="11"/>
        <v>0.64749999999999719</v>
      </c>
    </row>
    <row r="275" spans="27:27">
      <c r="AA275" s="399">
        <f t="shared" si="11"/>
        <v>0.64999999999999714</v>
      </c>
    </row>
    <row r="276" spans="27:27">
      <c r="AA276" s="399">
        <f t="shared" si="11"/>
        <v>0.65249999999999708</v>
      </c>
    </row>
    <row r="277" spans="27:27">
      <c r="AA277" s="399">
        <f t="shared" si="11"/>
        <v>0.65499999999999703</v>
      </c>
    </row>
    <row r="278" spans="27:27">
      <c r="AA278" s="399">
        <f t="shared" ref="AA278:AA341" si="12">AA277+0.25%</f>
        <v>0.65749999999999698</v>
      </c>
    </row>
    <row r="279" spans="27:27">
      <c r="AA279" s="399">
        <f t="shared" si="12"/>
        <v>0.65999999999999692</v>
      </c>
    </row>
    <row r="280" spans="27:27">
      <c r="AA280" s="399">
        <f t="shared" si="12"/>
        <v>0.66249999999999687</v>
      </c>
    </row>
    <row r="281" spans="27:27">
      <c r="AA281" s="399">
        <f t="shared" si="12"/>
        <v>0.66499999999999682</v>
      </c>
    </row>
    <row r="282" spans="27:27">
      <c r="AA282" s="399">
        <f t="shared" si="12"/>
        <v>0.66749999999999676</v>
      </c>
    </row>
    <row r="283" spans="27:27">
      <c r="AA283" s="399">
        <f t="shared" si="12"/>
        <v>0.66999999999999671</v>
      </c>
    </row>
    <row r="284" spans="27:27">
      <c r="AA284" s="399">
        <f t="shared" si="12"/>
        <v>0.67249999999999666</v>
      </c>
    </row>
    <row r="285" spans="27:27">
      <c r="AA285" s="399">
        <f t="shared" si="12"/>
        <v>0.6749999999999966</v>
      </c>
    </row>
    <row r="286" spans="27:27">
      <c r="AA286" s="399">
        <f t="shared" si="12"/>
        <v>0.67749999999999655</v>
      </c>
    </row>
    <row r="287" spans="27:27">
      <c r="AA287" s="399">
        <f t="shared" si="12"/>
        <v>0.6799999999999965</v>
      </c>
    </row>
    <row r="288" spans="27:27">
      <c r="AA288" s="399">
        <f t="shared" si="12"/>
        <v>0.68249999999999644</v>
      </c>
    </row>
    <row r="289" spans="27:27">
      <c r="AA289" s="399">
        <f t="shared" si="12"/>
        <v>0.68499999999999639</v>
      </c>
    </row>
    <row r="290" spans="27:27">
      <c r="AA290" s="399">
        <f t="shared" si="12"/>
        <v>0.68749999999999634</v>
      </c>
    </row>
    <row r="291" spans="27:27">
      <c r="AA291" s="399">
        <f t="shared" si="12"/>
        <v>0.68999999999999628</v>
      </c>
    </row>
    <row r="292" spans="27:27">
      <c r="AA292" s="399">
        <f t="shared" si="12"/>
        <v>0.69249999999999623</v>
      </c>
    </row>
    <row r="293" spans="27:27">
      <c r="AA293" s="399">
        <f t="shared" si="12"/>
        <v>0.69499999999999618</v>
      </c>
    </row>
    <row r="294" spans="27:27">
      <c r="AA294" s="399">
        <f t="shared" si="12"/>
        <v>0.69749999999999612</v>
      </c>
    </row>
    <row r="295" spans="27:27">
      <c r="AA295" s="399">
        <f t="shared" si="12"/>
        <v>0.69999999999999607</v>
      </c>
    </row>
    <row r="296" spans="27:27">
      <c r="AA296" s="399">
        <f t="shared" si="12"/>
        <v>0.70249999999999602</v>
      </c>
    </row>
    <row r="297" spans="27:27">
      <c r="AA297" s="399">
        <f t="shared" si="12"/>
        <v>0.70499999999999596</v>
      </c>
    </row>
    <row r="298" spans="27:27">
      <c r="AA298" s="399">
        <f t="shared" si="12"/>
        <v>0.70749999999999591</v>
      </c>
    </row>
    <row r="299" spans="27:27">
      <c r="AA299" s="399">
        <f t="shared" si="12"/>
        <v>0.70999999999999586</v>
      </c>
    </row>
    <row r="300" spans="27:27">
      <c r="AA300" s="399">
        <f t="shared" si="12"/>
        <v>0.7124999999999958</v>
      </c>
    </row>
    <row r="301" spans="27:27">
      <c r="AA301" s="399">
        <f t="shared" si="12"/>
        <v>0.71499999999999575</v>
      </c>
    </row>
    <row r="302" spans="27:27">
      <c r="AA302" s="399">
        <f t="shared" si="12"/>
        <v>0.7174999999999957</v>
      </c>
    </row>
    <row r="303" spans="27:27">
      <c r="AA303" s="399">
        <f t="shared" si="12"/>
        <v>0.71999999999999564</v>
      </c>
    </row>
    <row r="304" spans="27:27">
      <c r="AA304" s="399">
        <f t="shared" si="12"/>
        <v>0.72249999999999559</v>
      </c>
    </row>
    <row r="305" spans="27:27">
      <c r="AA305" s="399">
        <f t="shared" si="12"/>
        <v>0.72499999999999554</v>
      </c>
    </row>
    <row r="306" spans="27:27">
      <c r="AA306" s="399">
        <f t="shared" si="12"/>
        <v>0.72749999999999548</v>
      </c>
    </row>
    <row r="307" spans="27:27">
      <c r="AA307" s="399">
        <f t="shared" si="12"/>
        <v>0.72999999999999543</v>
      </c>
    </row>
    <row r="308" spans="27:27">
      <c r="AA308" s="399">
        <f t="shared" si="12"/>
        <v>0.73249999999999538</v>
      </c>
    </row>
    <row r="309" spans="27:27">
      <c r="AA309" s="399">
        <f t="shared" si="12"/>
        <v>0.73499999999999532</v>
      </c>
    </row>
    <row r="310" spans="27:27">
      <c r="AA310" s="399">
        <f t="shared" si="12"/>
        <v>0.73749999999999527</v>
      </c>
    </row>
    <row r="311" spans="27:27">
      <c r="AA311" s="399">
        <f t="shared" si="12"/>
        <v>0.73999999999999522</v>
      </c>
    </row>
    <row r="312" spans="27:27">
      <c r="AA312" s="399">
        <f t="shared" si="12"/>
        <v>0.74249999999999516</v>
      </c>
    </row>
    <row r="313" spans="27:27">
      <c r="AA313" s="399">
        <f t="shared" si="12"/>
        <v>0.74499999999999511</v>
      </c>
    </row>
    <row r="314" spans="27:27">
      <c r="AA314" s="399">
        <f t="shared" si="12"/>
        <v>0.74749999999999506</v>
      </c>
    </row>
    <row r="315" spans="27:27">
      <c r="AA315" s="399">
        <f t="shared" si="12"/>
        <v>0.749999999999995</v>
      </c>
    </row>
    <row r="316" spans="27:27">
      <c r="AA316" s="399">
        <f t="shared" si="12"/>
        <v>0.75249999999999495</v>
      </c>
    </row>
    <row r="317" spans="27:27">
      <c r="AA317" s="399">
        <f t="shared" si="12"/>
        <v>0.7549999999999949</v>
      </c>
    </row>
    <row r="318" spans="27:27">
      <c r="AA318" s="399">
        <f t="shared" si="12"/>
        <v>0.75749999999999484</v>
      </c>
    </row>
    <row r="319" spans="27:27">
      <c r="AA319" s="399">
        <f t="shared" si="12"/>
        <v>0.75999999999999479</v>
      </c>
    </row>
    <row r="320" spans="27:27">
      <c r="AA320" s="399">
        <f t="shared" si="12"/>
        <v>0.76249999999999474</v>
      </c>
    </row>
    <row r="321" spans="27:27">
      <c r="AA321" s="399">
        <f t="shared" si="12"/>
        <v>0.76499999999999468</v>
      </c>
    </row>
    <row r="322" spans="27:27">
      <c r="AA322" s="399">
        <f t="shared" si="12"/>
        <v>0.76749999999999463</v>
      </c>
    </row>
    <row r="323" spans="27:27">
      <c r="AA323" s="399">
        <f t="shared" si="12"/>
        <v>0.76999999999999458</v>
      </c>
    </row>
    <row r="324" spans="27:27">
      <c r="AA324" s="399">
        <f t="shared" si="12"/>
        <v>0.77249999999999452</v>
      </c>
    </row>
    <row r="325" spans="27:27">
      <c r="AA325" s="399">
        <f t="shared" si="12"/>
        <v>0.77499999999999447</v>
      </c>
    </row>
    <row r="326" spans="27:27">
      <c r="AA326" s="399">
        <f t="shared" si="12"/>
        <v>0.77749999999999442</v>
      </c>
    </row>
    <row r="327" spans="27:27">
      <c r="AA327" s="399">
        <f t="shared" si="12"/>
        <v>0.77999999999999436</v>
      </c>
    </row>
    <row r="328" spans="27:27">
      <c r="AA328" s="399">
        <f t="shared" si="12"/>
        <v>0.78249999999999431</v>
      </c>
    </row>
    <row r="329" spans="27:27">
      <c r="AA329" s="399">
        <f t="shared" si="12"/>
        <v>0.78499999999999426</v>
      </c>
    </row>
    <row r="330" spans="27:27">
      <c r="AA330" s="399">
        <f t="shared" si="12"/>
        <v>0.7874999999999942</v>
      </c>
    </row>
    <row r="331" spans="27:27">
      <c r="AA331" s="399">
        <f t="shared" si="12"/>
        <v>0.78999999999999415</v>
      </c>
    </row>
    <row r="332" spans="27:27">
      <c r="AA332" s="399">
        <f t="shared" si="12"/>
        <v>0.7924999999999941</v>
      </c>
    </row>
    <row r="333" spans="27:27">
      <c r="AA333" s="399">
        <f t="shared" si="12"/>
        <v>0.79499999999999404</v>
      </c>
    </row>
    <row r="334" spans="27:27">
      <c r="AA334" s="399">
        <f t="shared" si="12"/>
        <v>0.79749999999999399</v>
      </c>
    </row>
    <row r="335" spans="27:27">
      <c r="AA335" s="399">
        <f t="shared" si="12"/>
        <v>0.79999999999999394</v>
      </c>
    </row>
    <row r="336" spans="27:27">
      <c r="AA336" s="399">
        <f t="shared" si="12"/>
        <v>0.80249999999999388</v>
      </c>
    </row>
    <row r="337" spans="27:27">
      <c r="AA337" s="399">
        <f t="shared" si="12"/>
        <v>0.80499999999999383</v>
      </c>
    </row>
    <row r="338" spans="27:27">
      <c r="AA338" s="399">
        <f t="shared" si="12"/>
        <v>0.80749999999999378</v>
      </c>
    </row>
    <row r="339" spans="27:27">
      <c r="AA339" s="399">
        <f t="shared" si="12"/>
        <v>0.80999999999999373</v>
      </c>
    </row>
    <row r="340" spans="27:27">
      <c r="AA340" s="399">
        <f t="shared" si="12"/>
        <v>0.81249999999999367</v>
      </c>
    </row>
    <row r="341" spans="27:27">
      <c r="AA341" s="399">
        <f t="shared" si="12"/>
        <v>0.81499999999999362</v>
      </c>
    </row>
    <row r="342" spans="27:27">
      <c r="AA342" s="399">
        <f t="shared" ref="AA342:AA405" si="13">AA341+0.25%</f>
        <v>0.81749999999999357</v>
      </c>
    </row>
    <row r="343" spans="27:27">
      <c r="AA343" s="399">
        <f t="shared" si="13"/>
        <v>0.81999999999999351</v>
      </c>
    </row>
    <row r="344" spans="27:27">
      <c r="AA344" s="399">
        <f t="shared" si="13"/>
        <v>0.82249999999999346</v>
      </c>
    </row>
    <row r="345" spans="27:27">
      <c r="AA345" s="399">
        <f t="shared" si="13"/>
        <v>0.82499999999999341</v>
      </c>
    </row>
    <row r="346" spans="27:27">
      <c r="AA346" s="399">
        <f t="shared" si="13"/>
        <v>0.82749999999999335</v>
      </c>
    </row>
    <row r="347" spans="27:27">
      <c r="AA347" s="399">
        <f t="shared" si="13"/>
        <v>0.8299999999999933</v>
      </c>
    </row>
    <row r="348" spans="27:27">
      <c r="AA348" s="399">
        <f t="shared" si="13"/>
        <v>0.83249999999999325</v>
      </c>
    </row>
    <row r="349" spans="27:27">
      <c r="AA349" s="399">
        <f t="shared" si="13"/>
        <v>0.83499999999999319</v>
      </c>
    </row>
    <row r="350" spans="27:27">
      <c r="AA350" s="399">
        <f t="shared" si="13"/>
        <v>0.83749999999999314</v>
      </c>
    </row>
    <row r="351" spans="27:27">
      <c r="AA351" s="399">
        <f t="shared" si="13"/>
        <v>0.83999999999999309</v>
      </c>
    </row>
    <row r="352" spans="27:27">
      <c r="AA352" s="399">
        <f t="shared" si="13"/>
        <v>0.84249999999999303</v>
      </c>
    </row>
    <row r="353" spans="27:27">
      <c r="AA353" s="399">
        <f t="shared" si="13"/>
        <v>0.84499999999999298</v>
      </c>
    </row>
    <row r="354" spans="27:27">
      <c r="AA354" s="399">
        <f t="shared" si="13"/>
        <v>0.84749999999999293</v>
      </c>
    </row>
    <row r="355" spans="27:27">
      <c r="AA355" s="399">
        <f t="shared" si="13"/>
        <v>0.84999999999999287</v>
      </c>
    </row>
    <row r="356" spans="27:27">
      <c r="AA356" s="399">
        <f t="shared" si="13"/>
        <v>0.85249999999999282</v>
      </c>
    </row>
    <row r="357" spans="27:27">
      <c r="AA357" s="399">
        <f t="shared" si="13"/>
        <v>0.85499999999999277</v>
      </c>
    </row>
    <row r="358" spans="27:27">
      <c r="AA358" s="399">
        <f t="shared" si="13"/>
        <v>0.85749999999999271</v>
      </c>
    </row>
    <row r="359" spans="27:27">
      <c r="AA359" s="399">
        <f t="shared" si="13"/>
        <v>0.85999999999999266</v>
      </c>
    </row>
    <row r="360" spans="27:27">
      <c r="AA360" s="399">
        <f t="shared" si="13"/>
        <v>0.86249999999999261</v>
      </c>
    </row>
    <row r="361" spans="27:27">
      <c r="AA361" s="399">
        <f t="shared" si="13"/>
        <v>0.86499999999999255</v>
      </c>
    </row>
    <row r="362" spans="27:27">
      <c r="AA362" s="399">
        <f t="shared" si="13"/>
        <v>0.8674999999999925</v>
      </c>
    </row>
    <row r="363" spans="27:27">
      <c r="AA363" s="399">
        <f t="shared" si="13"/>
        <v>0.86999999999999245</v>
      </c>
    </row>
    <row r="364" spans="27:27">
      <c r="AA364" s="399">
        <f t="shared" si="13"/>
        <v>0.87249999999999239</v>
      </c>
    </row>
    <row r="365" spans="27:27">
      <c r="AA365" s="399">
        <f t="shared" si="13"/>
        <v>0.87499999999999234</v>
      </c>
    </row>
    <row r="366" spans="27:27">
      <c r="AA366" s="399">
        <f t="shared" si="13"/>
        <v>0.87749999999999229</v>
      </c>
    </row>
    <row r="367" spans="27:27">
      <c r="AA367" s="399">
        <f t="shared" si="13"/>
        <v>0.87999999999999223</v>
      </c>
    </row>
    <row r="368" spans="27:27">
      <c r="AA368" s="399">
        <f t="shared" si="13"/>
        <v>0.88249999999999218</v>
      </c>
    </row>
    <row r="369" spans="27:27">
      <c r="AA369" s="399">
        <f t="shared" si="13"/>
        <v>0.88499999999999213</v>
      </c>
    </row>
    <row r="370" spans="27:27">
      <c r="AA370" s="399">
        <f t="shared" si="13"/>
        <v>0.88749999999999207</v>
      </c>
    </row>
    <row r="371" spans="27:27">
      <c r="AA371" s="399">
        <f t="shared" si="13"/>
        <v>0.88999999999999202</v>
      </c>
    </row>
    <row r="372" spans="27:27">
      <c r="AA372" s="399">
        <f t="shared" si="13"/>
        <v>0.89249999999999197</v>
      </c>
    </row>
    <row r="373" spans="27:27">
      <c r="AA373" s="399">
        <f t="shared" si="13"/>
        <v>0.89499999999999191</v>
      </c>
    </row>
    <row r="374" spans="27:27">
      <c r="AA374" s="399">
        <f t="shared" si="13"/>
        <v>0.89749999999999186</v>
      </c>
    </row>
    <row r="375" spans="27:27">
      <c r="AA375" s="399">
        <f t="shared" si="13"/>
        <v>0.89999999999999181</v>
      </c>
    </row>
    <row r="376" spans="27:27">
      <c r="AA376" s="399">
        <f t="shared" si="13"/>
        <v>0.90249999999999175</v>
      </c>
    </row>
    <row r="377" spans="27:27">
      <c r="AA377" s="399">
        <f t="shared" si="13"/>
        <v>0.9049999999999917</v>
      </c>
    </row>
    <row r="378" spans="27:27">
      <c r="AA378" s="399">
        <f t="shared" si="13"/>
        <v>0.90749999999999165</v>
      </c>
    </row>
    <row r="379" spans="27:27">
      <c r="AA379" s="399">
        <f t="shared" si="13"/>
        <v>0.90999999999999159</v>
      </c>
    </row>
    <row r="380" spans="27:27">
      <c r="AA380" s="399">
        <f t="shared" si="13"/>
        <v>0.91249999999999154</v>
      </c>
    </row>
    <row r="381" spans="27:27">
      <c r="AA381" s="399">
        <f t="shared" si="13"/>
        <v>0.91499999999999149</v>
      </c>
    </row>
    <row r="382" spans="27:27">
      <c r="AA382" s="399">
        <f t="shared" si="13"/>
        <v>0.91749999999999143</v>
      </c>
    </row>
    <row r="383" spans="27:27">
      <c r="AA383" s="399">
        <f t="shared" si="13"/>
        <v>0.91999999999999138</v>
      </c>
    </row>
    <row r="384" spans="27:27">
      <c r="AA384" s="399">
        <f t="shared" si="13"/>
        <v>0.92249999999999133</v>
      </c>
    </row>
    <row r="385" spans="27:27">
      <c r="AA385" s="399">
        <f t="shared" si="13"/>
        <v>0.92499999999999127</v>
      </c>
    </row>
    <row r="386" spans="27:27">
      <c r="AA386" s="399">
        <f t="shared" si="13"/>
        <v>0.92749999999999122</v>
      </c>
    </row>
    <row r="387" spans="27:27">
      <c r="AA387" s="399">
        <f t="shared" si="13"/>
        <v>0.92999999999999117</v>
      </c>
    </row>
    <row r="388" spans="27:27">
      <c r="AA388" s="399">
        <f t="shared" si="13"/>
        <v>0.93249999999999111</v>
      </c>
    </row>
    <row r="389" spans="27:27">
      <c r="AA389" s="399">
        <f t="shared" si="13"/>
        <v>0.93499999999999106</v>
      </c>
    </row>
    <row r="390" spans="27:27">
      <c r="AA390" s="399">
        <f t="shared" si="13"/>
        <v>0.93749999999999101</v>
      </c>
    </row>
    <row r="391" spans="27:27">
      <c r="AA391" s="399">
        <f t="shared" si="13"/>
        <v>0.93999999999999095</v>
      </c>
    </row>
    <row r="392" spans="27:27">
      <c r="AA392" s="399">
        <f t="shared" si="13"/>
        <v>0.9424999999999909</v>
      </c>
    </row>
    <row r="393" spans="27:27">
      <c r="AA393" s="399">
        <f t="shared" si="13"/>
        <v>0.94499999999999085</v>
      </c>
    </row>
    <row r="394" spans="27:27">
      <c r="AA394" s="399">
        <f t="shared" si="13"/>
        <v>0.94749999999999079</v>
      </c>
    </row>
    <row r="395" spans="27:27">
      <c r="AA395" s="399">
        <f t="shared" si="13"/>
        <v>0.94999999999999074</v>
      </c>
    </row>
    <row r="396" spans="27:27">
      <c r="AA396" s="399">
        <f t="shared" si="13"/>
        <v>0.95249999999999069</v>
      </c>
    </row>
    <row r="397" spans="27:27">
      <c r="AA397" s="399">
        <f t="shared" si="13"/>
        <v>0.95499999999999063</v>
      </c>
    </row>
    <row r="398" spans="27:27">
      <c r="AA398" s="399">
        <f t="shared" si="13"/>
        <v>0.95749999999999058</v>
      </c>
    </row>
    <row r="399" spans="27:27">
      <c r="AA399" s="399">
        <f t="shared" si="13"/>
        <v>0.95999999999999053</v>
      </c>
    </row>
    <row r="400" spans="27:27">
      <c r="AA400" s="399">
        <f t="shared" si="13"/>
        <v>0.96249999999999047</v>
      </c>
    </row>
    <row r="401" spans="27:27">
      <c r="AA401" s="399">
        <f t="shared" si="13"/>
        <v>0.96499999999999042</v>
      </c>
    </row>
    <row r="402" spans="27:27">
      <c r="AA402" s="399">
        <f t="shared" si="13"/>
        <v>0.96749999999999037</v>
      </c>
    </row>
    <row r="403" spans="27:27">
      <c r="AA403" s="399">
        <f t="shared" si="13"/>
        <v>0.96999999999999031</v>
      </c>
    </row>
    <row r="404" spans="27:27">
      <c r="AA404" s="399">
        <f t="shared" si="13"/>
        <v>0.97249999999999026</v>
      </c>
    </row>
    <row r="405" spans="27:27">
      <c r="AA405" s="399">
        <f t="shared" si="13"/>
        <v>0.97499999999999021</v>
      </c>
    </row>
    <row r="406" spans="27:27">
      <c r="AA406" s="399">
        <f t="shared" ref="AA406:AA415" si="14">AA405+0.25%</f>
        <v>0.97749999999999015</v>
      </c>
    </row>
    <row r="407" spans="27:27">
      <c r="AA407" s="399">
        <f t="shared" si="14"/>
        <v>0.9799999999999901</v>
      </c>
    </row>
    <row r="408" spans="27:27">
      <c r="AA408" s="399">
        <f t="shared" si="14"/>
        <v>0.98249999999999005</v>
      </c>
    </row>
    <row r="409" spans="27:27">
      <c r="AA409" s="399">
        <f t="shared" si="14"/>
        <v>0.98499999999998999</v>
      </c>
    </row>
    <row r="410" spans="27:27">
      <c r="AA410" s="399">
        <f t="shared" si="14"/>
        <v>0.98749999999998994</v>
      </c>
    </row>
    <row r="411" spans="27:27">
      <c r="AA411" s="399">
        <f t="shared" si="14"/>
        <v>0.98999999999998989</v>
      </c>
    </row>
    <row r="412" spans="27:27">
      <c r="AA412" s="399">
        <f t="shared" si="14"/>
        <v>0.99249999999998983</v>
      </c>
    </row>
    <row r="413" spans="27:27">
      <c r="AA413" s="399">
        <f t="shared" si="14"/>
        <v>0.99499999999998978</v>
      </c>
    </row>
    <row r="414" spans="27:27">
      <c r="AA414" s="399">
        <f t="shared" si="14"/>
        <v>0.99749999999998973</v>
      </c>
    </row>
    <row r="415" spans="27:27">
      <c r="AA415" s="399">
        <f t="shared" si="14"/>
        <v>0.99999999999998967</v>
      </c>
    </row>
  </sheetData>
  <mergeCells count="1">
    <mergeCell ref="M34:Q34"/>
  </mergeCells>
  <dataValidations count="5">
    <dataValidation type="list" allowBlank="1" showInputMessage="1" showErrorMessage="1" sqref="O81:O82" xr:uid="{A4EC09D1-28F2-4544-BEFD-5001FD982600}">
      <formula1>$AB$4:$AB$24</formula1>
    </dataValidation>
    <dataValidation type="list" allowBlank="1" showDropDown="1" showInputMessage="1" showErrorMessage="1" sqref="K84" xr:uid="{89B7F373-ADE6-422A-9989-9EDEE24F4F9D}">
      <formula1>$AA$4:$AA$415</formula1>
    </dataValidation>
    <dataValidation type="list" allowBlank="1" showInputMessage="1" showErrorMessage="1" sqref="K85:K95 N109:N111 N23:N25" xr:uid="{7C12A65C-60D1-4D3A-A82C-6ED0A757A820}">
      <formula1>$AA$4:$AA$415</formula1>
    </dataValidation>
    <dataValidation type="list" allowBlank="1" showInputMessage="1" showErrorMessage="1" sqref="I9:I16" xr:uid="{EC36F654-D7A7-4C91-B62B-E005DAE980E0}">
      <formula1>$Z$4:$Z$11</formula1>
    </dataValidation>
    <dataValidation type="list" allowBlank="1" showInputMessage="1" showErrorMessage="1" sqref="J24:J30 J43:J45 J47:J52" xr:uid="{7F56DD92-0FA3-4E59-9B24-092944DE58D6}">
      <formula1>$AA$4:$AA$135</formula1>
    </dataValidation>
  </dataValidations>
  <hyperlinks>
    <hyperlink ref="CC23" r:id="rId1" xr:uid="{200C601A-0A68-4BB7-969B-5F7260599F00}"/>
  </hyperlinks>
  <printOptions horizontalCentered="1" verticalCentered="1" gridLinesSet="0"/>
  <pageMargins left="0" right="0" top="0" bottom="0" header="0" footer="0"/>
  <pageSetup paperSize="9" scale="52" orientation="portrait" horizontalDpi="300" verticalDpi="300" r:id="rId2"/>
  <headerFooter alignWithMargins="0">
    <oddFooter>Page &amp;P&amp;L&amp;1#&amp;"Calibri"&amp;10&amp;K000000Internal Use Only</oddFooter>
  </headerFooter>
  <rowBreaks count="1" manualBreakCount="1">
    <brk id="58" min="8" max="16" man="1"/>
  </rowBreaks>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97374-F57F-45F5-903D-029940AB7669}">
  <sheetPr codeName="Planilha13">
    <tabColor theme="0" tint="-0.34998626667073579"/>
    <pageSetUpPr fitToPage="1"/>
  </sheetPr>
  <dimension ref="A1:CF404"/>
  <sheetViews>
    <sheetView showGridLines="0" topLeftCell="H1" zoomScale="90" zoomScaleNormal="90" workbookViewId="0">
      <selection activeCell="D2" sqref="D2:AA2"/>
    </sheetView>
  </sheetViews>
  <sheetFormatPr baseColWidth="10" defaultColWidth="8.6640625" defaultRowHeight="12"/>
  <cols>
    <col min="1" max="1" width="23.5" style="385" hidden="1" customWidth="1"/>
    <col min="2" max="2" width="23.6640625" style="385" hidden="1" customWidth="1"/>
    <col min="3" max="3" width="16.5" style="385" hidden="1" customWidth="1"/>
    <col min="4" max="4" width="16" style="385" hidden="1" customWidth="1"/>
    <col min="5" max="5" width="15.33203125" style="385" hidden="1" customWidth="1"/>
    <col min="6" max="7" width="16" style="385" hidden="1" customWidth="1"/>
    <col min="8" max="8" width="6.6640625" style="385" customWidth="1"/>
    <col min="9" max="9" width="17.33203125" style="385" customWidth="1"/>
    <col min="10" max="10" width="14.5" style="385" customWidth="1"/>
    <col min="11" max="11" width="15" style="385" customWidth="1"/>
    <col min="12" max="12" width="9.5" style="385" customWidth="1"/>
    <col min="13" max="16" width="15" style="385" customWidth="1"/>
    <col min="17" max="17" width="17" style="385" customWidth="1"/>
    <col min="18" max="18" width="14" style="385" bestFit="1" customWidth="1"/>
    <col min="19" max="19" width="28" style="385" customWidth="1"/>
    <col min="20" max="23" width="8.6640625" style="385" customWidth="1"/>
    <col min="24" max="31" width="8.6640625" style="385" hidden="1" customWidth="1"/>
    <col min="32" max="36" width="8.6640625" style="385" customWidth="1"/>
    <col min="37" max="72" width="8.6640625" style="385"/>
    <col min="73" max="86" width="0" style="385" hidden="1" customWidth="1"/>
    <col min="87" max="16384" width="8.6640625" style="385"/>
  </cols>
  <sheetData>
    <row r="1" spans="1:77" ht="13" thickBot="1">
      <c r="A1" s="380" t="s">
        <v>344</v>
      </c>
      <c r="B1" s="381"/>
      <c r="C1" s="381"/>
      <c r="D1" s="381"/>
      <c r="E1" s="382"/>
      <c r="F1" s="383"/>
      <c r="G1" s="384"/>
      <c r="H1" s="384"/>
      <c r="R1" s="384"/>
    </row>
    <row r="2" spans="1:77" ht="111" customHeight="1" thickBot="1">
      <c r="A2" s="386"/>
      <c r="B2" s="387"/>
      <c r="C2" s="388" t="s">
        <v>345</v>
      </c>
      <c r="D2" s="389">
        <v>44418</v>
      </c>
      <c r="E2" s="388" t="s">
        <v>346</v>
      </c>
      <c r="F2" s="390">
        <v>5.05</v>
      </c>
      <c r="G2" s="391"/>
      <c r="H2" s="391"/>
      <c r="R2" s="391"/>
    </row>
    <row r="3" spans="1:77">
      <c r="A3" s="392" t="s">
        <v>347</v>
      </c>
      <c r="B3" s="393" t="s">
        <v>348</v>
      </c>
      <c r="C3" s="393"/>
      <c r="D3" s="392" t="s">
        <v>264</v>
      </c>
      <c r="E3" s="394" t="s">
        <v>349</v>
      </c>
      <c r="F3" s="395"/>
    </row>
    <row r="4" spans="1:77">
      <c r="A4" s="396" t="s">
        <v>350</v>
      </c>
      <c r="B4" s="397" t="s">
        <v>351</v>
      </c>
      <c r="C4" s="397"/>
      <c r="D4" s="396" t="s">
        <v>352</v>
      </c>
      <c r="E4" s="397" t="s">
        <v>353</v>
      </c>
      <c r="F4" s="397"/>
      <c r="I4" s="385" t="s">
        <v>192</v>
      </c>
      <c r="N4" s="398"/>
      <c r="O4" s="398"/>
      <c r="P4" s="398"/>
      <c r="Q4" s="398"/>
      <c r="Z4" s="396" t="s">
        <v>354</v>
      </c>
      <c r="AA4" s="399">
        <f>AA5-0.25%</f>
        <v>0</v>
      </c>
      <c r="AB4" s="385" t="s">
        <v>355</v>
      </c>
    </row>
    <row r="5" spans="1:77">
      <c r="A5" s="396" t="s">
        <v>356</v>
      </c>
      <c r="B5" s="397" t="s">
        <v>357</v>
      </c>
      <c r="C5" s="397"/>
      <c r="D5" s="396" t="s">
        <v>358</v>
      </c>
      <c r="E5" s="397" t="s">
        <v>359</v>
      </c>
      <c r="F5" s="397"/>
      <c r="I5" s="400" t="s">
        <v>360</v>
      </c>
      <c r="J5" s="400" t="s">
        <v>361</v>
      </c>
      <c r="Z5" s="396" t="s">
        <v>362</v>
      </c>
      <c r="AA5" s="399">
        <f>AA6-0.25%</f>
        <v>2.4999999999999992E-3</v>
      </c>
      <c r="AB5" s="385" t="s">
        <v>363</v>
      </c>
    </row>
    <row r="6" spans="1:77" ht="13" thickBot="1">
      <c r="A6" s="396" t="s">
        <v>364</v>
      </c>
      <c r="B6" s="397" t="s">
        <v>365</v>
      </c>
      <c r="C6" s="397"/>
      <c r="D6" s="401" t="s">
        <v>366</v>
      </c>
      <c r="E6" s="397" t="s">
        <v>365</v>
      </c>
      <c r="F6" s="397"/>
      <c r="Z6" s="396" t="s">
        <v>367</v>
      </c>
      <c r="AA6" s="399">
        <f>AA7-0.25%</f>
        <v>4.9999999999999992E-3</v>
      </c>
      <c r="AB6" s="385" t="s">
        <v>368</v>
      </c>
    </row>
    <row r="7" spans="1:77">
      <c r="A7" s="402" t="s">
        <v>369</v>
      </c>
      <c r="B7" s="403"/>
      <c r="C7" s="404"/>
      <c r="D7" s="405"/>
      <c r="E7" s="406" t="s">
        <v>370</v>
      </c>
      <c r="F7" s="407" t="s">
        <v>371</v>
      </c>
      <c r="I7" s="398" t="s">
        <v>372</v>
      </c>
      <c r="J7" s="398" t="s">
        <v>373</v>
      </c>
      <c r="K7" s="398" t="s">
        <v>374</v>
      </c>
      <c r="L7" s="398" t="s">
        <v>375</v>
      </c>
      <c r="M7" s="398" t="s">
        <v>376</v>
      </c>
      <c r="N7" s="398" t="s">
        <v>377</v>
      </c>
      <c r="Z7" s="396" t="s">
        <v>378</v>
      </c>
      <c r="AA7" s="399">
        <f>AA8-0.25%</f>
        <v>7.4999999999999997E-3</v>
      </c>
      <c r="AB7" s="385" t="s">
        <v>379</v>
      </c>
    </row>
    <row r="8" spans="1:77">
      <c r="A8" s="408"/>
      <c r="B8" s="409" t="s">
        <v>380</v>
      </c>
      <c r="C8" s="410">
        <v>4</v>
      </c>
      <c r="D8" s="411" t="s">
        <v>381</v>
      </c>
      <c r="E8" s="412"/>
      <c r="F8" s="413"/>
      <c r="I8" s="414" t="s">
        <v>382</v>
      </c>
      <c r="J8" s="415">
        <f>'[9]CJ III'!O17</f>
        <v>6599</v>
      </c>
      <c r="K8" s="416">
        <v>1</v>
      </c>
      <c r="Z8" s="396" t="s">
        <v>383</v>
      </c>
      <c r="AA8" s="399">
        <f>1%</f>
        <v>0.01</v>
      </c>
      <c r="AB8" s="385" t="s">
        <v>384</v>
      </c>
    </row>
    <row r="9" spans="1:77">
      <c r="A9" s="408"/>
      <c r="B9" s="409" t="s">
        <v>385</v>
      </c>
      <c r="C9" s="417">
        <v>2</v>
      </c>
      <c r="D9" s="418" t="s">
        <v>381</v>
      </c>
      <c r="E9" s="419">
        <v>10000000</v>
      </c>
      <c r="F9" s="420">
        <v>1980198.0198019804</v>
      </c>
      <c r="I9" s="414" t="s">
        <v>354</v>
      </c>
      <c r="J9" s="421">
        <f>'[9]CJ III'!$C$11/4*14</f>
        <v>3500</v>
      </c>
      <c r="K9" s="415">
        <v>1</v>
      </c>
      <c r="L9" s="422">
        <v>1</v>
      </c>
      <c r="M9" s="416">
        <f>IFERROR(J9/L9,0)</f>
        <v>3500</v>
      </c>
      <c r="Z9" s="396" t="s">
        <v>386</v>
      </c>
      <c r="AA9" s="399">
        <f>AA8+0.25%</f>
        <v>1.2500000000000001E-2</v>
      </c>
      <c r="AB9" s="385" t="s">
        <v>387</v>
      </c>
      <c r="BW9" s="385">
        <v>18750</v>
      </c>
    </row>
    <row r="10" spans="1:77">
      <c r="A10" s="408"/>
      <c r="B10" s="409" t="s">
        <v>388</v>
      </c>
      <c r="C10" s="423">
        <v>2</v>
      </c>
      <c r="D10" s="418" t="s">
        <v>381</v>
      </c>
      <c r="E10" s="419">
        <v>11467500</v>
      </c>
      <c r="F10" s="420">
        <v>2270792.0792079209</v>
      </c>
      <c r="I10" s="414" t="s">
        <v>362</v>
      </c>
      <c r="J10" s="421">
        <f>'[9]CJ III'!$C$11/4*14</f>
        <v>3500</v>
      </c>
      <c r="K10" s="415">
        <v>1</v>
      </c>
      <c r="L10" s="422">
        <v>1</v>
      </c>
      <c r="M10" s="424">
        <f>'[9]CJ III'!C11</f>
        <v>1000</v>
      </c>
      <c r="N10" s="425">
        <f>($J$8*$M$10)/$J$17</f>
        <v>365.34256055363323</v>
      </c>
      <c r="Z10" s="385" t="s">
        <v>389</v>
      </c>
      <c r="AA10" s="399">
        <f>AA9+0.25%</f>
        <v>1.5000000000000001E-2</v>
      </c>
      <c r="AB10" s="385" t="s">
        <v>390</v>
      </c>
      <c r="BV10" s="385">
        <v>17500</v>
      </c>
      <c r="BW10" s="385">
        <v>5853.6585365853662</v>
      </c>
      <c r="BX10" s="426">
        <v>1.989583333333333</v>
      </c>
    </row>
    <row r="11" spans="1:77">
      <c r="A11" s="408"/>
      <c r="B11" s="409"/>
      <c r="C11" s="423"/>
      <c r="D11" s="418"/>
      <c r="E11" s="427">
        <v>0</v>
      </c>
      <c r="F11" s="428">
        <v>0</v>
      </c>
      <c r="I11" s="414" t="s">
        <v>367</v>
      </c>
      <c r="J11" s="421">
        <f>'[9]CJ III'!$C$11/4*14</f>
        <v>3500</v>
      </c>
      <c r="K11" s="415">
        <v>1</v>
      </c>
      <c r="L11" s="422">
        <v>1</v>
      </c>
      <c r="M11" s="424">
        <f>M10</f>
        <v>1000</v>
      </c>
      <c r="N11" s="425">
        <f>($J$8*$M$10)/$J$17</f>
        <v>365.34256055363323</v>
      </c>
      <c r="Z11" s="385" t="s">
        <v>391</v>
      </c>
      <c r="AA11" s="399">
        <f t="shared" ref="AA11:AA74" si="0">AA10+0.25%</f>
        <v>1.7500000000000002E-2</v>
      </c>
      <c r="AB11" s="385" t="s">
        <v>392</v>
      </c>
      <c r="BV11" s="385">
        <v>17500</v>
      </c>
      <c r="BW11" s="385">
        <v>5853.6585365853662</v>
      </c>
      <c r="BX11" s="426">
        <v>1.989583333333333</v>
      </c>
    </row>
    <row r="12" spans="1:77">
      <c r="A12" s="408"/>
      <c r="B12" s="409"/>
      <c r="C12" s="423"/>
      <c r="D12" s="418"/>
      <c r="E12" s="429">
        <v>0</v>
      </c>
      <c r="F12" s="428">
        <v>0</v>
      </c>
      <c r="I12" s="414" t="s">
        <v>383</v>
      </c>
      <c r="J12" s="421">
        <f>'[9]CJ III'!$C$11/4*14</f>
        <v>3500</v>
      </c>
      <c r="K12" s="415">
        <v>1</v>
      </c>
      <c r="L12" s="422">
        <v>1</v>
      </c>
      <c r="M12" s="416">
        <f t="shared" ref="M12:M16" si="1">IFERROR(J12/L12,0)</f>
        <v>3500</v>
      </c>
      <c r="AA12" s="399">
        <f t="shared" si="0"/>
        <v>0.02</v>
      </c>
      <c r="AB12" s="385" t="s">
        <v>393</v>
      </c>
      <c r="BV12" s="385">
        <v>18750</v>
      </c>
      <c r="BW12" s="385">
        <v>5853.6585365853662</v>
      </c>
      <c r="BX12" s="426">
        <v>2.203125</v>
      </c>
    </row>
    <row r="13" spans="1:77">
      <c r="A13" s="408"/>
      <c r="B13" s="409" t="s">
        <v>394</v>
      </c>
      <c r="C13" s="430">
        <v>400</v>
      </c>
      <c r="D13" s="418" t="s">
        <v>395</v>
      </c>
      <c r="E13" s="431">
        <v>25000</v>
      </c>
      <c r="F13" s="432">
        <v>4950.4950495049507</v>
      </c>
      <c r="I13" s="414" t="s">
        <v>386</v>
      </c>
      <c r="J13" s="415">
        <v>4062.5</v>
      </c>
      <c r="K13" s="415">
        <v>1</v>
      </c>
      <c r="L13" s="415">
        <v>1</v>
      </c>
      <c r="M13" s="416">
        <f t="shared" si="1"/>
        <v>4062.5</v>
      </c>
      <c r="AA13" s="399">
        <f t="shared" si="0"/>
        <v>2.2499999999999999E-2</v>
      </c>
      <c r="AB13" s="385" t="s">
        <v>396</v>
      </c>
      <c r="BV13" s="385">
        <v>20000</v>
      </c>
      <c r="BW13" s="385">
        <v>5853.6585365853662</v>
      </c>
      <c r="BX13" s="426">
        <v>2.4166666666666665</v>
      </c>
      <c r="BY13" s="385">
        <v>13400</v>
      </c>
    </row>
    <row r="14" spans="1:77">
      <c r="A14" s="408"/>
      <c r="B14" s="409" t="s">
        <v>397</v>
      </c>
      <c r="C14" s="430">
        <v>400</v>
      </c>
      <c r="D14" s="418" t="s">
        <v>395</v>
      </c>
      <c r="E14" s="431">
        <v>28668.75</v>
      </c>
      <c r="F14" s="432">
        <v>5676.9801980198026</v>
      </c>
      <c r="I14" s="414"/>
      <c r="J14" s="433"/>
      <c r="K14" s="433"/>
      <c r="L14" s="433"/>
      <c r="M14" s="416">
        <f t="shared" si="1"/>
        <v>0</v>
      </c>
      <c r="AA14" s="399">
        <f t="shared" si="0"/>
        <v>2.4999999999999998E-2</v>
      </c>
      <c r="AB14" s="385" t="s">
        <v>398</v>
      </c>
      <c r="BV14" s="385">
        <v>25000</v>
      </c>
      <c r="BW14" s="385">
        <v>5853.6585365853662</v>
      </c>
      <c r="BX14" s="426">
        <v>3.270833333333333</v>
      </c>
      <c r="BY14" s="385">
        <v>3350</v>
      </c>
    </row>
    <row r="15" spans="1:77">
      <c r="A15" s="408"/>
      <c r="B15" s="409"/>
      <c r="C15" s="430"/>
      <c r="D15" s="418"/>
      <c r="E15" s="434"/>
      <c r="F15" s="413"/>
      <c r="I15" s="414"/>
      <c r="J15" s="433"/>
      <c r="K15" s="433"/>
      <c r="L15" s="433"/>
      <c r="M15" s="416">
        <f t="shared" si="1"/>
        <v>0</v>
      </c>
      <c r="AA15" s="399">
        <f t="shared" si="0"/>
        <v>2.7499999999999997E-2</v>
      </c>
      <c r="AB15" s="385" t="s">
        <v>399</v>
      </c>
      <c r="BY15" s="385">
        <v>4</v>
      </c>
    </row>
    <row r="16" spans="1:77">
      <c r="A16" s="408"/>
      <c r="B16" s="409"/>
      <c r="C16" s="430"/>
      <c r="D16" s="418"/>
      <c r="E16" s="434"/>
      <c r="F16" s="413"/>
      <c r="I16" s="414"/>
      <c r="J16" s="433"/>
      <c r="K16" s="433"/>
      <c r="L16" s="433"/>
      <c r="M16" s="416">
        <f t="shared" si="1"/>
        <v>0</v>
      </c>
      <c r="AA16" s="399">
        <f t="shared" si="0"/>
        <v>2.9999999999999995E-2</v>
      </c>
      <c r="AB16" s="385" t="s">
        <v>400</v>
      </c>
    </row>
    <row r="17" spans="1:84">
      <c r="A17" s="408"/>
      <c r="B17" s="409" t="s">
        <v>401</v>
      </c>
      <c r="C17" s="435">
        <v>1634</v>
      </c>
      <c r="D17" s="418"/>
      <c r="E17" s="431">
        <v>5985.76</v>
      </c>
      <c r="F17" s="432">
        <v>1185.2990099009901</v>
      </c>
      <c r="I17" s="436" t="s">
        <v>402</v>
      </c>
      <c r="J17" s="437">
        <f>J11*K11+J12*K12+J13*K13+J14*K14+J15*K15+J16*K16+J10*K10+J9*K9</f>
        <v>18062.5</v>
      </c>
      <c r="K17" s="384"/>
      <c r="L17" s="772">
        <f>'[9]CJ III'!O11</f>
        <v>14</v>
      </c>
      <c r="M17" s="438">
        <f>SUM(M9:M16)</f>
        <v>13062.5</v>
      </c>
      <c r="N17" s="437">
        <f>7*N10</f>
        <v>2557.3979238754328</v>
      </c>
      <c r="AA17" s="399">
        <f t="shared" si="0"/>
        <v>3.2499999999999994E-2</v>
      </c>
      <c r="AB17" s="385" t="s">
        <v>403</v>
      </c>
      <c r="BX17" s="439"/>
      <c r="BY17" s="385">
        <v>0.25</v>
      </c>
    </row>
    <row r="18" spans="1:84" ht="13" thickBot="1">
      <c r="A18" s="440"/>
      <c r="B18" s="441" t="s">
        <v>404</v>
      </c>
      <c r="C18" s="442">
        <v>1089</v>
      </c>
      <c r="D18" s="443" t="s">
        <v>395</v>
      </c>
      <c r="E18" s="444">
        <v>1652.8925619834711</v>
      </c>
      <c r="F18" s="432">
        <v>327.30545781850913</v>
      </c>
      <c r="J18" s="445" t="str">
        <f>IF(J17&lt;=J8,"Área Terreno menor ou igual que Construída","Área Constrúida maior que Terreno ")</f>
        <v xml:space="preserve">Área Constrúida maior que Terreno </v>
      </c>
      <c r="K18" s="445"/>
      <c r="AA18" s="399">
        <f t="shared" si="0"/>
        <v>3.4999999999999996E-2</v>
      </c>
      <c r="AB18" s="385" t="s">
        <v>405</v>
      </c>
      <c r="BX18" s="439"/>
    </row>
    <row r="19" spans="1:84">
      <c r="A19" s="446" t="s">
        <v>406</v>
      </c>
      <c r="B19" s="404" t="s">
        <v>370</v>
      </c>
      <c r="C19" s="404" t="s">
        <v>296</v>
      </c>
      <c r="D19" s="404"/>
      <c r="E19" s="404" t="s">
        <v>370</v>
      </c>
      <c r="F19" s="447" t="s">
        <v>371</v>
      </c>
      <c r="AA19" s="399">
        <f t="shared" si="0"/>
        <v>3.7499999999999999E-2</v>
      </c>
      <c r="AB19" s="385" t="s">
        <v>407</v>
      </c>
      <c r="BW19" s="448">
        <v>2845.6724999999997</v>
      </c>
      <c r="BX19" s="448">
        <v>3013.0649999999996</v>
      </c>
      <c r="BY19" s="448">
        <v>3180.4574999999995</v>
      </c>
    </row>
    <row r="20" spans="1:84">
      <c r="A20" s="449" t="s">
        <v>408</v>
      </c>
      <c r="B20" s="450">
        <v>9780731.8399999999</v>
      </c>
      <c r="C20" s="451">
        <v>22.780323372539886</v>
      </c>
      <c r="D20" s="452"/>
      <c r="E20" s="453">
        <v>5985.76</v>
      </c>
      <c r="F20" s="454">
        <v>1185.2990099009901</v>
      </c>
      <c r="G20" s="455"/>
      <c r="H20" s="455"/>
      <c r="I20" s="385" t="s">
        <v>202</v>
      </c>
      <c r="M20" s="385" t="s">
        <v>229</v>
      </c>
      <c r="R20" s="455"/>
      <c r="AA20" s="399">
        <f t="shared" si="0"/>
        <v>0.04</v>
      </c>
      <c r="AB20" s="385" t="s">
        <v>409</v>
      </c>
      <c r="BW20" s="456">
        <v>4666902.8999999994</v>
      </c>
      <c r="BX20" s="456">
        <v>4941426.5999999996</v>
      </c>
      <c r="BY20" s="456">
        <v>5215950.2999999989</v>
      </c>
      <c r="CB20" s="385" t="s">
        <v>410</v>
      </c>
      <c r="CC20" s="457" t="s">
        <v>411</v>
      </c>
      <c r="CE20" s="385" t="s">
        <v>412</v>
      </c>
      <c r="CF20" s="385">
        <v>644.38</v>
      </c>
    </row>
    <row r="21" spans="1:84">
      <c r="A21" s="449" t="s">
        <v>413</v>
      </c>
      <c r="B21" s="450">
        <v>195614.63680000001</v>
      </c>
      <c r="C21" s="451">
        <v>0.45560646745079775</v>
      </c>
      <c r="D21" s="452"/>
      <c r="E21" s="458"/>
      <c r="F21" s="459"/>
      <c r="G21" s="455"/>
      <c r="H21" s="455"/>
      <c r="I21" s="460" t="s">
        <v>414</v>
      </c>
      <c r="J21" s="460" t="s">
        <v>415</v>
      </c>
      <c r="K21" s="460" t="s">
        <v>370</v>
      </c>
      <c r="M21" s="460" t="s">
        <v>416</v>
      </c>
      <c r="N21" s="460" t="s">
        <v>417</v>
      </c>
      <c r="O21" s="460" t="s">
        <v>418</v>
      </c>
      <c r="P21" s="460" t="s">
        <v>419</v>
      </c>
      <c r="Q21" s="460" t="s">
        <v>420</v>
      </c>
      <c r="R21" s="455"/>
      <c r="AA21" s="399">
        <f t="shared" si="0"/>
        <v>4.2500000000000003E-2</v>
      </c>
      <c r="AB21" s="385" t="s">
        <v>421</v>
      </c>
      <c r="BW21" s="456">
        <v>140007.08699999997</v>
      </c>
      <c r="BX21" s="456">
        <v>148242.79799999998</v>
      </c>
      <c r="BY21" s="456">
        <v>156478.50899999996</v>
      </c>
      <c r="CE21" s="385" t="s">
        <v>422</v>
      </c>
      <c r="CF21" s="385">
        <v>694.76</v>
      </c>
    </row>
    <row r="22" spans="1:84">
      <c r="A22" s="449" t="s">
        <v>423</v>
      </c>
      <c r="B22" s="450">
        <v>97807.318400000004</v>
      </c>
      <c r="C22" s="451">
        <v>0.22780323372539887</v>
      </c>
      <c r="D22" s="452"/>
      <c r="E22" s="458"/>
      <c r="F22" s="459"/>
      <c r="G22" s="455"/>
      <c r="H22" s="455"/>
      <c r="I22" s="415" t="s">
        <v>424</v>
      </c>
      <c r="J22" s="461">
        <f>'[9]CJ III'!W18</f>
        <v>40000000.000000007</v>
      </c>
      <c r="K22" s="462">
        <f>J22</f>
        <v>40000000.000000007</v>
      </c>
      <c r="M22" s="463"/>
      <c r="O22" s="464">
        <f>'[9]CJ III'!K11</f>
        <v>16000000</v>
      </c>
      <c r="P22" s="465"/>
      <c r="Q22" s="466"/>
      <c r="R22" s="455"/>
      <c r="AA22" s="399">
        <f t="shared" si="0"/>
        <v>4.5000000000000005E-2</v>
      </c>
      <c r="AB22" s="385" t="s">
        <v>425</v>
      </c>
      <c r="BW22" s="456">
        <v>46669.028999999995</v>
      </c>
      <c r="BX22" s="456">
        <v>49414.265999999996</v>
      </c>
      <c r="BY22" s="456">
        <v>52159.50299999999</v>
      </c>
      <c r="CF22" s="385">
        <v>1339.1399999999999</v>
      </c>
    </row>
    <row r="23" spans="1:84">
      <c r="A23" s="449" t="s">
        <v>426</v>
      </c>
      <c r="B23" s="450">
        <v>60000</v>
      </c>
      <c r="C23" s="451">
        <v>0.13974612786770699</v>
      </c>
      <c r="D23" s="452"/>
      <c r="E23" s="458"/>
      <c r="F23" s="459"/>
      <c r="G23" s="455"/>
      <c r="H23" s="455"/>
      <c r="I23" s="415" t="s">
        <v>427</v>
      </c>
      <c r="J23" s="467"/>
      <c r="K23" s="468">
        <f>J23</f>
        <v>0</v>
      </c>
      <c r="M23" s="469" t="s">
        <v>428</v>
      </c>
      <c r="N23" s="470">
        <v>0.30000000000000021</v>
      </c>
      <c r="O23" s="471">
        <f>O22*N23</f>
        <v>4800000.0000000037</v>
      </c>
      <c r="P23" s="472">
        <v>1</v>
      </c>
      <c r="Q23" s="473">
        <f>P23*O23</f>
        <v>4800000.0000000037</v>
      </c>
      <c r="R23" s="455">
        <f>Q23*L17</f>
        <v>67200000.00000006</v>
      </c>
      <c r="AA23" s="399">
        <f t="shared" si="0"/>
        <v>4.7500000000000007E-2</v>
      </c>
      <c r="AB23" s="385" t="s">
        <v>429</v>
      </c>
      <c r="BW23" s="474">
        <v>60000</v>
      </c>
      <c r="BX23" s="474">
        <v>60001</v>
      </c>
      <c r="BY23" s="474">
        <v>60002</v>
      </c>
      <c r="CB23" s="385" t="s">
        <v>410</v>
      </c>
      <c r="CC23" s="457" t="s">
        <v>430</v>
      </c>
    </row>
    <row r="24" spans="1:84">
      <c r="A24" s="449" t="s">
        <v>431</v>
      </c>
      <c r="B24" s="450">
        <v>4138750</v>
      </c>
      <c r="C24" s="451">
        <v>9.6395714452078725</v>
      </c>
      <c r="D24" s="452"/>
      <c r="E24" s="458"/>
      <c r="F24" s="459"/>
      <c r="G24" s="455"/>
      <c r="H24" s="455"/>
      <c r="I24" s="415" t="s">
        <v>432</v>
      </c>
      <c r="J24" s="475">
        <v>2.9999999999999995E-2</v>
      </c>
      <c r="K24" s="468">
        <f t="shared" ref="K24:K29" si="2">J24*$J$22</f>
        <v>1200000</v>
      </c>
      <c r="M24" s="463" t="s">
        <v>433</v>
      </c>
      <c r="N24" s="476">
        <v>0.4000000000000003</v>
      </c>
      <c r="O24" s="477">
        <f>O22*N24</f>
        <v>6400000.0000000047</v>
      </c>
      <c r="P24" s="478">
        <v>4</v>
      </c>
      <c r="Q24" s="479">
        <f>O24/P24</f>
        <v>1600000.0000000012</v>
      </c>
      <c r="R24" s="455">
        <f>Q24*P24*L17</f>
        <v>89600000.00000006</v>
      </c>
      <c r="AA24" s="399">
        <f t="shared" si="0"/>
        <v>5.000000000000001E-2</v>
      </c>
      <c r="AB24" s="385" t="s">
        <v>434</v>
      </c>
      <c r="BW24" s="456">
        <v>4100255.4208500008</v>
      </c>
      <c r="BX24" s="456">
        <v>13.667518069500003</v>
      </c>
      <c r="BY24" s="456">
        <v>0</v>
      </c>
    </row>
    <row r="25" spans="1:84">
      <c r="A25" s="449" t="s">
        <v>435</v>
      </c>
      <c r="B25" s="450">
        <v>1717400</v>
      </c>
      <c r="C25" s="451">
        <v>4</v>
      </c>
      <c r="D25" s="452"/>
      <c r="E25" s="458"/>
      <c r="F25" s="459"/>
      <c r="G25" s="455"/>
      <c r="H25" s="455"/>
      <c r="I25" s="415" t="s">
        <v>20</v>
      </c>
      <c r="J25" s="475">
        <v>0.01</v>
      </c>
      <c r="K25" s="468">
        <f t="shared" si="2"/>
        <v>400000.00000000006</v>
      </c>
      <c r="M25" s="469" t="s">
        <v>436</v>
      </c>
      <c r="N25" s="470">
        <v>0.30000000000000021</v>
      </c>
      <c r="O25" s="471">
        <f>O22*N25</f>
        <v>4800000.0000000037</v>
      </c>
      <c r="P25" s="472">
        <v>13</v>
      </c>
      <c r="Q25" s="473">
        <f>O25/P25</f>
        <v>369230.76923076954</v>
      </c>
      <c r="R25" s="455">
        <f>Q25*L17*P25</f>
        <v>67200000.00000006</v>
      </c>
      <c r="AA25" s="399">
        <f t="shared" si="0"/>
        <v>5.2500000000000012E-2</v>
      </c>
      <c r="BW25" s="456">
        <v>1120000</v>
      </c>
      <c r="BX25" s="456">
        <v>1280000</v>
      </c>
      <c r="BY25" s="456">
        <v>1600000</v>
      </c>
    </row>
    <row r="26" spans="1:84">
      <c r="A26" s="449" t="s">
        <v>437</v>
      </c>
      <c r="B26" s="450">
        <v>858700</v>
      </c>
      <c r="C26" s="451">
        <v>2</v>
      </c>
      <c r="D26" s="452"/>
      <c r="E26" s="458"/>
      <c r="F26" s="459"/>
      <c r="G26" s="455"/>
      <c r="H26" s="455"/>
      <c r="I26" s="415" t="s">
        <v>141</v>
      </c>
      <c r="J26" s="475">
        <v>4.9999999999999992E-3</v>
      </c>
      <c r="K26" s="468">
        <f t="shared" si="2"/>
        <v>200000</v>
      </c>
      <c r="M26" s="463"/>
      <c r="N26" s="480" t="str">
        <f>IF(N23+N24+N25&lt;&gt;100%,"Reveja Percentuais","Ok")</f>
        <v>Ok</v>
      </c>
      <c r="O26" s="481"/>
      <c r="P26" s="482">
        <f>P23+P24+P25</f>
        <v>18</v>
      </c>
      <c r="Q26" s="452"/>
      <c r="R26" s="455"/>
      <c r="AA26" s="399">
        <f t="shared" si="0"/>
        <v>5.5000000000000014E-2</v>
      </c>
      <c r="BW26" s="456">
        <v>560000</v>
      </c>
      <c r="BX26" s="456">
        <v>640000</v>
      </c>
      <c r="BY26" s="456">
        <v>800000</v>
      </c>
    </row>
    <row r="27" spans="1:84">
      <c r="A27" s="449" t="s">
        <v>438</v>
      </c>
      <c r="B27" s="450">
        <v>858700</v>
      </c>
      <c r="C27" s="451">
        <v>2</v>
      </c>
      <c r="D27" s="452"/>
      <c r="E27" s="458"/>
      <c r="F27" s="459"/>
      <c r="G27" s="455"/>
      <c r="H27" s="455"/>
      <c r="I27" s="415" t="s">
        <v>439</v>
      </c>
      <c r="J27" s="475">
        <v>1.5000000000000001E-2</v>
      </c>
      <c r="K27" s="468">
        <f t="shared" si="2"/>
        <v>600000.00000000012</v>
      </c>
      <c r="M27" s="463"/>
      <c r="Q27" s="452"/>
      <c r="R27" s="455"/>
      <c r="AA27" s="399">
        <f t="shared" si="0"/>
        <v>5.7500000000000016E-2</v>
      </c>
      <c r="BW27" s="456">
        <v>560000</v>
      </c>
      <c r="BX27" s="456">
        <v>640000</v>
      </c>
      <c r="BY27" s="456">
        <v>800000</v>
      </c>
    </row>
    <row r="28" spans="1:84">
      <c r="A28" s="449" t="s">
        <v>440</v>
      </c>
      <c r="B28" s="450">
        <v>3434800</v>
      </c>
      <c r="C28" s="451">
        <v>8</v>
      </c>
      <c r="D28" s="452"/>
      <c r="E28" s="458"/>
      <c r="F28" s="459"/>
      <c r="G28" s="455"/>
      <c r="H28" s="455"/>
      <c r="I28" s="415" t="s">
        <v>200</v>
      </c>
      <c r="J28" s="475">
        <v>1.5000000000000001E-2</v>
      </c>
      <c r="K28" s="468">
        <f t="shared" si="2"/>
        <v>600000.00000000012</v>
      </c>
      <c r="M28" s="483"/>
      <c r="N28" s="484"/>
      <c r="O28" s="484"/>
      <c r="P28" s="484"/>
      <c r="Q28" s="485"/>
      <c r="R28" s="455"/>
      <c r="AA28" s="399">
        <f t="shared" si="0"/>
        <v>6.0000000000000019E-2</v>
      </c>
      <c r="BW28" s="456">
        <v>3080000</v>
      </c>
      <c r="BX28" s="456">
        <v>3520000</v>
      </c>
      <c r="BY28" s="456">
        <v>4400000</v>
      </c>
    </row>
    <row r="29" spans="1:84">
      <c r="A29" s="449" t="s">
        <v>441</v>
      </c>
      <c r="B29" s="419">
        <v>21142503.795199998</v>
      </c>
      <c r="C29" s="486">
        <v>49.243050646791659</v>
      </c>
      <c r="D29" s="452"/>
      <c r="E29" s="458"/>
      <c r="F29" s="459"/>
      <c r="I29" s="415" t="s">
        <v>442</v>
      </c>
      <c r="J29" s="475">
        <v>0</v>
      </c>
      <c r="K29" s="468">
        <f t="shared" si="2"/>
        <v>0</v>
      </c>
      <c r="AA29" s="399">
        <f t="shared" si="0"/>
        <v>6.2500000000000014E-2</v>
      </c>
      <c r="BW29" s="487">
        <v>14333834.43685</v>
      </c>
      <c r="BX29" s="487">
        <v>11279098.331518069</v>
      </c>
      <c r="BY29" s="487">
        <v>13084590.311999999</v>
      </c>
    </row>
    <row r="30" spans="1:84">
      <c r="A30" s="449" t="s">
        <v>443</v>
      </c>
      <c r="B30" s="419">
        <v>21792496.204800002</v>
      </c>
      <c r="C30" s="488">
        <v>50.756949353208348</v>
      </c>
      <c r="D30" s="489"/>
      <c r="E30" s="458"/>
      <c r="F30" s="459"/>
      <c r="G30" s="455"/>
      <c r="H30" s="455"/>
      <c r="I30" s="415" t="s">
        <v>444</v>
      </c>
      <c r="J30" s="475"/>
      <c r="K30" s="490"/>
      <c r="R30" s="455"/>
      <c r="AA30" s="399">
        <f t="shared" si="0"/>
        <v>6.5000000000000016E-2</v>
      </c>
      <c r="BX30" s="491"/>
    </row>
    <row r="31" spans="1:84">
      <c r="A31" s="449" t="s">
        <v>445</v>
      </c>
      <c r="B31" s="419">
        <v>42935000</v>
      </c>
      <c r="C31" s="486">
        <v>100</v>
      </c>
      <c r="D31" s="452"/>
      <c r="E31" s="458"/>
      <c r="F31" s="459"/>
      <c r="G31" s="455"/>
      <c r="H31" s="455"/>
      <c r="I31" s="438" t="s">
        <v>2</v>
      </c>
      <c r="J31" s="416" t="s">
        <v>182</v>
      </c>
      <c r="K31" s="492">
        <f>SUM(K22:K30)</f>
        <v>43000000.000000007</v>
      </c>
      <c r="R31" s="455"/>
      <c r="AA31" s="399">
        <f t="shared" si="0"/>
        <v>6.7500000000000018E-2</v>
      </c>
      <c r="BV31" s="425" t="s">
        <v>446</v>
      </c>
      <c r="BW31" s="385">
        <v>28000000</v>
      </c>
      <c r="BX31" s="385">
        <v>32000000</v>
      </c>
      <c r="BY31" s="385">
        <v>40000000</v>
      </c>
    </row>
    <row r="32" spans="1:84" ht="13" thickBot="1">
      <c r="A32" s="493" t="s">
        <v>447</v>
      </c>
      <c r="B32" s="444"/>
      <c r="C32" s="494">
        <v>0.50756949353208347</v>
      </c>
      <c r="D32" s="495"/>
      <c r="E32" s="496"/>
      <c r="F32" s="459"/>
      <c r="G32" s="455"/>
      <c r="H32" s="455"/>
      <c r="R32" s="455"/>
      <c r="AA32" s="399">
        <f t="shared" si="0"/>
        <v>7.0000000000000021E-2</v>
      </c>
      <c r="BV32" s="497" t="s">
        <v>5</v>
      </c>
      <c r="BW32" s="498">
        <v>13666165.56315</v>
      </c>
      <c r="BX32" s="498">
        <v>20720901.668481931</v>
      </c>
      <c r="BY32" s="498">
        <v>26915409.688000001</v>
      </c>
    </row>
    <row r="33" spans="1:27">
      <c r="A33" s="499" t="s">
        <v>431</v>
      </c>
      <c r="B33" s="500"/>
      <c r="C33" s="501"/>
      <c r="D33" s="502" t="s">
        <v>448</v>
      </c>
      <c r="E33" s="503"/>
      <c r="F33" s="504"/>
      <c r="I33" s="385" t="s">
        <v>213</v>
      </c>
      <c r="M33" s="385" t="s">
        <v>238</v>
      </c>
      <c r="AA33" s="399">
        <f t="shared" si="0"/>
        <v>7.2500000000000023E-2</v>
      </c>
    </row>
    <row r="34" spans="1:27">
      <c r="A34" s="396" t="s">
        <v>449</v>
      </c>
      <c r="B34" s="505">
        <v>1089</v>
      </c>
      <c r="C34" s="506" t="s">
        <v>450</v>
      </c>
      <c r="D34" s="507"/>
      <c r="F34" s="501"/>
      <c r="I34" s="460" t="s">
        <v>446</v>
      </c>
      <c r="J34" s="460" t="s">
        <v>451</v>
      </c>
      <c r="K34" s="460" t="s">
        <v>370</v>
      </c>
      <c r="M34" s="1202" t="s">
        <v>452</v>
      </c>
      <c r="N34" s="1203"/>
      <c r="O34" s="1203"/>
      <c r="P34" s="1203"/>
      <c r="Q34" s="1204"/>
      <c r="AA34" s="399">
        <f t="shared" si="0"/>
        <v>7.5000000000000025E-2</v>
      </c>
    </row>
    <row r="35" spans="1:27">
      <c r="A35" s="396" t="s">
        <v>453</v>
      </c>
      <c r="B35" s="508"/>
      <c r="C35" s="509"/>
      <c r="D35" s="510"/>
      <c r="E35" s="384"/>
      <c r="F35" s="501"/>
      <c r="I35" s="416" t="str">
        <f>I17</f>
        <v>Área Total Construída</v>
      </c>
      <c r="J35" s="468">
        <f>'[9]CJ III'!C11*'[9]CJ III'!O11</f>
        <v>14000</v>
      </c>
      <c r="K35" s="511">
        <f>J35*J36</f>
        <v>224000000</v>
      </c>
      <c r="M35" s="512" t="s">
        <v>454</v>
      </c>
      <c r="N35" s="425" t="s">
        <v>62</v>
      </c>
      <c r="O35" s="425" t="s">
        <v>455</v>
      </c>
      <c r="P35" s="425" t="s">
        <v>227</v>
      </c>
      <c r="Q35" s="513" t="s">
        <v>456</v>
      </c>
      <c r="AA35" s="399">
        <f t="shared" si="0"/>
        <v>7.7500000000000027E-2</v>
      </c>
    </row>
    <row r="36" spans="1:27">
      <c r="A36" s="396" t="s">
        <v>457</v>
      </c>
      <c r="B36" s="505"/>
      <c r="C36" s="514"/>
      <c r="D36" s="507"/>
      <c r="F36" s="501"/>
      <c r="I36" s="416" t="s">
        <v>458</v>
      </c>
      <c r="J36" s="515">
        <f>'[9]CJ III'!G11</f>
        <v>16000</v>
      </c>
      <c r="M36" s="516">
        <v>0</v>
      </c>
      <c r="N36" s="517"/>
      <c r="O36" s="517"/>
      <c r="P36" s="517"/>
      <c r="Q36" s="518">
        <f>P36+O36+N36</f>
        <v>0</v>
      </c>
      <c r="AA36" s="399">
        <f t="shared" si="0"/>
        <v>8.0000000000000029E-2</v>
      </c>
    </row>
    <row r="37" spans="1:27">
      <c r="A37" s="396" t="s">
        <v>459</v>
      </c>
      <c r="B37" s="519" t="s">
        <v>460</v>
      </c>
      <c r="C37" s="514"/>
      <c r="D37" s="510"/>
      <c r="E37" s="384"/>
      <c r="F37" s="501"/>
      <c r="M37" s="516">
        <v>1</v>
      </c>
      <c r="N37" s="517"/>
      <c r="O37" s="517"/>
      <c r="P37" s="517"/>
      <c r="Q37" s="518">
        <f t="shared" ref="Q37:Q55" si="3">P37+O37+N37</f>
        <v>0</v>
      </c>
      <c r="AA37" s="399">
        <f t="shared" si="0"/>
        <v>8.2500000000000032E-2</v>
      </c>
    </row>
    <row r="38" spans="1:27">
      <c r="A38" s="520" t="s">
        <v>461</v>
      </c>
      <c r="B38" s="521" t="s">
        <v>370</v>
      </c>
      <c r="C38" s="522" t="s">
        <v>296</v>
      </c>
      <c r="D38" s="523"/>
      <c r="F38" s="501"/>
      <c r="I38" s="385" t="s">
        <v>224</v>
      </c>
      <c r="M38" s="516">
        <v>2</v>
      </c>
      <c r="N38" s="517"/>
      <c r="O38" s="517"/>
      <c r="P38" s="517"/>
      <c r="Q38" s="518">
        <f t="shared" si="3"/>
        <v>0</v>
      </c>
      <c r="AA38" s="399">
        <f t="shared" si="0"/>
        <v>8.5000000000000034E-2</v>
      </c>
    </row>
    <row r="39" spans="1:27">
      <c r="A39" s="396" t="s">
        <v>462</v>
      </c>
      <c r="B39" s="524">
        <v>3850000</v>
      </c>
      <c r="C39" s="525"/>
      <c r="D39" s="439"/>
      <c r="F39" s="501"/>
      <c r="I39" s="460" t="s">
        <v>463</v>
      </c>
      <c r="J39" s="460" t="s">
        <v>464</v>
      </c>
      <c r="K39" s="460" t="s">
        <v>370</v>
      </c>
      <c r="M39" s="516">
        <v>3</v>
      </c>
      <c r="N39" s="526">
        <f>12000*750*2</f>
        <v>18000000</v>
      </c>
      <c r="O39" s="517"/>
      <c r="P39" s="517"/>
      <c r="Q39" s="518">
        <f t="shared" si="3"/>
        <v>18000000</v>
      </c>
      <c r="R39" s="385" t="s">
        <v>732</v>
      </c>
      <c r="AA39" s="399">
        <f t="shared" si="0"/>
        <v>8.7500000000000036E-2</v>
      </c>
    </row>
    <row r="40" spans="1:27">
      <c r="A40" s="396" t="s">
        <v>465</v>
      </c>
      <c r="B40" s="527">
        <v>115500</v>
      </c>
      <c r="C40" s="528">
        <v>0.03</v>
      </c>
      <c r="F40" s="501"/>
      <c r="I40" s="415" t="s">
        <v>466</v>
      </c>
      <c r="J40" s="529" cm="1">
        <f t="array" ref="J40:L40">'[9]CJ III'!K13:M13</f>
        <v>5999.9999999999964</v>
      </c>
      <c r="K40" s="530">
        <v>0</v>
      </c>
      <c r="L40" s="385">
        <v>0</v>
      </c>
      <c r="M40" s="516">
        <v>4</v>
      </c>
      <c r="N40" s="526"/>
      <c r="O40" s="526"/>
      <c r="P40" s="526"/>
      <c r="Q40" s="518">
        <f t="shared" si="3"/>
        <v>0</v>
      </c>
      <c r="AA40" s="399">
        <f t="shared" si="0"/>
        <v>9.0000000000000038E-2</v>
      </c>
    </row>
    <row r="41" spans="1:27">
      <c r="A41" s="396" t="s">
        <v>467</v>
      </c>
      <c r="B41" s="527">
        <v>38500</v>
      </c>
      <c r="C41" s="528">
        <v>0.01</v>
      </c>
      <c r="F41" s="501"/>
      <c r="I41" s="416" t="str">
        <f>I17</f>
        <v>Área Total Construída</v>
      </c>
      <c r="J41" s="468">
        <f>'[9]CJ III'!G13</f>
        <v>13600</v>
      </c>
      <c r="K41" s="531"/>
      <c r="M41" s="516">
        <v>5</v>
      </c>
      <c r="N41" s="526"/>
      <c r="O41" s="526"/>
      <c r="P41" s="526"/>
      <c r="Q41" s="518">
        <f t="shared" si="3"/>
        <v>0</v>
      </c>
      <c r="AA41" s="399">
        <f t="shared" si="0"/>
        <v>9.2500000000000041E-2</v>
      </c>
    </row>
    <row r="42" spans="1:27">
      <c r="A42" s="396" t="s">
        <v>468</v>
      </c>
      <c r="B42" s="527">
        <v>19250</v>
      </c>
      <c r="C42" s="528">
        <v>5.0000000000000001E-3</v>
      </c>
      <c r="F42" s="501"/>
      <c r="I42" s="532" t="s">
        <v>469</v>
      </c>
      <c r="J42" s="533"/>
      <c r="K42" s="511">
        <f>J41*J40</f>
        <v>81599999.999999955</v>
      </c>
      <c r="L42" s="439"/>
      <c r="M42" s="516">
        <v>6</v>
      </c>
      <c r="N42" s="526">
        <f>N39*1.2*2</f>
        <v>43200000</v>
      </c>
      <c r="O42" s="526"/>
      <c r="P42" s="526"/>
      <c r="Q42" s="518">
        <f t="shared" si="3"/>
        <v>43200000</v>
      </c>
      <c r="R42" s="385" t="s">
        <v>733</v>
      </c>
      <c r="AA42" s="399">
        <f t="shared" si="0"/>
        <v>9.5000000000000043E-2</v>
      </c>
    </row>
    <row r="43" spans="1:27">
      <c r="A43" s="396" t="s">
        <v>470</v>
      </c>
      <c r="B43" s="527">
        <v>57750</v>
      </c>
      <c r="C43" s="528">
        <v>1.4999999999999999E-2</v>
      </c>
      <c r="D43" s="439"/>
      <c r="F43" s="501"/>
      <c r="I43" s="415" t="s">
        <v>471</v>
      </c>
      <c r="J43" s="475">
        <v>2.4999999999999998E-2</v>
      </c>
      <c r="K43" s="468">
        <f>J43*$K$42</f>
        <v>2039999.9999999986</v>
      </c>
      <c r="M43" s="516">
        <v>7</v>
      </c>
      <c r="N43" s="526"/>
      <c r="O43" s="517"/>
      <c r="P43" s="526"/>
      <c r="Q43" s="518">
        <f t="shared" si="3"/>
        <v>0</v>
      </c>
      <c r="AA43" s="399">
        <f t="shared" si="0"/>
        <v>9.7500000000000045E-2</v>
      </c>
    </row>
    <row r="44" spans="1:27">
      <c r="A44" s="396" t="s">
        <v>472</v>
      </c>
      <c r="B44" s="527">
        <v>57750</v>
      </c>
      <c r="C44" s="528">
        <v>1.4999999999999999E-2</v>
      </c>
      <c r="F44" s="501"/>
      <c r="I44" s="415" t="s">
        <v>473</v>
      </c>
      <c r="J44" s="475">
        <v>0.01</v>
      </c>
      <c r="K44" s="468">
        <f>J44*$K$42</f>
        <v>815999.99999999953</v>
      </c>
      <c r="M44" s="516">
        <v>8</v>
      </c>
      <c r="N44" s="526"/>
      <c r="O44" s="526"/>
      <c r="P44" s="526"/>
      <c r="Q44" s="518">
        <f t="shared" si="3"/>
        <v>0</v>
      </c>
      <c r="AA44" s="399">
        <f t="shared" si="0"/>
        <v>0.10000000000000005</v>
      </c>
    </row>
    <row r="45" spans="1:27" ht="13" thickBot="1">
      <c r="A45" s="396" t="s">
        <v>474</v>
      </c>
      <c r="B45" s="534">
        <v>4138750</v>
      </c>
      <c r="C45" s="535" t="s">
        <v>182</v>
      </c>
      <c r="E45" s="536"/>
      <c r="F45" s="501"/>
      <c r="I45" s="415" t="s">
        <v>475</v>
      </c>
      <c r="J45" s="475">
        <v>0</v>
      </c>
      <c r="K45" s="515">
        <v>1200000</v>
      </c>
      <c r="M45" s="516">
        <v>9</v>
      </c>
      <c r="N45" s="526"/>
      <c r="O45" s="526"/>
      <c r="P45" s="526"/>
      <c r="Q45" s="518">
        <f t="shared" si="3"/>
        <v>0</v>
      </c>
      <c r="AA45" s="399">
        <f t="shared" si="0"/>
        <v>0.10250000000000005</v>
      </c>
    </row>
    <row r="46" spans="1:27">
      <c r="A46" s="537" t="s">
        <v>476</v>
      </c>
      <c r="B46" s="392" t="s">
        <v>477</v>
      </c>
      <c r="C46" s="538">
        <v>3</v>
      </c>
      <c r="D46" s="392" t="s">
        <v>478</v>
      </c>
      <c r="E46" s="397">
        <v>3</v>
      </c>
      <c r="F46" s="539"/>
      <c r="I46" s="532" t="s">
        <v>124</v>
      </c>
      <c r="J46" s="533"/>
      <c r="K46" s="511">
        <f>K31</f>
        <v>43000000.000000007</v>
      </c>
      <c r="M46" s="516">
        <v>10</v>
      </c>
      <c r="N46" s="526">
        <f>$Q$23*$L$17*0.1</f>
        <v>6720000.0000000065</v>
      </c>
      <c r="O46" s="526">
        <f>$Q$24*$L$17*0.125*P24</f>
        <v>11200000.000000007</v>
      </c>
      <c r="P46" s="526"/>
      <c r="Q46" s="518">
        <f t="shared" si="3"/>
        <v>17920000.000000015</v>
      </c>
      <c r="R46" s="385" t="s">
        <v>734</v>
      </c>
      <c r="AA46" s="399">
        <f t="shared" si="0"/>
        <v>0.10500000000000005</v>
      </c>
    </row>
    <row r="47" spans="1:27">
      <c r="A47" s="540" t="s">
        <v>349</v>
      </c>
      <c r="B47" s="396" t="s">
        <v>479</v>
      </c>
      <c r="C47" s="538">
        <v>1</v>
      </c>
      <c r="D47" s="396" t="s">
        <v>480</v>
      </c>
      <c r="E47" s="508">
        <v>3</v>
      </c>
      <c r="F47" s="408"/>
      <c r="I47" s="415" t="s">
        <v>148</v>
      </c>
      <c r="J47" s="475">
        <v>5.000000000000001E-2</v>
      </c>
      <c r="K47" s="468">
        <f t="shared" ref="K47:K52" si="4">J47*$K$35</f>
        <v>11200000.000000002</v>
      </c>
      <c r="L47" s="481"/>
      <c r="M47" s="516">
        <v>11</v>
      </c>
      <c r="N47" s="526">
        <f t="shared" ref="N47:N49" si="5">N46</f>
        <v>6720000.0000000065</v>
      </c>
      <c r="O47" s="517"/>
      <c r="P47" s="526">
        <f>$Q$25*$L$17</f>
        <v>5169230.7692307737</v>
      </c>
      <c r="Q47" s="518">
        <f t="shared" si="3"/>
        <v>11889230.769230779</v>
      </c>
      <c r="AA47" s="399">
        <f t="shared" si="0"/>
        <v>0.10750000000000005</v>
      </c>
    </row>
    <row r="48" spans="1:27" ht="13" thickBot="1">
      <c r="A48" s="541"/>
      <c r="B48" s="542" t="s">
        <v>481</v>
      </c>
      <c r="C48" s="543">
        <v>400</v>
      </c>
      <c r="D48" s="401" t="s">
        <v>482</v>
      </c>
      <c r="E48" s="544">
        <v>2</v>
      </c>
      <c r="F48" s="440"/>
      <c r="I48" s="415" t="s">
        <v>483</v>
      </c>
      <c r="J48" s="475">
        <v>0.01</v>
      </c>
      <c r="K48" s="468">
        <f t="shared" si="4"/>
        <v>2240000</v>
      </c>
      <c r="M48" s="516">
        <v>12</v>
      </c>
      <c r="N48" s="526">
        <f t="shared" si="5"/>
        <v>6720000.0000000065</v>
      </c>
      <c r="O48" s="526">
        <f>O46</f>
        <v>11200000.000000007</v>
      </c>
      <c r="P48" s="526">
        <f t="shared" ref="P48:P52" si="6">P47</f>
        <v>5169230.7692307737</v>
      </c>
      <c r="Q48" s="518">
        <f t="shared" si="3"/>
        <v>23089230.769230787</v>
      </c>
      <c r="AA48" s="399">
        <f t="shared" si="0"/>
        <v>0.11000000000000006</v>
      </c>
    </row>
    <row r="49" spans="1:27">
      <c r="A49" s="499" t="s">
        <v>484</v>
      </c>
      <c r="B49" s="545" t="s">
        <v>485</v>
      </c>
      <c r="C49" s="545" t="s">
        <v>131</v>
      </c>
      <c r="D49" s="546" t="s">
        <v>486</v>
      </c>
      <c r="E49" s="546" t="s">
        <v>487</v>
      </c>
      <c r="F49" s="547" t="s">
        <v>488</v>
      </c>
      <c r="I49" s="415" t="s">
        <v>489</v>
      </c>
      <c r="J49" s="475">
        <v>1.2500000000000001E-2</v>
      </c>
      <c r="K49" s="468">
        <f t="shared" si="4"/>
        <v>2800000</v>
      </c>
      <c r="M49" s="516">
        <v>13</v>
      </c>
      <c r="N49" s="526">
        <f t="shared" si="5"/>
        <v>6720000.0000000065</v>
      </c>
      <c r="O49" s="526">
        <f>O46</f>
        <v>11200000.000000007</v>
      </c>
      <c r="P49" s="526">
        <f t="shared" si="6"/>
        <v>5169230.7692307737</v>
      </c>
      <c r="Q49" s="518">
        <f t="shared" si="3"/>
        <v>23089230.769230787</v>
      </c>
      <c r="AA49" s="399">
        <f t="shared" si="0"/>
        <v>0.11250000000000006</v>
      </c>
    </row>
    <row r="50" spans="1:27">
      <c r="A50" s="396" t="s">
        <v>354</v>
      </c>
      <c r="B50" s="548">
        <v>400</v>
      </c>
      <c r="C50" s="549">
        <v>1</v>
      </c>
      <c r="D50" s="550">
        <v>400</v>
      </c>
      <c r="E50" s="397">
        <v>1</v>
      </c>
      <c r="F50" s="551">
        <v>400</v>
      </c>
      <c r="I50" s="415" t="s">
        <v>490</v>
      </c>
      <c r="J50" s="475">
        <v>6.5000000000000016E-2</v>
      </c>
      <c r="K50" s="468">
        <f t="shared" si="4"/>
        <v>14560000.000000004</v>
      </c>
      <c r="M50" s="516">
        <v>14</v>
      </c>
      <c r="N50" s="526"/>
      <c r="O50" s="526">
        <f>O48</f>
        <v>11200000.000000007</v>
      </c>
      <c r="P50" s="526">
        <f t="shared" si="6"/>
        <v>5169230.7692307737</v>
      </c>
      <c r="Q50" s="518">
        <f t="shared" si="3"/>
        <v>16369230.769230781</v>
      </c>
      <c r="AA50" s="399">
        <f t="shared" si="0"/>
        <v>0.11500000000000006</v>
      </c>
    </row>
    <row r="51" spans="1:27">
      <c r="A51" s="396" t="s">
        <v>362</v>
      </c>
      <c r="B51" s="548">
        <v>400</v>
      </c>
      <c r="C51" s="549">
        <v>1</v>
      </c>
      <c r="D51" s="550">
        <v>400</v>
      </c>
      <c r="E51" s="397">
        <v>1</v>
      </c>
      <c r="F51" s="551">
        <v>400</v>
      </c>
      <c r="I51" s="415" t="s">
        <v>442</v>
      </c>
      <c r="J51" s="475">
        <v>0</v>
      </c>
      <c r="K51" s="468">
        <f t="shared" si="4"/>
        <v>0</v>
      </c>
      <c r="M51" s="516">
        <v>15</v>
      </c>
      <c r="N51" s="526"/>
      <c r="O51" s="526">
        <f>O50</f>
        <v>11200000.000000007</v>
      </c>
      <c r="P51" s="526">
        <f t="shared" si="6"/>
        <v>5169230.7692307737</v>
      </c>
      <c r="Q51" s="518">
        <f t="shared" si="3"/>
        <v>16369230.769230781</v>
      </c>
      <c r="AA51" s="399">
        <f t="shared" si="0"/>
        <v>0.11750000000000006</v>
      </c>
    </row>
    <row r="52" spans="1:27">
      <c r="A52" s="396" t="s">
        <v>383</v>
      </c>
      <c r="B52" s="548">
        <v>300</v>
      </c>
      <c r="C52" s="549">
        <v>1</v>
      </c>
      <c r="D52" s="550">
        <v>300</v>
      </c>
      <c r="E52" s="397">
        <v>1</v>
      </c>
      <c r="F52" s="551">
        <v>300</v>
      </c>
      <c r="I52" s="415" t="s">
        <v>444</v>
      </c>
      <c r="J52" s="475">
        <v>0</v>
      </c>
      <c r="K52" s="468">
        <f t="shared" si="4"/>
        <v>0</v>
      </c>
      <c r="M52" s="516">
        <v>16</v>
      </c>
      <c r="N52" s="526"/>
      <c r="O52" s="526">
        <f>O51</f>
        <v>11200000.000000007</v>
      </c>
      <c r="P52" s="526">
        <f t="shared" si="6"/>
        <v>5169230.7692307737</v>
      </c>
      <c r="Q52" s="518">
        <f t="shared" si="3"/>
        <v>16369230.769230781</v>
      </c>
      <c r="AA52" s="399">
        <f t="shared" si="0"/>
        <v>0.12000000000000006</v>
      </c>
    </row>
    <row r="53" spans="1:27">
      <c r="A53" s="396" t="s">
        <v>386</v>
      </c>
      <c r="B53" s="548">
        <v>900</v>
      </c>
      <c r="C53" s="549">
        <v>1</v>
      </c>
      <c r="D53" s="550">
        <v>900</v>
      </c>
      <c r="E53" s="397">
        <v>0.6</v>
      </c>
      <c r="F53" s="551">
        <v>534</v>
      </c>
      <c r="I53" s="438" t="s">
        <v>2</v>
      </c>
      <c r="J53" s="416" t="s">
        <v>182</v>
      </c>
      <c r="K53" s="492">
        <f>SUM(K40:K52)</f>
        <v>159455999.99999997</v>
      </c>
      <c r="M53" s="516">
        <v>17</v>
      </c>
      <c r="N53" s="526"/>
      <c r="O53" s="517"/>
      <c r="P53" s="526">
        <f>P52</f>
        <v>5169230.7692307737</v>
      </c>
      <c r="Q53" s="518">
        <f t="shared" si="3"/>
        <v>5169230.7692307737</v>
      </c>
      <c r="AA53" s="399">
        <f t="shared" si="0"/>
        <v>0.12250000000000007</v>
      </c>
    </row>
    <row r="54" spans="1:27">
      <c r="A54" s="396"/>
      <c r="B54" s="552"/>
      <c r="C54" s="553">
        <v>1</v>
      </c>
      <c r="D54" s="550">
        <v>0</v>
      </c>
      <c r="E54" s="397"/>
      <c r="F54" s="551">
        <v>0</v>
      </c>
      <c r="M54" s="516">
        <v>18</v>
      </c>
      <c r="N54" s="517"/>
      <c r="O54" s="517"/>
      <c r="P54" s="526">
        <f>P53</f>
        <v>5169230.7692307737</v>
      </c>
      <c r="Q54" s="518">
        <f t="shared" si="3"/>
        <v>5169230.7692307737</v>
      </c>
      <c r="AA54" s="399">
        <f t="shared" si="0"/>
        <v>0.12500000000000006</v>
      </c>
    </row>
    <row r="55" spans="1:27">
      <c r="A55" s="396"/>
      <c r="B55" s="552"/>
      <c r="C55" s="553">
        <v>1</v>
      </c>
      <c r="D55" s="550">
        <v>0</v>
      </c>
      <c r="E55" s="397"/>
      <c r="F55" s="551">
        <v>0</v>
      </c>
      <c r="I55" s="385" t="s">
        <v>491</v>
      </c>
      <c r="M55" s="516">
        <v>19</v>
      </c>
      <c r="N55" s="517"/>
      <c r="O55" s="517"/>
      <c r="P55" s="526">
        <f>P54</f>
        <v>5169230.7692307737</v>
      </c>
      <c r="Q55" s="518">
        <f t="shared" si="3"/>
        <v>5169230.7692307737</v>
      </c>
      <c r="AA55" s="399">
        <f t="shared" si="0"/>
        <v>0.12750000000000006</v>
      </c>
    </row>
    <row r="56" spans="1:27">
      <c r="A56" s="396"/>
      <c r="B56" s="552"/>
      <c r="C56" s="549">
        <v>1</v>
      </c>
      <c r="D56" s="550">
        <v>0</v>
      </c>
      <c r="E56" s="397"/>
      <c r="F56" s="551">
        <v>0</v>
      </c>
      <c r="I56" s="554" t="s">
        <v>492</v>
      </c>
      <c r="J56" s="460"/>
      <c r="K56" s="460" t="s">
        <v>246</v>
      </c>
      <c r="M56" s="516">
        <v>20</v>
      </c>
      <c r="N56" s="517"/>
      <c r="O56" s="517"/>
      <c r="P56" s="526">
        <f>P55</f>
        <v>5169230.7692307737</v>
      </c>
      <c r="Q56" s="518">
        <f t="shared" ref="Q56:Q60" si="7">N56+O56+P56</f>
        <v>5169230.7692307737</v>
      </c>
      <c r="AA56" s="399">
        <f t="shared" si="0"/>
        <v>0.13000000000000006</v>
      </c>
    </row>
    <row r="57" spans="1:27" ht="13" thickBot="1">
      <c r="A57" s="401" t="s">
        <v>493</v>
      </c>
      <c r="B57" s="555" t="s">
        <v>494</v>
      </c>
      <c r="C57" s="556" t="s">
        <v>131</v>
      </c>
      <c r="D57" s="557">
        <v>2000</v>
      </c>
      <c r="E57" s="555" t="s">
        <v>495</v>
      </c>
      <c r="F57" s="558">
        <v>1634</v>
      </c>
      <c r="I57" s="415" t="s">
        <v>132</v>
      </c>
      <c r="J57" s="415" t="s">
        <v>496</v>
      </c>
      <c r="K57" s="468">
        <f>K46/J8</f>
        <v>6516.1388089104421</v>
      </c>
      <c r="M57" s="516">
        <v>21</v>
      </c>
      <c r="N57" s="517"/>
      <c r="O57" s="517"/>
      <c r="P57" s="526">
        <f>P56</f>
        <v>5169230.7692307737</v>
      </c>
      <c r="Q57" s="518">
        <f t="shared" si="7"/>
        <v>5169230.7692307737</v>
      </c>
      <c r="AA57" s="399">
        <f t="shared" si="0"/>
        <v>0.13250000000000006</v>
      </c>
    </row>
    <row r="58" spans="1:27">
      <c r="A58" s="499" t="s">
        <v>497</v>
      </c>
      <c r="B58" s="546" t="s">
        <v>498</v>
      </c>
      <c r="C58" s="545" t="s">
        <v>131</v>
      </c>
      <c r="D58" s="546" t="s">
        <v>486</v>
      </c>
      <c r="E58" s="546" t="s">
        <v>499</v>
      </c>
      <c r="F58" s="559"/>
      <c r="I58" s="415" t="s">
        <v>127</v>
      </c>
      <c r="J58" s="415" t="s">
        <v>500</v>
      </c>
      <c r="K58" s="468">
        <f>J40</f>
        <v>5999.9999999999964</v>
      </c>
      <c r="M58" s="516">
        <v>22</v>
      </c>
      <c r="N58" s="517"/>
      <c r="O58" s="517"/>
      <c r="P58" s="526">
        <v>11858461.533499876</v>
      </c>
      <c r="Q58" s="518">
        <f t="shared" si="7"/>
        <v>11858461.533499876</v>
      </c>
      <c r="AA58" s="399">
        <f t="shared" si="0"/>
        <v>0.13500000000000006</v>
      </c>
    </row>
    <row r="59" spans="1:27">
      <c r="A59" s="396" t="s">
        <v>501</v>
      </c>
      <c r="B59" s="560">
        <v>10000000</v>
      </c>
      <c r="C59" s="561">
        <v>2</v>
      </c>
      <c r="D59" s="550">
        <v>20000000</v>
      </c>
      <c r="E59" s="562">
        <v>400</v>
      </c>
      <c r="F59" s="501"/>
      <c r="I59" s="415" t="s">
        <v>502</v>
      </c>
      <c r="J59" s="563" t="s">
        <v>503</v>
      </c>
      <c r="K59" s="468">
        <f>(K42+K46)/J35</f>
        <v>8899.9999999999982</v>
      </c>
      <c r="M59" s="516">
        <v>23</v>
      </c>
      <c r="N59" s="517"/>
      <c r="O59" s="517"/>
      <c r="P59" s="526"/>
      <c r="Q59" s="518">
        <f t="shared" si="7"/>
        <v>0</v>
      </c>
      <c r="AA59" s="399">
        <f t="shared" si="0"/>
        <v>0.13750000000000007</v>
      </c>
    </row>
    <row r="60" spans="1:27">
      <c r="A60" s="396" t="s">
        <v>504</v>
      </c>
      <c r="B60" s="560">
        <v>11467500</v>
      </c>
      <c r="C60" s="561">
        <v>2</v>
      </c>
      <c r="D60" s="550">
        <v>22935000</v>
      </c>
      <c r="E60" s="562">
        <v>417</v>
      </c>
      <c r="F60" s="501"/>
      <c r="I60" s="415" t="s">
        <v>505</v>
      </c>
      <c r="J60" s="415" t="s">
        <v>506</v>
      </c>
      <c r="K60" s="468">
        <f>K53/J35</f>
        <v>11389.714285714284</v>
      </c>
      <c r="L60" s="491"/>
      <c r="M60" s="516">
        <v>24</v>
      </c>
      <c r="N60" s="517"/>
      <c r="O60" s="517"/>
      <c r="P60" s="526"/>
      <c r="Q60" s="518">
        <f t="shared" si="7"/>
        <v>0</v>
      </c>
      <c r="AA60" s="399">
        <f t="shared" si="0"/>
        <v>0.14000000000000007</v>
      </c>
    </row>
    <row r="61" spans="1:27">
      <c r="A61" s="396"/>
      <c r="B61" s="560">
        <v>0</v>
      </c>
      <c r="C61" s="561"/>
      <c r="D61" s="550">
        <v>0</v>
      </c>
      <c r="E61" s="562"/>
      <c r="F61" s="501"/>
      <c r="I61" s="415" t="s">
        <v>507</v>
      </c>
      <c r="J61" s="415" t="s">
        <v>508</v>
      </c>
      <c r="K61" s="468">
        <f>K53/L17</f>
        <v>11389714.285714284</v>
      </c>
      <c r="M61" s="463"/>
      <c r="Q61" s="452"/>
      <c r="AA61" s="399">
        <f t="shared" si="0"/>
        <v>0.14250000000000007</v>
      </c>
    </row>
    <row r="62" spans="1:27">
      <c r="A62" s="396"/>
      <c r="B62" s="560">
        <v>0</v>
      </c>
      <c r="C62" s="561"/>
      <c r="D62" s="550">
        <v>0</v>
      </c>
      <c r="E62" s="562"/>
      <c r="F62" s="501"/>
      <c r="M62" s="463"/>
      <c r="Q62" s="452"/>
      <c r="AA62" s="399">
        <f t="shared" si="0"/>
        <v>0.14500000000000007</v>
      </c>
    </row>
    <row r="63" spans="1:27" ht="13" thickBot="1">
      <c r="A63" s="401" t="s">
        <v>509</v>
      </c>
      <c r="B63" s="564" t="s">
        <v>494</v>
      </c>
      <c r="C63" s="565">
        <v>4</v>
      </c>
      <c r="D63" s="566">
        <v>42935000</v>
      </c>
      <c r="E63" s="567">
        <v>408.5</v>
      </c>
      <c r="F63" s="568"/>
      <c r="I63" s="415" t="s">
        <v>510</v>
      </c>
      <c r="J63" s="415" t="s">
        <v>511</v>
      </c>
      <c r="K63" s="468">
        <f>J36</f>
        <v>16000</v>
      </c>
      <c r="M63" s="569" t="s">
        <v>2</v>
      </c>
      <c r="N63" s="570">
        <f>SUM(N36:N55)</f>
        <v>88080000</v>
      </c>
      <c r="O63" s="570">
        <f>SUM(O36:O55)</f>
        <v>67200000.000000045</v>
      </c>
      <c r="P63" s="570">
        <f>SUM(P36:P58)</f>
        <v>68719999.995038405</v>
      </c>
      <c r="Q63" s="571">
        <f>ROUND(P63+O63+N63,2)</f>
        <v>224000000</v>
      </c>
      <c r="AA63" s="399">
        <f t="shared" si="0"/>
        <v>0.14750000000000008</v>
      </c>
    </row>
    <row r="64" spans="1:27">
      <c r="A64" s="572" t="s">
        <v>512</v>
      </c>
      <c r="B64" s="573" t="s">
        <v>513</v>
      </c>
      <c r="C64" s="393"/>
      <c r="D64" s="393"/>
      <c r="E64" s="393"/>
      <c r="F64" s="574"/>
      <c r="Q64" s="575" t="str">
        <f>IF((Q63-K35)=0,"Ok","Verificar Cronograma")</f>
        <v>Ok</v>
      </c>
      <c r="AA64" s="399">
        <f t="shared" si="0"/>
        <v>0.15000000000000008</v>
      </c>
    </row>
    <row r="65" spans="1:27" ht="13" thickBot="1">
      <c r="A65" s="576"/>
      <c r="B65" s="577" t="s">
        <v>514</v>
      </c>
      <c r="C65" s="536"/>
      <c r="D65" s="536"/>
      <c r="E65" s="536"/>
      <c r="F65" s="568"/>
      <c r="AA65" s="399">
        <f t="shared" si="0"/>
        <v>0.15250000000000008</v>
      </c>
    </row>
    <row r="66" spans="1:27" ht="4.25" customHeight="1" thickBot="1">
      <c r="A66" s="384" t="s">
        <v>515</v>
      </c>
      <c r="F66" s="501"/>
      <c r="I66" s="517"/>
      <c r="J66" s="517"/>
      <c r="K66" s="517"/>
      <c r="L66" s="517"/>
      <c r="M66" s="517"/>
      <c r="N66" s="517"/>
      <c r="O66" s="517"/>
      <c r="P66" s="517"/>
      <c r="Q66" s="517"/>
      <c r="AA66" s="399">
        <f t="shared" si="0"/>
        <v>0.15500000000000008</v>
      </c>
    </row>
    <row r="67" spans="1:27" ht="13" thickBot="1">
      <c r="A67" s="578" t="s">
        <v>516</v>
      </c>
      <c r="C67" s="579">
        <v>1652.8925619834711</v>
      </c>
      <c r="D67" s="384" t="s">
        <v>517</v>
      </c>
      <c r="F67" s="580">
        <v>5.05</v>
      </c>
      <c r="AA67" s="399">
        <f t="shared" si="0"/>
        <v>0.15750000000000008</v>
      </c>
    </row>
    <row r="68" spans="1:27" ht="13" thickBot="1">
      <c r="A68" s="578" t="s">
        <v>518</v>
      </c>
      <c r="C68" s="581">
        <v>25000</v>
      </c>
      <c r="D68" s="384"/>
      <c r="F68" s="582"/>
      <c r="I68" s="385" t="s">
        <v>519</v>
      </c>
      <c r="L68" s="583"/>
      <c r="M68" s="385" t="s">
        <v>520</v>
      </c>
      <c r="AA68" s="399">
        <f t="shared" si="0"/>
        <v>0.16000000000000009</v>
      </c>
    </row>
    <row r="69" spans="1:27" ht="13" thickBot="1">
      <c r="A69" s="584" t="s">
        <v>521</v>
      </c>
      <c r="B69" s="585"/>
      <c r="C69" s="581">
        <v>27500</v>
      </c>
      <c r="F69" s="501"/>
      <c r="L69" s="583"/>
      <c r="O69" s="385" t="s">
        <v>522</v>
      </c>
      <c r="AA69" s="399">
        <f t="shared" si="0"/>
        <v>0.16250000000000009</v>
      </c>
    </row>
    <row r="70" spans="1:27">
      <c r="A70" s="578" t="s">
        <v>523</v>
      </c>
      <c r="F70" s="501"/>
      <c r="I70" s="586" t="s">
        <v>454</v>
      </c>
      <c r="J70" s="587" t="s">
        <v>524</v>
      </c>
      <c r="K70" s="588" t="s">
        <v>525</v>
      </c>
      <c r="L70" s="583"/>
      <c r="M70" s="497" t="s">
        <v>526</v>
      </c>
      <c r="N70" s="589">
        <v>0.14000000000000001</v>
      </c>
      <c r="O70" s="590" t="s">
        <v>392</v>
      </c>
      <c r="AA70" s="399">
        <f t="shared" si="0"/>
        <v>0.16500000000000009</v>
      </c>
    </row>
    <row r="71" spans="1:27">
      <c r="A71" s="591"/>
      <c r="F71" s="501"/>
      <c r="J71" s="587"/>
      <c r="L71" s="583"/>
      <c r="M71" s="497" t="s">
        <v>527</v>
      </c>
      <c r="N71" s="589">
        <v>0.16</v>
      </c>
      <c r="O71" s="433" t="s">
        <v>393</v>
      </c>
      <c r="AA71" s="399">
        <f t="shared" si="0"/>
        <v>0.16750000000000009</v>
      </c>
    </row>
    <row r="72" spans="1:27">
      <c r="F72" s="501"/>
      <c r="I72" s="465">
        <v>0</v>
      </c>
      <c r="J72" s="592">
        <f>(K46+K42*30%)*-1</f>
        <v>-67480000</v>
      </c>
      <c r="L72" s="583"/>
      <c r="M72" s="497" t="s">
        <v>528</v>
      </c>
      <c r="N72" s="593">
        <v>25</v>
      </c>
      <c r="AA72" s="399">
        <f t="shared" si="0"/>
        <v>0.1700000000000001</v>
      </c>
    </row>
    <row r="73" spans="1:27">
      <c r="A73" s="591"/>
      <c r="F73" s="501"/>
      <c r="I73" s="465">
        <v>1</v>
      </c>
      <c r="J73" s="594">
        <f>K73*$Q$63</f>
        <v>123199999.99999984</v>
      </c>
      <c r="K73" s="595">
        <v>0.54999999999999927</v>
      </c>
      <c r="L73" s="596"/>
      <c r="M73" s="385" t="s">
        <v>529</v>
      </c>
      <c r="N73" s="597">
        <f>N79/N72</f>
        <v>1.1866666666666666E-2</v>
      </c>
      <c r="AA73" s="399">
        <f t="shared" si="0"/>
        <v>0.1725000000000001</v>
      </c>
    </row>
    <row r="74" spans="1:27">
      <c r="A74" s="591"/>
      <c r="F74" s="501"/>
      <c r="I74" s="465">
        <v>2</v>
      </c>
      <c r="J74" s="594">
        <f t="shared" ref="J74:J84" si="8">K74*$Q$63</f>
        <v>42560000.000000022</v>
      </c>
      <c r="K74" s="595">
        <v>0.19000000000000011</v>
      </c>
      <c r="L74" s="596"/>
      <c r="AA74" s="399">
        <f t="shared" si="0"/>
        <v>0.1750000000000001</v>
      </c>
    </row>
    <row r="75" spans="1:27">
      <c r="A75" s="591"/>
      <c r="F75" s="501"/>
      <c r="I75" s="465">
        <v>3</v>
      </c>
      <c r="J75" s="594">
        <f t="shared" si="8"/>
        <v>13440000.000000004</v>
      </c>
      <c r="K75" s="595">
        <v>6.0000000000000019E-2</v>
      </c>
      <c r="L75" s="596"/>
      <c r="AA75" s="399">
        <f t="shared" ref="AA75:AA138" si="9">AA74+0.25%</f>
        <v>0.1775000000000001</v>
      </c>
    </row>
    <row r="76" spans="1:27">
      <c r="A76" s="591"/>
      <c r="F76" s="501"/>
      <c r="I76" s="465">
        <v>4</v>
      </c>
      <c r="J76" s="594">
        <f t="shared" si="8"/>
        <v>6719999.9999999991</v>
      </c>
      <c r="K76" s="595">
        <v>2.9999999999999995E-2</v>
      </c>
      <c r="L76" s="596"/>
      <c r="M76" s="598" t="s">
        <v>530</v>
      </c>
      <c r="N76" s="599" t="s">
        <v>531</v>
      </c>
      <c r="O76" s="600"/>
      <c r="P76" s="600"/>
      <c r="Q76" s="600"/>
      <c r="R76" s="601"/>
      <c r="AA76" s="399">
        <f t="shared" si="9"/>
        <v>0.1800000000000001</v>
      </c>
    </row>
    <row r="77" spans="1:27">
      <c r="A77" s="591"/>
      <c r="F77" s="501"/>
      <c r="I77" s="465">
        <v>5</v>
      </c>
      <c r="J77" s="594">
        <f t="shared" si="8"/>
        <v>6719999.9999999991</v>
      </c>
      <c r="K77" s="595">
        <v>2.9999999999999995E-2</v>
      </c>
      <c r="L77" s="596"/>
      <c r="M77" s="602" t="s">
        <v>532</v>
      </c>
      <c r="N77" s="603">
        <f>'FlCx_Invest_Mutuo - SEM PERMUTA'!C52</f>
        <v>0.42066296483257526</v>
      </c>
      <c r="O77" s="604"/>
      <c r="P77" s="604"/>
      <c r="Q77" s="605"/>
      <c r="R77" s="606"/>
      <c r="AA77" s="399">
        <f t="shared" si="9"/>
        <v>0.18250000000000011</v>
      </c>
    </row>
    <row r="78" spans="1:27">
      <c r="A78" s="591"/>
      <c r="F78" s="501"/>
      <c r="I78" s="465">
        <v>6</v>
      </c>
      <c r="J78" s="594">
        <f t="shared" si="8"/>
        <v>6719999.9999999991</v>
      </c>
      <c r="K78" s="595">
        <v>2.9999999999999995E-2</v>
      </c>
      <c r="L78" s="596"/>
      <c r="M78" s="602" t="s">
        <v>533</v>
      </c>
      <c r="N78" s="607">
        <f>'FlCx_Invest_Mutuo - SEM PERMUTA'!C53</f>
        <v>45216233.675069451</v>
      </c>
      <c r="AA78" s="399">
        <f t="shared" si="9"/>
        <v>0.18500000000000011</v>
      </c>
    </row>
    <row r="79" spans="1:27">
      <c r="A79" s="591"/>
      <c r="F79" s="501"/>
      <c r="I79" s="465">
        <v>7</v>
      </c>
      <c r="J79" s="594">
        <f t="shared" si="8"/>
        <v>5599999.9999999991</v>
      </c>
      <c r="K79" s="595">
        <v>2.4999999999999998E-2</v>
      </c>
      <c r="L79" s="596"/>
      <c r="M79" s="602" t="s">
        <v>534</v>
      </c>
      <c r="N79" s="608">
        <f>'FlCx_Invest_Mutuo - SEM PERMUTA'!C54</f>
        <v>0.29666666666666663</v>
      </c>
      <c r="AA79" s="399">
        <f t="shared" si="9"/>
        <v>0.18750000000000011</v>
      </c>
    </row>
    <row r="80" spans="1:27" ht="13" thickBot="1">
      <c r="A80" s="576"/>
      <c r="B80" s="536"/>
      <c r="C80" s="536"/>
      <c r="D80" s="536"/>
      <c r="E80" s="536"/>
      <c r="F80" s="568"/>
      <c r="I80" s="465">
        <v>8</v>
      </c>
      <c r="J80" s="594">
        <f t="shared" si="8"/>
        <v>5599999.9999999991</v>
      </c>
      <c r="K80" s="595">
        <v>2.4999999999999998E-2</v>
      </c>
      <c r="L80" s="596"/>
      <c r="M80" s="602" t="s">
        <v>535</v>
      </c>
      <c r="N80" s="607">
        <f>'FlCx_Invest_Mutuo - SEM PERMUTA'!C55</f>
        <v>23772000.000000048</v>
      </c>
      <c r="AA80" s="399">
        <f t="shared" si="9"/>
        <v>0.19000000000000011</v>
      </c>
    </row>
    <row r="81" spans="1:27">
      <c r="A81" s="572" t="s">
        <v>536</v>
      </c>
      <c r="B81" s="503"/>
      <c r="C81" s="503"/>
      <c r="D81" s="503"/>
      <c r="E81" s="503"/>
      <c r="F81" s="504"/>
      <c r="H81" s="455"/>
      <c r="I81" s="465">
        <v>9</v>
      </c>
      <c r="J81" s="594">
        <f t="shared" si="8"/>
        <v>5599999.9999999991</v>
      </c>
      <c r="K81" s="595">
        <v>2.4999999999999998E-2</v>
      </c>
      <c r="L81" s="596"/>
      <c r="R81" s="455"/>
      <c r="AA81" s="399">
        <f t="shared" si="9"/>
        <v>0.19250000000000012</v>
      </c>
    </row>
    <row r="82" spans="1:27">
      <c r="A82" s="591"/>
      <c r="F82" s="501"/>
      <c r="I82" s="465">
        <v>10</v>
      </c>
      <c r="J82" s="594">
        <f t="shared" si="8"/>
        <v>4480000</v>
      </c>
      <c r="K82" s="595">
        <v>0.02</v>
      </c>
      <c r="L82" s="596"/>
      <c r="M82" s="609" t="s">
        <v>530</v>
      </c>
      <c r="N82" s="610" t="s">
        <v>537</v>
      </c>
      <c r="AA82" s="399">
        <f t="shared" si="9"/>
        <v>0.19500000000000012</v>
      </c>
    </row>
    <row r="83" spans="1:27">
      <c r="A83" s="591"/>
      <c r="F83" s="501"/>
      <c r="I83" s="465">
        <v>11</v>
      </c>
      <c r="J83" s="594">
        <f t="shared" si="8"/>
        <v>2240000</v>
      </c>
      <c r="K83" s="595">
        <v>0.01</v>
      </c>
      <c r="L83" s="596"/>
      <c r="M83" s="602" t="s">
        <v>538</v>
      </c>
      <c r="N83" s="611">
        <v>5000</v>
      </c>
      <c r="AA83" s="399">
        <f t="shared" si="9"/>
        <v>0.19750000000000012</v>
      </c>
    </row>
    <row r="84" spans="1:27">
      <c r="A84" s="591"/>
      <c r="F84" s="501"/>
      <c r="H84" s="491"/>
      <c r="I84" s="465">
        <v>12</v>
      </c>
      <c r="J84" s="594">
        <f t="shared" si="8"/>
        <v>1119999.9999999998</v>
      </c>
      <c r="K84" s="595">
        <v>4.9999999999999992E-3</v>
      </c>
      <c r="L84" s="596"/>
      <c r="M84" s="602" t="s">
        <v>539</v>
      </c>
      <c r="N84" s="612">
        <f>N83/N80</f>
        <v>2.1033148241628765E-4</v>
      </c>
      <c r="R84" s="491"/>
      <c r="AA84" s="399">
        <f t="shared" si="9"/>
        <v>0.20000000000000012</v>
      </c>
    </row>
    <row r="85" spans="1:27">
      <c r="A85" s="591"/>
      <c r="F85" s="501"/>
      <c r="I85" s="465"/>
      <c r="J85" s="613"/>
      <c r="L85" s="583"/>
      <c r="M85" s="602" t="s">
        <v>540</v>
      </c>
      <c r="N85" s="611">
        <v>4000000</v>
      </c>
      <c r="AA85" s="399">
        <f t="shared" si="9"/>
        <v>0.20250000000000012</v>
      </c>
    </row>
    <row r="86" spans="1:27">
      <c r="A86" s="591"/>
      <c r="F86" s="501"/>
      <c r="H86" s="491"/>
      <c r="I86" s="465"/>
      <c r="J86" s="614">
        <f>SUM(J73:J84)</f>
        <v>223999999.99999985</v>
      </c>
      <c r="K86" s="575" t="str">
        <f>IF(SUM(K73:K84)&lt;&gt;100%,"Verifique Sazonalidade","Ok")</f>
        <v>Ok</v>
      </c>
      <c r="L86" s="583"/>
      <c r="M86" s="602" t="s">
        <v>541</v>
      </c>
      <c r="N86" s="615">
        <f>N85/N80</f>
        <v>0.16826518593303011</v>
      </c>
      <c r="R86" s="491"/>
      <c r="AA86" s="399">
        <f t="shared" si="9"/>
        <v>0.20500000000000013</v>
      </c>
    </row>
    <row r="87" spans="1:27">
      <c r="A87" s="591"/>
      <c r="F87" s="501"/>
      <c r="I87" s="465"/>
      <c r="J87" s="575" t="str">
        <f>IF(J86&lt;&gt;Q63,"Verificar VGV","Ok")</f>
        <v>Ok</v>
      </c>
      <c r="L87" s="583"/>
      <c r="AA87" s="399">
        <f t="shared" si="9"/>
        <v>0.20750000000000013</v>
      </c>
    </row>
    <row r="88" spans="1:27">
      <c r="A88" s="591"/>
      <c r="F88" s="501"/>
      <c r="H88" s="439"/>
      <c r="I88" s="465"/>
      <c r="L88" s="583"/>
      <c r="M88" s="385" t="s">
        <v>542</v>
      </c>
      <c r="R88" s="439"/>
      <c r="AA88" s="399">
        <f t="shared" si="9"/>
        <v>0.21000000000000013</v>
      </c>
    </row>
    <row r="89" spans="1:27">
      <c r="A89" s="591"/>
      <c r="F89" s="501"/>
      <c r="I89" s="616" t="s">
        <v>543</v>
      </c>
      <c r="J89" s="688">
        <v>0.1275</v>
      </c>
      <c r="L89" s="583"/>
      <c r="AA89" s="399">
        <f t="shared" si="9"/>
        <v>0.21250000000000013</v>
      </c>
    </row>
    <row r="90" spans="1:27">
      <c r="A90" s="591"/>
      <c r="F90" s="501"/>
      <c r="I90" s="497"/>
      <c r="L90" s="583"/>
      <c r="M90" s="609" t="s">
        <v>544</v>
      </c>
      <c r="N90" s="617" t="s">
        <v>246</v>
      </c>
      <c r="AA90" s="399">
        <f t="shared" si="9"/>
        <v>0.21500000000000014</v>
      </c>
    </row>
    <row r="91" spans="1:27">
      <c r="A91" s="591"/>
      <c r="F91" s="501"/>
      <c r="H91" s="618">
        <f>IF(K91="Empreendimento Viável",1,0)</f>
        <v>1</v>
      </c>
      <c r="I91" s="616" t="s">
        <v>96</v>
      </c>
      <c r="J91" s="619">
        <f>IRR(J72:J84)</f>
        <v>1.1753083003955291</v>
      </c>
      <c r="K91" s="385" t="str">
        <f>IF(J91&gt;J89,"Empreendimento Viável","Inviável")</f>
        <v>Empreendimento Viável</v>
      </c>
      <c r="L91" s="583"/>
      <c r="M91" s="602" t="s">
        <v>545</v>
      </c>
      <c r="N91" s="620">
        <f>SUM('FlCx_Invest_Mutuo - SEM PERMUTA'!D12:F20)</f>
        <v>883000</v>
      </c>
      <c r="AA91" s="399">
        <f t="shared" si="9"/>
        <v>0.21750000000000014</v>
      </c>
    </row>
    <row r="92" spans="1:27">
      <c r="A92" s="591"/>
      <c r="F92" s="501"/>
      <c r="H92" s="618"/>
      <c r="I92" s="497"/>
      <c r="L92" s="583"/>
      <c r="M92" s="602" t="s">
        <v>546</v>
      </c>
      <c r="N92" s="620">
        <f>N78</f>
        <v>45216233.675069451</v>
      </c>
      <c r="AA92" s="399">
        <f t="shared" si="9"/>
        <v>0.22000000000000014</v>
      </c>
    </row>
    <row r="93" spans="1:27">
      <c r="A93" s="591"/>
      <c r="F93" s="501"/>
      <c r="H93" s="618">
        <f>IF(K93="VPL Positivo - Viável",1,0)</f>
        <v>1</v>
      </c>
      <c r="I93" s="616" t="s">
        <v>95</v>
      </c>
      <c r="J93" s="621">
        <f>NPV(J89,J72:J84,-K53)</f>
        <v>62909886.562246166</v>
      </c>
      <c r="K93" s="385" t="str">
        <f>IF(J93&gt;0,"VPL Positivo - Viável","VPL Negativo - Inviável")</f>
        <v>VPL Positivo - Viável</v>
      </c>
      <c r="L93" s="583"/>
      <c r="M93" s="602" t="s">
        <v>547</v>
      </c>
      <c r="N93" s="620">
        <f>SUM('FlCx_Invest_Mutuo - SEM PERMUTA'!D11:I23)</f>
        <v>9757128.9930555578</v>
      </c>
      <c r="AA93" s="399">
        <f t="shared" si="9"/>
        <v>0.22250000000000014</v>
      </c>
    </row>
    <row r="94" spans="1:27">
      <c r="A94" s="591"/>
      <c r="F94" s="501"/>
      <c r="H94" s="618"/>
      <c r="I94" s="497"/>
      <c r="J94" s="622"/>
      <c r="L94" s="583"/>
      <c r="M94" s="602"/>
      <c r="N94" s="607"/>
      <c r="AA94" s="399">
        <f t="shared" si="9"/>
        <v>0.22500000000000014</v>
      </c>
    </row>
    <row r="95" spans="1:27">
      <c r="A95" s="591"/>
      <c r="F95" s="501"/>
      <c r="H95" s="618">
        <f>IF(K95="Lucro",1,0)</f>
        <v>1</v>
      </c>
      <c r="I95" s="616" t="s">
        <v>548</v>
      </c>
      <c r="J95" s="623">
        <f>J86-K53</f>
        <v>64543999.999999881</v>
      </c>
      <c r="K95" s="385" t="str">
        <f>IF(J95&gt;0,"Lucro","Prejuízo")</f>
        <v>Lucro</v>
      </c>
      <c r="L95" s="583"/>
      <c r="R95" s="398"/>
      <c r="AA95" s="399">
        <f t="shared" si="9"/>
        <v>0.22750000000000015</v>
      </c>
    </row>
    <row r="96" spans="1:27">
      <c r="A96" s="591"/>
      <c r="F96" s="501"/>
      <c r="H96" s="439"/>
      <c r="J96" s="624"/>
      <c r="L96" s="583"/>
      <c r="M96" s="385" t="s">
        <v>549</v>
      </c>
      <c r="R96" s="439"/>
      <c r="AA96" s="399">
        <f t="shared" si="9"/>
        <v>0.23000000000000015</v>
      </c>
    </row>
    <row r="97" spans="1:27">
      <c r="A97" s="591"/>
      <c r="F97" s="501"/>
      <c r="H97" s="625">
        <f>H95+H93+H91</f>
        <v>3</v>
      </c>
      <c r="I97" s="616" t="s">
        <v>550</v>
      </c>
      <c r="J97" s="626" t="str">
        <f>IF(H97=3,"Aprovado","Reprovado")</f>
        <v>Aprovado</v>
      </c>
      <c r="L97" s="583"/>
      <c r="M97" s="609" t="s">
        <v>551</v>
      </c>
      <c r="N97" s="617" t="s">
        <v>53</v>
      </c>
      <c r="O97" s="617" t="s">
        <v>246</v>
      </c>
      <c r="R97" s="439"/>
      <c r="AA97" s="399">
        <f t="shared" si="9"/>
        <v>0.23250000000000015</v>
      </c>
    </row>
    <row r="98" spans="1:27">
      <c r="A98" s="591"/>
      <c r="F98" s="501"/>
      <c r="H98" s="439"/>
      <c r="J98" s="627"/>
      <c r="L98" s="583"/>
      <c r="M98" s="602" t="s">
        <v>552</v>
      </c>
      <c r="N98" s="628">
        <v>7.5000000000000025E-2</v>
      </c>
      <c r="O98" s="620">
        <f>'FlCx_Invest_Mutuo - SEM PERMUTA'!AB41*(1+N98)</f>
        <v>150666916.70800281</v>
      </c>
      <c r="R98" s="439"/>
      <c r="AA98" s="399">
        <f t="shared" si="9"/>
        <v>0.23500000000000015</v>
      </c>
    </row>
    <row r="99" spans="1:27" ht="13" thickBot="1">
      <c r="A99" s="591"/>
      <c r="F99" s="501"/>
      <c r="L99" s="583"/>
      <c r="M99" s="602" t="s">
        <v>553</v>
      </c>
      <c r="N99" s="628">
        <v>0.15000000000000008</v>
      </c>
      <c r="O99" s="620">
        <f>N99*O98</f>
        <v>22600037.506200433</v>
      </c>
      <c r="AA99" s="399">
        <f t="shared" si="9"/>
        <v>0.23750000000000016</v>
      </c>
    </row>
    <row r="100" spans="1:27">
      <c r="A100" s="591"/>
      <c r="F100" s="501"/>
      <c r="I100" s="629" t="s">
        <v>554</v>
      </c>
      <c r="J100" s="630"/>
      <c r="L100" s="583"/>
      <c r="M100" s="602" t="s">
        <v>129</v>
      </c>
      <c r="N100" s="628">
        <v>0.20000000000000012</v>
      </c>
      <c r="O100" s="620">
        <f>N100*O98</f>
        <v>30133383.341600578</v>
      </c>
      <c r="AA100" s="399">
        <f t="shared" si="9"/>
        <v>0.24000000000000016</v>
      </c>
    </row>
    <row r="101" spans="1:27">
      <c r="A101" s="591"/>
      <c r="F101" s="501"/>
      <c r="I101" s="631" t="s">
        <v>555</v>
      </c>
      <c r="J101" s="632"/>
      <c r="L101" s="583"/>
      <c r="M101" s="633" t="s">
        <v>556</v>
      </c>
      <c r="N101" s="634" t="s">
        <v>557</v>
      </c>
      <c r="O101" s="634">
        <f>O98-O99-O100</f>
        <v>97933495.860201791</v>
      </c>
      <c r="AA101" s="399">
        <f t="shared" si="9"/>
        <v>0.24250000000000016</v>
      </c>
    </row>
    <row r="102" spans="1:27" ht="13" thickBot="1">
      <c r="A102" s="591"/>
      <c r="F102" s="501"/>
      <c r="I102" s="635" t="s">
        <v>558</v>
      </c>
      <c r="J102" s="636"/>
      <c r="L102" s="583"/>
      <c r="M102" s="633" t="s">
        <v>556</v>
      </c>
      <c r="N102" s="634" t="s">
        <v>123</v>
      </c>
      <c r="O102" s="634">
        <f>O101/25*12</f>
        <v>47008078.012896866</v>
      </c>
      <c r="AA102" s="399">
        <f t="shared" si="9"/>
        <v>0.24500000000000016</v>
      </c>
    </row>
    <row r="103" spans="1:27">
      <c r="A103" s="591"/>
      <c r="F103" s="501"/>
      <c r="L103" s="583"/>
      <c r="M103" s="633" t="s">
        <v>556</v>
      </c>
      <c r="N103" s="634" t="s">
        <v>122</v>
      </c>
      <c r="O103" s="634">
        <f>O102/12</f>
        <v>3917339.8344080723</v>
      </c>
      <c r="AA103" s="399">
        <f t="shared" si="9"/>
        <v>0.24750000000000016</v>
      </c>
    </row>
    <row r="104" spans="1:27">
      <c r="A104" s="591"/>
      <c r="F104" s="501"/>
      <c r="AA104" s="399">
        <f t="shared" si="9"/>
        <v>0.25000000000000017</v>
      </c>
    </row>
    <row r="105" spans="1:27" ht="6" customHeight="1">
      <c r="A105" s="591"/>
      <c r="F105" s="501"/>
      <c r="AA105" s="399">
        <f t="shared" si="9"/>
        <v>0.25250000000000017</v>
      </c>
    </row>
    <row r="106" spans="1:27" ht="4.25" customHeight="1">
      <c r="A106" s="384"/>
      <c r="F106" s="501"/>
      <c r="I106" s="517"/>
      <c r="J106" s="517"/>
      <c r="K106" s="517"/>
      <c r="L106" s="517"/>
      <c r="M106" s="517"/>
      <c r="N106" s="517"/>
      <c r="O106" s="517"/>
      <c r="P106" s="517"/>
      <c r="Q106" s="517"/>
      <c r="AA106" s="399">
        <f t="shared" si="9"/>
        <v>0.25500000000000017</v>
      </c>
    </row>
    <row r="107" spans="1:27">
      <c r="A107" s="591"/>
      <c r="F107" s="501"/>
      <c r="AA107" s="399">
        <f t="shared" si="9"/>
        <v>0.25750000000000017</v>
      </c>
    </row>
    <row r="108" spans="1:27">
      <c r="A108" s="591"/>
      <c r="F108" s="501"/>
      <c r="AA108" s="399">
        <f t="shared" si="9"/>
        <v>0.26000000000000018</v>
      </c>
    </row>
    <row r="109" spans="1:27">
      <c r="A109" s="591"/>
      <c r="F109" s="501"/>
      <c r="AA109" s="399">
        <f t="shared" si="9"/>
        <v>0.26250000000000018</v>
      </c>
    </row>
    <row r="110" spans="1:27">
      <c r="A110" s="591"/>
      <c r="F110" s="501"/>
      <c r="J110" s="637" t="s">
        <v>559</v>
      </c>
      <c r="K110" s="638">
        <f>45972</f>
        <v>45972</v>
      </c>
      <c r="AA110" s="399">
        <f t="shared" si="9"/>
        <v>0.26500000000000018</v>
      </c>
    </row>
    <row r="111" spans="1:27">
      <c r="A111" s="591"/>
      <c r="F111" s="501"/>
      <c r="K111" s="497" t="s">
        <v>560</v>
      </c>
      <c r="AA111" s="399">
        <f t="shared" si="9"/>
        <v>0.26750000000000018</v>
      </c>
    </row>
    <row r="112" spans="1:27">
      <c r="A112" s="591"/>
      <c r="F112" s="501"/>
      <c r="AA112" s="399">
        <f t="shared" si="9"/>
        <v>0.27000000000000018</v>
      </c>
    </row>
    <row r="113" spans="1:27">
      <c r="A113" s="591"/>
      <c r="F113" s="501"/>
      <c r="G113" s="455">
        <v>12939.10880979192</v>
      </c>
      <c r="AA113" s="399">
        <f t="shared" si="9"/>
        <v>0.27250000000000019</v>
      </c>
    </row>
    <row r="114" spans="1:27">
      <c r="A114" s="591"/>
      <c r="F114" s="501"/>
      <c r="K114" s="439"/>
      <c r="AA114" s="399">
        <f t="shared" si="9"/>
        <v>0.27500000000000019</v>
      </c>
    </row>
    <row r="115" spans="1:27">
      <c r="A115" s="591"/>
      <c r="F115" s="501"/>
      <c r="G115" s="385" t="s">
        <v>561</v>
      </c>
      <c r="K115" s="399"/>
      <c r="AA115" s="399">
        <f t="shared" si="9"/>
        <v>0.27750000000000019</v>
      </c>
    </row>
    <row r="116" spans="1:27">
      <c r="A116" s="591"/>
      <c r="F116" s="501"/>
      <c r="G116" s="491">
        <v>13630731.84</v>
      </c>
      <c r="AA116" s="399">
        <f t="shared" si="9"/>
        <v>0.28000000000000019</v>
      </c>
    </row>
    <row r="117" spans="1:27">
      <c r="A117" s="591"/>
      <c r="F117" s="501"/>
      <c r="K117" s="639"/>
      <c r="AA117" s="399">
        <f t="shared" si="9"/>
        <v>0.2825000000000002</v>
      </c>
    </row>
    <row r="118" spans="1:27">
      <c r="A118" s="591"/>
      <c r="F118" s="501"/>
      <c r="G118" s="491">
        <v>13630731.84</v>
      </c>
      <c r="AA118" s="399">
        <f t="shared" si="9"/>
        <v>0.2850000000000002</v>
      </c>
    </row>
    <row r="119" spans="1:27">
      <c r="A119" s="591"/>
      <c r="F119" s="501"/>
      <c r="AA119" s="399">
        <f t="shared" si="9"/>
        <v>0.2875000000000002</v>
      </c>
    </row>
    <row r="120" spans="1:27">
      <c r="A120" s="591"/>
      <c r="F120" s="501"/>
      <c r="G120" s="439">
        <v>3850000</v>
      </c>
      <c r="AA120" s="399">
        <f t="shared" si="9"/>
        <v>0.2900000000000002</v>
      </c>
    </row>
    <row r="121" spans="1:27">
      <c r="A121" s="591"/>
      <c r="F121" s="501"/>
      <c r="AA121" s="399">
        <f t="shared" si="9"/>
        <v>0.2925000000000002</v>
      </c>
    </row>
    <row r="122" spans="1:27" ht="13" thickBot="1">
      <c r="A122" s="576"/>
      <c r="B122" s="536"/>
      <c r="C122" s="536"/>
      <c r="D122" s="536"/>
      <c r="E122" s="536"/>
      <c r="F122" s="568"/>
      <c r="AA122" s="399">
        <f t="shared" si="9"/>
        <v>0.29500000000000021</v>
      </c>
    </row>
    <row r="123" spans="1:27">
      <c r="AA123" s="399">
        <f t="shared" si="9"/>
        <v>0.29750000000000021</v>
      </c>
    </row>
    <row r="124" spans="1:27">
      <c r="AA124" s="399">
        <f t="shared" si="9"/>
        <v>0.30000000000000021</v>
      </c>
    </row>
    <row r="125" spans="1:27">
      <c r="AA125" s="399">
        <f t="shared" si="9"/>
        <v>0.30250000000000021</v>
      </c>
    </row>
    <row r="126" spans="1:27">
      <c r="AA126" s="399">
        <f t="shared" si="9"/>
        <v>0.30500000000000022</v>
      </c>
    </row>
    <row r="127" spans="1:27">
      <c r="AA127" s="399">
        <f t="shared" si="9"/>
        <v>0.30750000000000022</v>
      </c>
    </row>
    <row r="128" spans="1:27">
      <c r="AA128" s="399">
        <f t="shared" si="9"/>
        <v>0.31000000000000022</v>
      </c>
    </row>
    <row r="129" spans="27:27">
      <c r="AA129" s="399">
        <f t="shared" si="9"/>
        <v>0.31250000000000022</v>
      </c>
    </row>
    <row r="130" spans="27:27">
      <c r="AA130" s="399">
        <f t="shared" si="9"/>
        <v>0.31500000000000022</v>
      </c>
    </row>
    <row r="131" spans="27:27">
      <c r="AA131" s="399">
        <f t="shared" si="9"/>
        <v>0.31750000000000023</v>
      </c>
    </row>
    <row r="132" spans="27:27">
      <c r="AA132" s="399">
        <f t="shared" si="9"/>
        <v>0.32000000000000023</v>
      </c>
    </row>
    <row r="133" spans="27:27">
      <c r="AA133" s="399">
        <f t="shared" si="9"/>
        <v>0.32250000000000023</v>
      </c>
    </row>
    <row r="134" spans="27:27">
      <c r="AA134" s="399">
        <f t="shared" si="9"/>
        <v>0.32500000000000023</v>
      </c>
    </row>
    <row r="135" spans="27:27">
      <c r="AA135" s="399">
        <f t="shared" si="9"/>
        <v>0.32750000000000024</v>
      </c>
    </row>
    <row r="136" spans="27:27">
      <c r="AA136" s="399">
        <f t="shared" si="9"/>
        <v>0.33000000000000024</v>
      </c>
    </row>
    <row r="137" spans="27:27">
      <c r="AA137" s="399">
        <f t="shared" si="9"/>
        <v>0.33250000000000024</v>
      </c>
    </row>
    <row r="138" spans="27:27">
      <c r="AA138" s="399">
        <f t="shared" si="9"/>
        <v>0.33500000000000024</v>
      </c>
    </row>
    <row r="139" spans="27:27">
      <c r="AA139" s="399">
        <f t="shared" ref="AA139:AA202" si="10">AA138+0.25%</f>
        <v>0.33750000000000024</v>
      </c>
    </row>
    <row r="140" spans="27:27">
      <c r="AA140" s="399">
        <f t="shared" si="10"/>
        <v>0.34000000000000025</v>
      </c>
    </row>
    <row r="141" spans="27:27">
      <c r="AA141" s="399">
        <f t="shared" si="10"/>
        <v>0.34250000000000025</v>
      </c>
    </row>
    <row r="142" spans="27:27">
      <c r="AA142" s="399">
        <f t="shared" si="10"/>
        <v>0.34500000000000025</v>
      </c>
    </row>
    <row r="143" spans="27:27">
      <c r="AA143" s="399">
        <f t="shared" si="10"/>
        <v>0.34750000000000025</v>
      </c>
    </row>
    <row r="144" spans="27:27">
      <c r="AA144" s="399">
        <f t="shared" si="10"/>
        <v>0.35000000000000026</v>
      </c>
    </row>
    <row r="145" spans="27:27">
      <c r="AA145" s="399">
        <f t="shared" si="10"/>
        <v>0.35250000000000026</v>
      </c>
    </row>
    <row r="146" spans="27:27">
      <c r="AA146" s="399">
        <f t="shared" si="10"/>
        <v>0.35500000000000026</v>
      </c>
    </row>
    <row r="147" spans="27:27">
      <c r="AA147" s="399">
        <f t="shared" si="10"/>
        <v>0.35750000000000026</v>
      </c>
    </row>
    <row r="148" spans="27:27">
      <c r="AA148" s="399">
        <f t="shared" si="10"/>
        <v>0.36000000000000026</v>
      </c>
    </row>
    <row r="149" spans="27:27">
      <c r="AA149" s="399">
        <f t="shared" si="10"/>
        <v>0.36250000000000027</v>
      </c>
    </row>
    <row r="150" spans="27:27">
      <c r="AA150" s="399">
        <f t="shared" si="10"/>
        <v>0.36500000000000027</v>
      </c>
    </row>
    <row r="151" spans="27:27">
      <c r="AA151" s="399">
        <f t="shared" si="10"/>
        <v>0.36750000000000027</v>
      </c>
    </row>
    <row r="152" spans="27:27">
      <c r="AA152" s="399">
        <f t="shared" si="10"/>
        <v>0.37000000000000027</v>
      </c>
    </row>
    <row r="153" spans="27:27">
      <c r="AA153" s="399">
        <f t="shared" si="10"/>
        <v>0.37250000000000028</v>
      </c>
    </row>
    <row r="154" spans="27:27">
      <c r="AA154" s="399">
        <f t="shared" si="10"/>
        <v>0.37500000000000028</v>
      </c>
    </row>
    <row r="155" spans="27:27">
      <c r="AA155" s="399">
        <f t="shared" si="10"/>
        <v>0.37750000000000028</v>
      </c>
    </row>
    <row r="156" spans="27:27">
      <c r="AA156" s="399">
        <f t="shared" si="10"/>
        <v>0.38000000000000028</v>
      </c>
    </row>
    <row r="157" spans="27:27">
      <c r="AA157" s="399">
        <f t="shared" si="10"/>
        <v>0.38250000000000028</v>
      </c>
    </row>
    <row r="158" spans="27:27">
      <c r="AA158" s="399">
        <f t="shared" si="10"/>
        <v>0.38500000000000029</v>
      </c>
    </row>
    <row r="159" spans="27:27">
      <c r="AA159" s="399">
        <f t="shared" si="10"/>
        <v>0.38750000000000029</v>
      </c>
    </row>
    <row r="160" spans="27:27">
      <c r="AA160" s="399">
        <f t="shared" si="10"/>
        <v>0.39000000000000029</v>
      </c>
    </row>
    <row r="161" spans="27:27">
      <c r="AA161" s="399">
        <f t="shared" si="10"/>
        <v>0.39250000000000029</v>
      </c>
    </row>
    <row r="162" spans="27:27">
      <c r="AA162" s="399">
        <f t="shared" si="10"/>
        <v>0.3950000000000003</v>
      </c>
    </row>
    <row r="163" spans="27:27">
      <c r="AA163" s="399">
        <f t="shared" si="10"/>
        <v>0.3975000000000003</v>
      </c>
    </row>
    <row r="164" spans="27:27">
      <c r="AA164" s="399">
        <f t="shared" si="10"/>
        <v>0.4000000000000003</v>
      </c>
    </row>
    <row r="165" spans="27:27">
      <c r="AA165" s="399">
        <f t="shared" si="10"/>
        <v>0.4025000000000003</v>
      </c>
    </row>
    <row r="166" spans="27:27">
      <c r="AA166" s="399">
        <f t="shared" si="10"/>
        <v>0.4050000000000003</v>
      </c>
    </row>
    <row r="167" spans="27:27">
      <c r="AA167" s="399">
        <f t="shared" si="10"/>
        <v>0.40750000000000031</v>
      </c>
    </row>
    <row r="168" spans="27:27">
      <c r="AA168" s="399">
        <f t="shared" si="10"/>
        <v>0.41000000000000031</v>
      </c>
    </row>
    <row r="169" spans="27:27">
      <c r="AA169" s="399">
        <f t="shared" si="10"/>
        <v>0.41250000000000031</v>
      </c>
    </row>
    <row r="170" spans="27:27">
      <c r="AA170" s="399">
        <f t="shared" si="10"/>
        <v>0.41500000000000031</v>
      </c>
    </row>
    <row r="171" spans="27:27">
      <c r="AA171" s="399">
        <f t="shared" si="10"/>
        <v>0.41750000000000032</v>
      </c>
    </row>
    <row r="172" spans="27:27">
      <c r="AA172" s="399">
        <f t="shared" si="10"/>
        <v>0.42000000000000032</v>
      </c>
    </row>
    <row r="173" spans="27:27">
      <c r="AA173" s="399">
        <f t="shared" si="10"/>
        <v>0.42250000000000032</v>
      </c>
    </row>
    <row r="174" spans="27:27">
      <c r="AA174" s="399">
        <f t="shared" si="10"/>
        <v>0.42500000000000032</v>
      </c>
    </row>
    <row r="175" spans="27:27">
      <c r="AA175" s="399">
        <f t="shared" si="10"/>
        <v>0.42750000000000032</v>
      </c>
    </row>
    <row r="176" spans="27:27">
      <c r="AA176" s="399">
        <f t="shared" si="10"/>
        <v>0.43000000000000033</v>
      </c>
    </row>
    <row r="177" spans="27:27">
      <c r="AA177" s="399">
        <f t="shared" si="10"/>
        <v>0.43250000000000033</v>
      </c>
    </row>
    <row r="178" spans="27:27">
      <c r="AA178" s="399">
        <f t="shared" si="10"/>
        <v>0.43500000000000033</v>
      </c>
    </row>
    <row r="179" spans="27:27">
      <c r="AA179" s="399">
        <f t="shared" si="10"/>
        <v>0.43750000000000033</v>
      </c>
    </row>
    <row r="180" spans="27:27">
      <c r="AA180" s="399">
        <f t="shared" si="10"/>
        <v>0.44000000000000034</v>
      </c>
    </row>
    <row r="181" spans="27:27">
      <c r="AA181" s="399">
        <f t="shared" si="10"/>
        <v>0.44250000000000034</v>
      </c>
    </row>
    <row r="182" spans="27:27">
      <c r="AA182" s="399">
        <f t="shared" si="10"/>
        <v>0.44500000000000034</v>
      </c>
    </row>
    <row r="183" spans="27:27">
      <c r="AA183" s="399">
        <f t="shared" si="10"/>
        <v>0.44750000000000034</v>
      </c>
    </row>
    <row r="184" spans="27:27">
      <c r="AA184" s="399">
        <f t="shared" si="10"/>
        <v>0.45000000000000034</v>
      </c>
    </row>
    <row r="185" spans="27:27">
      <c r="AA185" s="399">
        <f t="shared" si="10"/>
        <v>0.45250000000000035</v>
      </c>
    </row>
    <row r="186" spans="27:27">
      <c r="AA186" s="399">
        <f t="shared" si="10"/>
        <v>0.45500000000000035</v>
      </c>
    </row>
    <row r="187" spans="27:27">
      <c r="AA187" s="399">
        <f t="shared" si="10"/>
        <v>0.45750000000000035</v>
      </c>
    </row>
    <row r="188" spans="27:27">
      <c r="AA188" s="399">
        <f t="shared" si="10"/>
        <v>0.46000000000000035</v>
      </c>
    </row>
    <row r="189" spans="27:27">
      <c r="AA189" s="399">
        <f t="shared" si="10"/>
        <v>0.46250000000000036</v>
      </c>
    </row>
    <row r="190" spans="27:27">
      <c r="AA190" s="399">
        <f t="shared" si="10"/>
        <v>0.46500000000000036</v>
      </c>
    </row>
    <row r="191" spans="27:27">
      <c r="AA191" s="399">
        <f t="shared" si="10"/>
        <v>0.46750000000000036</v>
      </c>
    </row>
    <row r="192" spans="27:27">
      <c r="AA192" s="399">
        <f t="shared" si="10"/>
        <v>0.47000000000000036</v>
      </c>
    </row>
    <row r="193" spans="27:27">
      <c r="AA193" s="399">
        <f t="shared" si="10"/>
        <v>0.47250000000000036</v>
      </c>
    </row>
    <row r="194" spans="27:27">
      <c r="AA194" s="399">
        <f t="shared" si="10"/>
        <v>0.47500000000000037</v>
      </c>
    </row>
    <row r="195" spans="27:27">
      <c r="AA195" s="399">
        <f t="shared" si="10"/>
        <v>0.47750000000000037</v>
      </c>
    </row>
    <row r="196" spans="27:27">
      <c r="AA196" s="399">
        <f t="shared" si="10"/>
        <v>0.48000000000000037</v>
      </c>
    </row>
    <row r="197" spans="27:27">
      <c r="AA197" s="399">
        <f t="shared" si="10"/>
        <v>0.48250000000000037</v>
      </c>
    </row>
    <row r="198" spans="27:27">
      <c r="AA198" s="399">
        <f t="shared" si="10"/>
        <v>0.48500000000000038</v>
      </c>
    </row>
    <row r="199" spans="27:27">
      <c r="AA199" s="399">
        <f t="shared" si="10"/>
        <v>0.48750000000000038</v>
      </c>
    </row>
    <row r="200" spans="27:27">
      <c r="AA200" s="399">
        <f t="shared" si="10"/>
        <v>0.49000000000000038</v>
      </c>
    </row>
    <row r="201" spans="27:27">
      <c r="AA201" s="399">
        <f t="shared" si="10"/>
        <v>0.49250000000000038</v>
      </c>
    </row>
    <row r="202" spans="27:27">
      <c r="AA202" s="399">
        <f t="shared" si="10"/>
        <v>0.49500000000000038</v>
      </c>
    </row>
    <row r="203" spans="27:27">
      <c r="AA203" s="399">
        <f t="shared" ref="AA203:AA266" si="11">AA202+0.25%</f>
        <v>0.49750000000000039</v>
      </c>
    </row>
    <row r="204" spans="27:27">
      <c r="AA204" s="399">
        <f t="shared" si="11"/>
        <v>0.50000000000000033</v>
      </c>
    </row>
    <row r="205" spans="27:27">
      <c r="AA205" s="399">
        <f t="shared" si="11"/>
        <v>0.50250000000000028</v>
      </c>
    </row>
    <row r="206" spans="27:27">
      <c r="AA206" s="399">
        <f t="shared" si="11"/>
        <v>0.50500000000000023</v>
      </c>
    </row>
    <row r="207" spans="27:27">
      <c r="AA207" s="399">
        <f t="shared" si="11"/>
        <v>0.50750000000000017</v>
      </c>
    </row>
    <row r="208" spans="27:27">
      <c r="AA208" s="399">
        <f t="shared" si="11"/>
        <v>0.51000000000000012</v>
      </c>
    </row>
    <row r="209" spans="27:27">
      <c r="AA209" s="399">
        <f t="shared" si="11"/>
        <v>0.51250000000000007</v>
      </c>
    </row>
    <row r="210" spans="27:27">
      <c r="AA210" s="399">
        <f t="shared" si="11"/>
        <v>0.51500000000000001</v>
      </c>
    </row>
    <row r="211" spans="27:27">
      <c r="AA211" s="399">
        <f t="shared" si="11"/>
        <v>0.51749999999999996</v>
      </c>
    </row>
    <row r="212" spans="27:27">
      <c r="AA212" s="399">
        <f t="shared" si="11"/>
        <v>0.51999999999999991</v>
      </c>
    </row>
    <row r="213" spans="27:27">
      <c r="AA213" s="399">
        <f t="shared" si="11"/>
        <v>0.52249999999999985</v>
      </c>
    </row>
    <row r="214" spans="27:27">
      <c r="AA214" s="399">
        <f t="shared" si="11"/>
        <v>0.5249999999999998</v>
      </c>
    </row>
    <row r="215" spans="27:27">
      <c r="AA215" s="399">
        <f t="shared" si="11"/>
        <v>0.52749999999999975</v>
      </c>
    </row>
    <row r="216" spans="27:27">
      <c r="AA216" s="399">
        <f t="shared" si="11"/>
        <v>0.52999999999999969</v>
      </c>
    </row>
    <row r="217" spans="27:27">
      <c r="AA217" s="399">
        <f t="shared" si="11"/>
        <v>0.53249999999999964</v>
      </c>
    </row>
    <row r="218" spans="27:27">
      <c r="AA218" s="399">
        <f t="shared" si="11"/>
        <v>0.53499999999999959</v>
      </c>
    </row>
    <row r="219" spans="27:27">
      <c r="AA219" s="399">
        <f t="shared" si="11"/>
        <v>0.53749999999999953</v>
      </c>
    </row>
    <row r="220" spans="27:27">
      <c r="AA220" s="399">
        <f t="shared" si="11"/>
        <v>0.53999999999999948</v>
      </c>
    </row>
    <row r="221" spans="27:27">
      <c r="AA221" s="399">
        <f t="shared" si="11"/>
        <v>0.54249999999999943</v>
      </c>
    </row>
    <row r="222" spans="27:27">
      <c r="AA222" s="399">
        <f t="shared" si="11"/>
        <v>0.54499999999999937</v>
      </c>
    </row>
    <row r="223" spans="27:27">
      <c r="AA223" s="399">
        <f t="shared" si="11"/>
        <v>0.54749999999999932</v>
      </c>
    </row>
    <row r="224" spans="27:27">
      <c r="AA224" s="399">
        <f t="shared" si="11"/>
        <v>0.54999999999999927</v>
      </c>
    </row>
    <row r="225" spans="27:27">
      <c r="AA225" s="399">
        <f t="shared" si="11"/>
        <v>0.55249999999999921</v>
      </c>
    </row>
    <row r="226" spans="27:27">
      <c r="AA226" s="399">
        <f t="shared" si="11"/>
        <v>0.55499999999999916</v>
      </c>
    </row>
    <row r="227" spans="27:27">
      <c r="AA227" s="399">
        <f t="shared" si="11"/>
        <v>0.55749999999999911</v>
      </c>
    </row>
    <row r="228" spans="27:27">
      <c r="AA228" s="399">
        <f t="shared" si="11"/>
        <v>0.55999999999999905</v>
      </c>
    </row>
    <row r="229" spans="27:27">
      <c r="AA229" s="399">
        <f t="shared" si="11"/>
        <v>0.562499999999999</v>
      </c>
    </row>
    <row r="230" spans="27:27">
      <c r="AA230" s="399">
        <f t="shared" si="11"/>
        <v>0.56499999999999895</v>
      </c>
    </row>
    <row r="231" spans="27:27">
      <c r="AA231" s="399">
        <f t="shared" si="11"/>
        <v>0.56749999999999889</v>
      </c>
    </row>
    <row r="232" spans="27:27">
      <c r="AA232" s="399">
        <f t="shared" si="11"/>
        <v>0.56999999999999884</v>
      </c>
    </row>
    <row r="233" spans="27:27">
      <c r="AA233" s="399">
        <f t="shared" si="11"/>
        <v>0.57249999999999879</v>
      </c>
    </row>
    <row r="234" spans="27:27">
      <c r="AA234" s="399">
        <f t="shared" si="11"/>
        <v>0.57499999999999873</v>
      </c>
    </row>
    <row r="235" spans="27:27">
      <c r="AA235" s="399">
        <f t="shared" si="11"/>
        <v>0.57749999999999868</v>
      </c>
    </row>
    <row r="236" spans="27:27">
      <c r="AA236" s="399">
        <f t="shared" si="11"/>
        <v>0.57999999999999863</v>
      </c>
    </row>
    <row r="237" spans="27:27">
      <c r="AA237" s="399">
        <f t="shared" si="11"/>
        <v>0.58249999999999857</v>
      </c>
    </row>
    <row r="238" spans="27:27">
      <c r="AA238" s="399">
        <f t="shared" si="11"/>
        <v>0.58499999999999852</v>
      </c>
    </row>
    <row r="239" spans="27:27">
      <c r="AA239" s="399">
        <f t="shared" si="11"/>
        <v>0.58749999999999847</v>
      </c>
    </row>
    <row r="240" spans="27:27">
      <c r="AA240" s="399">
        <f t="shared" si="11"/>
        <v>0.58999999999999841</v>
      </c>
    </row>
    <row r="241" spans="27:27">
      <c r="AA241" s="399">
        <f t="shared" si="11"/>
        <v>0.59249999999999836</v>
      </c>
    </row>
    <row r="242" spans="27:27">
      <c r="AA242" s="399">
        <f t="shared" si="11"/>
        <v>0.59499999999999831</v>
      </c>
    </row>
    <row r="243" spans="27:27">
      <c r="AA243" s="399">
        <f t="shared" si="11"/>
        <v>0.59749999999999825</v>
      </c>
    </row>
    <row r="244" spans="27:27">
      <c r="AA244" s="399">
        <f t="shared" si="11"/>
        <v>0.5999999999999982</v>
      </c>
    </row>
    <row r="245" spans="27:27">
      <c r="AA245" s="399">
        <f t="shared" si="11"/>
        <v>0.60249999999999815</v>
      </c>
    </row>
    <row r="246" spans="27:27">
      <c r="AA246" s="399">
        <f t="shared" si="11"/>
        <v>0.60499999999999809</v>
      </c>
    </row>
    <row r="247" spans="27:27">
      <c r="AA247" s="399">
        <f t="shared" si="11"/>
        <v>0.60749999999999804</v>
      </c>
    </row>
    <row r="248" spans="27:27">
      <c r="AA248" s="399">
        <f t="shared" si="11"/>
        <v>0.60999999999999799</v>
      </c>
    </row>
    <row r="249" spans="27:27">
      <c r="AA249" s="399">
        <f t="shared" si="11"/>
        <v>0.61249999999999793</v>
      </c>
    </row>
    <row r="250" spans="27:27">
      <c r="AA250" s="399">
        <f t="shared" si="11"/>
        <v>0.61499999999999788</v>
      </c>
    </row>
    <row r="251" spans="27:27">
      <c r="AA251" s="399">
        <f t="shared" si="11"/>
        <v>0.61749999999999783</v>
      </c>
    </row>
    <row r="252" spans="27:27">
      <c r="AA252" s="399">
        <f t="shared" si="11"/>
        <v>0.61999999999999778</v>
      </c>
    </row>
    <row r="253" spans="27:27">
      <c r="AA253" s="399">
        <f t="shared" si="11"/>
        <v>0.62249999999999772</v>
      </c>
    </row>
    <row r="254" spans="27:27">
      <c r="AA254" s="399">
        <f t="shared" si="11"/>
        <v>0.62499999999999767</v>
      </c>
    </row>
    <row r="255" spans="27:27">
      <c r="AA255" s="399">
        <f t="shared" si="11"/>
        <v>0.62749999999999762</v>
      </c>
    </row>
    <row r="256" spans="27:27">
      <c r="AA256" s="399">
        <f t="shared" si="11"/>
        <v>0.62999999999999756</v>
      </c>
    </row>
    <row r="257" spans="27:27">
      <c r="AA257" s="399">
        <f t="shared" si="11"/>
        <v>0.63249999999999751</v>
      </c>
    </row>
    <row r="258" spans="27:27">
      <c r="AA258" s="399">
        <f t="shared" si="11"/>
        <v>0.63499999999999746</v>
      </c>
    </row>
    <row r="259" spans="27:27">
      <c r="AA259" s="399">
        <f t="shared" si="11"/>
        <v>0.6374999999999974</v>
      </c>
    </row>
    <row r="260" spans="27:27">
      <c r="AA260" s="399">
        <f t="shared" si="11"/>
        <v>0.63999999999999735</v>
      </c>
    </row>
    <row r="261" spans="27:27">
      <c r="AA261" s="399">
        <f t="shared" si="11"/>
        <v>0.6424999999999973</v>
      </c>
    </row>
    <row r="262" spans="27:27">
      <c r="AA262" s="399">
        <f t="shared" si="11"/>
        <v>0.64499999999999724</v>
      </c>
    </row>
    <row r="263" spans="27:27">
      <c r="AA263" s="399">
        <f t="shared" si="11"/>
        <v>0.64749999999999719</v>
      </c>
    </row>
    <row r="264" spans="27:27">
      <c r="AA264" s="399">
        <f t="shared" si="11"/>
        <v>0.64999999999999714</v>
      </c>
    </row>
    <row r="265" spans="27:27">
      <c r="AA265" s="399">
        <f t="shared" si="11"/>
        <v>0.65249999999999708</v>
      </c>
    </row>
    <row r="266" spans="27:27">
      <c r="AA266" s="399">
        <f t="shared" si="11"/>
        <v>0.65499999999999703</v>
      </c>
    </row>
    <row r="267" spans="27:27">
      <c r="AA267" s="399">
        <f t="shared" ref="AA267:AA330" si="12">AA266+0.25%</f>
        <v>0.65749999999999698</v>
      </c>
    </row>
    <row r="268" spans="27:27">
      <c r="AA268" s="399">
        <f t="shared" si="12"/>
        <v>0.65999999999999692</v>
      </c>
    </row>
    <row r="269" spans="27:27">
      <c r="AA269" s="399">
        <f t="shared" si="12"/>
        <v>0.66249999999999687</v>
      </c>
    </row>
    <row r="270" spans="27:27">
      <c r="AA270" s="399">
        <f t="shared" si="12"/>
        <v>0.66499999999999682</v>
      </c>
    </row>
    <row r="271" spans="27:27">
      <c r="AA271" s="399">
        <f t="shared" si="12"/>
        <v>0.66749999999999676</v>
      </c>
    </row>
    <row r="272" spans="27:27">
      <c r="AA272" s="399">
        <f t="shared" si="12"/>
        <v>0.66999999999999671</v>
      </c>
    </row>
    <row r="273" spans="27:27">
      <c r="AA273" s="399">
        <f t="shared" si="12"/>
        <v>0.67249999999999666</v>
      </c>
    </row>
    <row r="274" spans="27:27">
      <c r="AA274" s="399">
        <f t="shared" si="12"/>
        <v>0.6749999999999966</v>
      </c>
    </row>
    <row r="275" spans="27:27">
      <c r="AA275" s="399">
        <f t="shared" si="12"/>
        <v>0.67749999999999655</v>
      </c>
    </row>
    <row r="276" spans="27:27">
      <c r="AA276" s="399">
        <f t="shared" si="12"/>
        <v>0.6799999999999965</v>
      </c>
    </row>
    <row r="277" spans="27:27">
      <c r="AA277" s="399">
        <f t="shared" si="12"/>
        <v>0.68249999999999644</v>
      </c>
    </row>
    <row r="278" spans="27:27">
      <c r="AA278" s="399">
        <f t="shared" si="12"/>
        <v>0.68499999999999639</v>
      </c>
    </row>
    <row r="279" spans="27:27">
      <c r="AA279" s="399">
        <f t="shared" si="12"/>
        <v>0.68749999999999634</v>
      </c>
    </row>
    <row r="280" spans="27:27">
      <c r="AA280" s="399">
        <f t="shared" si="12"/>
        <v>0.68999999999999628</v>
      </c>
    </row>
    <row r="281" spans="27:27">
      <c r="AA281" s="399">
        <f t="shared" si="12"/>
        <v>0.69249999999999623</v>
      </c>
    </row>
    <row r="282" spans="27:27">
      <c r="AA282" s="399">
        <f t="shared" si="12"/>
        <v>0.69499999999999618</v>
      </c>
    </row>
    <row r="283" spans="27:27">
      <c r="AA283" s="399">
        <f t="shared" si="12"/>
        <v>0.69749999999999612</v>
      </c>
    </row>
    <row r="284" spans="27:27">
      <c r="AA284" s="399">
        <f t="shared" si="12"/>
        <v>0.69999999999999607</v>
      </c>
    </row>
    <row r="285" spans="27:27">
      <c r="AA285" s="399">
        <f t="shared" si="12"/>
        <v>0.70249999999999602</v>
      </c>
    </row>
    <row r="286" spans="27:27">
      <c r="AA286" s="399">
        <f t="shared" si="12"/>
        <v>0.70499999999999596</v>
      </c>
    </row>
    <row r="287" spans="27:27">
      <c r="AA287" s="399">
        <f t="shared" si="12"/>
        <v>0.70749999999999591</v>
      </c>
    </row>
    <row r="288" spans="27:27">
      <c r="AA288" s="399">
        <f t="shared" si="12"/>
        <v>0.70999999999999586</v>
      </c>
    </row>
    <row r="289" spans="27:27">
      <c r="AA289" s="399">
        <f t="shared" si="12"/>
        <v>0.7124999999999958</v>
      </c>
    </row>
    <row r="290" spans="27:27">
      <c r="AA290" s="399">
        <f t="shared" si="12"/>
        <v>0.71499999999999575</v>
      </c>
    </row>
    <row r="291" spans="27:27">
      <c r="AA291" s="399">
        <f t="shared" si="12"/>
        <v>0.7174999999999957</v>
      </c>
    </row>
    <row r="292" spans="27:27">
      <c r="AA292" s="399">
        <f t="shared" si="12"/>
        <v>0.71999999999999564</v>
      </c>
    </row>
    <row r="293" spans="27:27">
      <c r="AA293" s="399">
        <f t="shared" si="12"/>
        <v>0.72249999999999559</v>
      </c>
    </row>
    <row r="294" spans="27:27">
      <c r="AA294" s="399">
        <f t="shared" si="12"/>
        <v>0.72499999999999554</v>
      </c>
    </row>
    <row r="295" spans="27:27">
      <c r="AA295" s="399">
        <f t="shared" si="12"/>
        <v>0.72749999999999548</v>
      </c>
    </row>
    <row r="296" spans="27:27">
      <c r="AA296" s="399">
        <f t="shared" si="12"/>
        <v>0.72999999999999543</v>
      </c>
    </row>
    <row r="297" spans="27:27">
      <c r="AA297" s="399">
        <f t="shared" si="12"/>
        <v>0.73249999999999538</v>
      </c>
    </row>
    <row r="298" spans="27:27">
      <c r="AA298" s="399">
        <f t="shared" si="12"/>
        <v>0.73499999999999532</v>
      </c>
    </row>
    <row r="299" spans="27:27">
      <c r="AA299" s="399">
        <f t="shared" si="12"/>
        <v>0.73749999999999527</v>
      </c>
    </row>
    <row r="300" spans="27:27">
      <c r="AA300" s="399">
        <f t="shared" si="12"/>
        <v>0.73999999999999522</v>
      </c>
    </row>
    <row r="301" spans="27:27">
      <c r="AA301" s="399">
        <f t="shared" si="12"/>
        <v>0.74249999999999516</v>
      </c>
    </row>
    <row r="302" spans="27:27">
      <c r="AA302" s="399">
        <f t="shared" si="12"/>
        <v>0.74499999999999511</v>
      </c>
    </row>
    <row r="303" spans="27:27">
      <c r="AA303" s="399">
        <f t="shared" si="12"/>
        <v>0.74749999999999506</v>
      </c>
    </row>
    <row r="304" spans="27:27">
      <c r="AA304" s="399">
        <f t="shared" si="12"/>
        <v>0.749999999999995</v>
      </c>
    </row>
    <row r="305" spans="27:27">
      <c r="AA305" s="399">
        <f t="shared" si="12"/>
        <v>0.75249999999999495</v>
      </c>
    </row>
    <row r="306" spans="27:27">
      <c r="AA306" s="399">
        <f t="shared" si="12"/>
        <v>0.7549999999999949</v>
      </c>
    </row>
    <row r="307" spans="27:27">
      <c r="AA307" s="399">
        <f t="shared" si="12"/>
        <v>0.75749999999999484</v>
      </c>
    </row>
    <row r="308" spans="27:27">
      <c r="AA308" s="399">
        <f t="shared" si="12"/>
        <v>0.75999999999999479</v>
      </c>
    </row>
    <row r="309" spans="27:27">
      <c r="AA309" s="399">
        <f t="shared" si="12"/>
        <v>0.76249999999999474</v>
      </c>
    </row>
    <row r="310" spans="27:27">
      <c r="AA310" s="399">
        <f t="shared" si="12"/>
        <v>0.76499999999999468</v>
      </c>
    </row>
    <row r="311" spans="27:27">
      <c r="AA311" s="399">
        <f t="shared" si="12"/>
        <v>0.76749999999999463</v>
      </c>
    </row>
    <row r="312" spans="27:27">
      <c r="AA312" s="399">
        <f t="shared" si="12"/>
        <v>0.76999999999999458</v>
      </c>
    </row>
    <row r="313" spans="27:27">
      <c r="AA313" s="399">
        <f t="shared" si="12"/>
        <v>0.77249999999999452</v>
      </c>
    </row>
    <row r="314" spans="27:27">
      <c r="AA314" s="399">
        <f t="shared" si="12"/>
        <v>0.77499999999999447</v>
      </c>
    </row>
    <row r="315" spans="27:27">
      <c r="AA315" s="399">
        <f t="shared" si="12"/>
        <v>0.77749999999999442</v>
      </c>
    </row>
    <row r="316" spans="27:27">
      <c r="AA316" s="399">
        <f t="shared" si="12"/>
        <v>0.77999999999999436</v>
      </c>
    </row>
    <row r="317" spans="27:27">
      <c r="AA317" s="399">
        <f t="shared" si="12"/>
        <v>0.78249999999999431</v>
      </c>
    </row>
    <row r="318" spans="27:27">
      <c r="AA318" s="399">
        <f t="shared" si="12"/>
        <v>0.78499999999999426</v>
      </c>
    </row>
    <row r="319" spans="27:27">
      <c r="AA319" s="399">
        <f t="shared" si="12"/>
        <v>0.7874999999999942</v>
      </c>
    </row>
    <row r="320" spans="27:27">
      <c r="AA320" s="399">
        <f t="shared" si="12"/>
        <v>0.78999999999999415</v>
      </c>
    </row>
    <row r="321" spans="27:27">
      <c r="AA321" s="399">
        <f t="shared" si="12"/>
        <v>0.7924999999999941</v>
      </c>
    </row>
    <row r="322" spans="27:27">
      <c r="AA322" s="399">
        <f t="shared" si="12"/>
        <v>0.79499999999999404</v>
      </c>
    </row>
    <row r="323" spans="27:27">
      <c r="AA323" s="399">
        <f t="shared" si="12"/>
        <v>0.79749999999999399</v>
      </c>
    </row>
    <row r="324" spans="27:27">
      <c r="AA324" s="399">
        <f t="shared" si="12"/>
        <v>0.79999999999999394</v>
      </c>
    </row>
    <row r="325" spans="27:27">
      <c r="AA325" s="399">
        <f t="shared" si="12"/>
        <v>0.80249999999999388</v>
      </c>
    </row>
    <row r="326" spans="27:27">
      <c r="AA326" s="399">
        <f t="shared" si="12"/>
        <v>0.80499999999999383</v>
      </c>
    </row>
    <row r="327" spans="27:27">
      <c r="AA327" s="399">
        <f t="shared" si="12"/>
        <v>0.80749999999999378</v>
      </c>
    </row>
    <row r="328" spans="27:27">
      <c r="AA328" s="399">
        <f t="shared" si="12"/>
        <v>0.80999999999999373</v>
      </c>
    </row>
    <row r="329" spans="27:27">
      <c r="AA329" s="399">
        <f t="shared" si="12"/>
        <v>0.81249999999999367</v>
      </c>
    </row>
    <row r="330" spans="27:27">
      <c r="AA330" s="399">
        <f t="shared" si="12"/>
        <v>0.81499999999999362</v>
      </c>
    </row>
    <row r="331" spans="27:27">
      <c r="AA331" s="399">
        <f t="shared" ref="AA331:AA394" si="13">AA330+0.25%</f>
        <v>0.81749999999999357</v>
      </c>
    </row>
    <row r="332" spans="27:27">
      <c r="AA332" s="399">
        <f t="shared" si="13"/>
        <v>0.81999999999999351</v>
      </c>
    </row>
    <row r="333" spans="27:27">
      <c r="AA333" s="399">
        <f t="shared" si="13"/>
        <v>0.82249999999999346</v>
      </c>
    </row>
    <row r="334" spans="27:27">
      <c r="AA334" s="399">
        <f t="shared" si="13"/>
        <v>0.82499999999999341</v>
      </c>
    </row>
    <row r="335" spans="27:27">
      <c r="AA335" s="399">
        <f t="shared" si="13"/>
        <v>0.82749999999999335</v>
      </c>
    </row>
    <row r="336" spans="27:27">
      <c r="AA336" s="399">
        <f t="shared" si="13"/>
        <v>0.8299999999999933</v>
      </c>
    </row>
    <row r="337" spans="27:27">
      <c r="AA337" s="399">
        <f t="shared" si="13"/>
        <v>0.83249999999999325</v>
      </c>
    </row>
    <row r="338" spans="27:27">
      <c r="AA338" s="399">
        <f t="shared" si="13"/>
        <v>0.83499999999999319</v>
      </c>
    </row>
    <row r="339" spans="27:27">
      <c r="AA339" s="399">
        <f t="shared" si="13"/>
        <v>0.83749999999999314</v>
      </c>
    </row>
    <row r="340" spans="27:27">
      <c r="AA340" s="399">
        <f t="shared" si="13"/>
        <v>0.83999999999999309</v>
      </c>
    </row>
    <row r="341" spans="27:27">
      <c r="AA341" s="399">
        <f t="shared" si="13"/>
        <v>0.84249999999999303</v>
      </c>
    </row>
    <row r="342" spans="27:27">
      <c r="AA342" s="399">
        <f t="shared" si="13"/>
        <v>0.84499999999999298</v>
      </c>
    </row>
    <row r="343" spans="27:27">
      <c r="AA343" s="399">
        <f t="shared" si="13"/>
        <v>0.84749999999999293</v>
      </c>
    </row>
    <row r="344" spans="27:27">
      <c r="AA344" s="399">
        <f t="shared" si="13"/>
        <v>0.84999999999999287</v>
      </c>
    </row>
    <row r="345" spans="27:27">
      <c r="AA345" s="399">
        <f t="shared" si="13"/>
        <v>0.85249999999999282</v>
      </c>
    </row>
    <row r="346" spans="27:27">
      <c r="AA346" s="399">
        <f t="shared" si="13"/>
        <v>0.85499999999999277</v>
      </c>
    </row>
    <row r="347" spans="27:27">
      <c r="AA347" s="399">
        <f t="shared" si="13"/>
        <v>0.85749999999999271</v>
      </c>
    </row>
    <row r="348" spans="27:27">
      <c r="AA348" s="399">
        <f t="shared" si="13"/>
        <v>0.85999999999999266</v>
      </c>
    </row>
    <row r="349" spans="27:27">
      <c r="AA349" s="399">
        <f t="shared" si="13"/>
        <v>0.86249999999999261</v>
      </c>
    </row>
    <row r="350" spans="27:27">
      <c r="AA350" s="399">
        <f t="shared" si="13"/>
        <v>0.86499999999999255</v>
      </c>
    </row>
    <row r="351" spans="27:27">
      <c r="AA351" s="399">
        <f t="shared" si="13"/>
        <v>0.8674999999999925</v>
      </c>
    </row>
    <row r="352" spans="27:27">
      <c r="AA352" s="399">
        <f t="shared" si="13"/>
        <v>0.86999999999999245</v>
      </c>
    </row>
    <row r="353" spans="27:27">
      <c r="AA353" s="399">
        <f t="shared" si="13"/>
        <v>0.87249999999999239</v>
      </c>
    </row>
    <row r="354" spans="27:27">
      <c r="AA354" s="399">
        <f t="shared" si="13"/>
        <v>0.87499999999999234</v>
      </c>
    </row>
    <row r="355" spans="27:27">
      <c r="AA355" s="399">
        <f t="shared" si="13"/>
        <v>0.87749999999999229</v>
      </c>
    </row>
    <row r="356" spans="27:27">
      <c r="AA356" s="399">
        <f t="shared" si="13"/>
        <v>0.87999999999999223</v>
      </c>
    </row>
    <row r="357" spans="27:27">
      <c r="AA357" s="399">
        <f t="shared" si="13"/>
        <v>0.88249999999999218</v>
      </c>
    </row>
    <row r="358" spans="27:27">
      <c r="AA358" s="399">
        <f t="shared" si="13"/>
        <v>0.88499999999999213</v>
      </c>
    </row>
    <row r="359" spans="27:27">
      <c r="AA359" s="399">
        <f t="shared" si="13"/>
        <v>0.88749999999999207</v>
      </c>
    </row>
    <row r="360" spans="27:27">
      <c r="AA360" s="399">
        <f t="shared" si="13"/>
        <v>0.88999999999999202</v>
      </c>
    </row>
    <row r="361" spans="27:27">
      <c r="AA361" s="399">
        <f t="shared" si="13"/>
        <v>0.89249999999999197</v>
      </c>
    </row>
    <row r="362" spans="27:27">
      <c r="AA362" s="399">
        <f t="shared" si="13"/>
        <v>0.89499999999999191</v>
      </c>
    </row>
    <row r="363" spans="27:27">
      <c r="AA363" s="399">
        <f t="shared" si="13"/>
        <v>0.89749999999999186</v>
      </c>
    </row>
    <row r="364" spans="27:27">
      <c r="AA364" s="399">
        <f t="shared" si="13"/>
        <v>0.89999999999999181</v>
      </c>
    </row>
    <row r="365" spans="27:27">
      <c r="AA365" s="399">
        <f t="shared" si="13"/>
        <v>0.90249999999999175</v>
      </c>
    </row>
    <row r="366" spans="27:27">
      <c r="AA366" s="399">
        <f t="shared" si="13"/>
        <v>0.9049999999999917</v>
      </c>
    </row>
    <row r="367" spans="27:27">
      <c r="AA367" s="399">
        <f t="shared" si="13"/>
        <v>0.90749999999999165</v>
      </c>
    </row>
    <row r="368" spans="27:27">
      <c r="AA368" s="399">
        <f t="shared" si="13"/>
        <v>0.90999999999999159</v>
      </c>
    </row>
    <row r="369" spans="27:27">
      <c r="AA369" s="399">
        <f t="shared" si="13"/>
        <v>0.91249999999999154</v>
      </c>
    </row>
    <row r="370" spans="27:27">
      <c r="AA370" s="399">
        <f t="shared" si="13"/>
        <v>0.91499999999999149</v>
      </c>
    </row>
    <row r="371" spans="27:27">
      <c r="AA371" s="399">
        <f t="shared" si="13"/>
        <v>0.91749999999999143</v>
      </c>
    </row>
    <row r="372" spans="27:27">
      <c r="AA372" s="399">
        <f t="shared" si="13"/>
        <v>0.91999999999999138</v>
      </c>
    </row>
    <row r="373" spans="27:27">
      <c r="AA373" s="399">
        <f t="shared" si="13"/>
        <v>0.92249999999999133</v>
      </c>
    </row>
    <row r="374" spans="27:27">
      <c r="AA374" s="399">
        <f t="shared" si="13"/>
        <v>0.92499999999999127</v>
      </c>
    </row>
    <row r="375" spans="27:27">
      <c r="AA375" s="399">
        <f t="shared" si="13"/>
        <v>0.92749999999999122</v>
      </c>
    </row>
    <row r="376" spans="27:27">
      <c r="AA376" s="399">
        <f t="shared" si="13"/>
        <v>0.92999999999999117</v>
      </c>
    </row>
    <row r="377" spans="27:27">
      <c r="AA377" s="399">
        <f t="shared" si="13"/>
        <v>0.93249999999999111</v>
      </c>
    </row>
    <row r="378" spans="27:27">
      <c r="AA378" s="399">
        <f t="shared" si="13"/>
        <v>0.93499999999999106</v>
      </c>
    </row>
    <row r="379" spans="27:27">
      <c r="AA379" s="399">
        <f t="shared" si="13"/>
        <v>0.93749999999999101</v>
      </c>
    </row>
    <row r="380" spans="27:27">
      <c r="AA380" s="399">
        <f t="shared" si="13"/>
        <v>0.93999999999999095</v>
      </c>
    </row>
    <row r="381" spans="27:27">
      <c r="AA381" s="399">
        <f t="shared" si="13"/>
        <v>0.9424999999999909</v>
      </c>
    </row>
    <row r="382" spans="27:27">
      <c r="AA382" s="399">
        <f t="shared" si="13"/>
        <v>0.94499999999999085</v>
      </c>
    </row>
    <row r="383" spans="27:27">
      <c r="AA383" s="399">
        <f t="shared" si="13"/>
        <v>0.94749999999999079</v>
      </c>
    </row>
    <row r="384" spans="27:27">
      <c r="AA384" s="399">
        <f t="shared" si="13"/>
        <v>0.94999999999999074</v>
      </c>
    </row>
    <row r="385" spans="27:27">
      <c r="AA385" s="399">
        <f t="shared" si="13"/>
        <v>0.95249999999999069</v>
      </c>
    </row>
    <row r="386" spans="27:27">
      <c r="AA386" s="399">
        <f t="shared" si="13"/>
        <v>0.95499999999999063</v>
      </c>
    </row>
    <row r="387" spans="27:27">
      <c r="AA387" s="399">
        <f t="shared" si="13"/>
        <v>0.95749999999999058</v>
      </c>
    </row>
    <row r="388" spans="27:27">
      <c r="AA388" s="399">
        <f t="shared" si="13"/>
        <v>0.95999999999999053</v>
      </c>
    </row>
    <row r="389" spans="27:27">
      <c r="AA389" s="399">
        <f t="shared" si="13"/>
        <v>0.96249999999999047</v>
      </c>
    </row>
    <row r="390" spans="27:27">
      <c r="AA390" s="399">
        <f t="shared" si="13"/>
        <v>0.96499999999999042</v>
      </c>
    </row>
    <row r="391" spans="27:27">
      <c r="AA391" s="399">
        <f t="shared" si="13"/>
        <v>0.96749999999999037</v>
      </c>
    </row>
    <row r="392" spans="27:27">
      <c r="AA392" s="399">
        <f t="shared" si="13"/>
        <v>0.96999999999999031</v>
      </c>
    </row>
    <row r="393" spans="27:27">
      <c r="AA393" s="399">
        <f t="shared" si="13"/>
        <v>0.97249999999999026</v>
      </c>
    </row>
    <row r="394" spans="27:27">
      <c r="AA394" s="399">
        <f t="shared" si="13"/>
        <v>0.97499999999999021</v>
      </c>
    </row>
    <row r="395" spans="27:27">
      <c r="AA395" s="399">
        <f t="shared" ref="AA395:AA404" si="14">AA394+0.25%</f>
        <v>0.97749999999999015</v>
      </c>
    </row>
    <row r="396" spans="27:27">
      <c r="AA396" s="399">
        <f t="shared" si="14"/>
        <v>0.9799999999999901</v>
      </c>
    </row>
    <row r="397" spans="27:27">
      <c r="AA397" s="399">
        <f t="shared" si="14"/>
        <v>0.98249999999999005</v>
      </c>
    </row>
    <row r="398" spans="27:27">
      <c r="AA398" s="399">
        <f t="shared" si="14"/>
        <v>0.98499999999998999</v>
      </c>
    </row>
    <row r="399" spans="27:27">
      <c r="AA399" s="399">
        <f t="shared" si="14"/>
        <v>0.98749999999998994</v>
      </c>
    </row>
    <row r="400" spans="27:27">
      <c r="AA400" s="399">
        <f t="shared" si="14"/>
        <v>0.98999999999998989</v>
      </c>
    </row>
    <row r="401" spans="27:27">
      <c r="AA401" s="399">
        <f t="shared" si="14"/>
        <v>0.99249999999998983</v>
      </c>
    </row>
    <row r="402" spans="27:27">
      <c r="AA402" s="399">
        <f t="shared" si="14"/>
        <v>0.99499999999998978</v>
      </c>
    </row>
    <row r="403" spans="27:27">
      <c r="AA403" s="399">
        <f t="shared" si="14"/>
        <v>0.99749999999998973</v>
      </c>
    </row>
    <row r="404" spans="27:27">
      <c r="AA404" s="399">
        <f t="shared" si="14"/>
        <v>0.99999999999998967</v>
      </c>
    </row>
  </sheetData>
  <mergeCells count="1">
    <mergeCell ref="M34:Q34"/>
  </mergeCells>
  <dataValidations count="5">
    <dataValidation type="list" allowBlank="1" showInputMessage="1" showErrorMessage="1" sqref="I9:I16" xr:uid="{F06810D9-582A-4D4E-B185-47CCC99C1E06}">
      <formula1>$Z$4:$Z$11</formula1>
    </dataValidation>
    <dataValidation type="list" allowBlank="1" showInputMessage="1" showErrorMessage="1" sqref="J24:J30 J43:J45 J47:J52" xr:uid="{4CCEBFE2-9256-43D8-9229-4DF87912C900}">
      <formula1>$AA$4:$AA$124</formula1>
    </dataValidation>
    <dataValidation type="list" allowBlank="1" showInputMessage="1" showErrorMessage="1" sqref="N23:N25 N98:N100 K74:K84" xr:uid="{64750A57-AC2D-461D-B876-C5A1BF44FBCB}">
      <formula1>$AA$4:$AA$404</formula1>
    </dataValidation>
    <dataValidation type="list" allowBlank="1" showDropDown="1" showInputMessage="1" showErrorMessage="1" sqref="K73" xr:uid="{0C7CDCCD-AED7-4D89-B1EA-1C703D37A4CE}">
      <formula1>$AA$4:$AA$404</formula1>
    </dataValidation>
    <dataValidation type="list" allowBlank="1" showInputMessage="1" showErrorMessage="1" sqref="O70:O71" xr:uid="{9709A79C-CF75-4568-9648-BD27ADF784BA}">
      <formula1>$AB$4:$AB$24</formula1>
    </dataValidation>
  </dataValidations>
  <hyperlinks>
    <hyperlink ref="CC23" r:id="rId1" xr:uid="{73AAF679-BD03-4950-884F-4D97E4430527}"/>
  </hyperlinks>
  <printOptions horizontalCentered="1" verticalCentered="1" gridLinesSet="0"/>
  <pageMargins left="0" right="0" top="0" bottom="0" header="0" footer="0"/>
  <pageSetup paperSize="9" scale="57" orientation="portrait" horizontalDpi="300" verticalDpi="300" r:id="rId2"/>
  <headerFooter alignWithMargins="0">
    <oddFooter>Page &amp;P&amp;L&amp;1#&amp;"Calibri"&amp;10&amp;K000000Internal Use Only</oddFooter>
  </headerFooter>
  <rowBreaks count="1" manualBreakCount="1">
    <brk id="58" min="8" max="16" man="1"/>
  </rowBreaks>
  <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675AE-38EA-44D1-AF85-BC30958D14BD}">
  <sheetPr codeName="Planilha14">
    <pageSetUpPr fitToPage="1"/>
  </sheetPr>
  <dimension ref="B1:AU71"/>
  <sheetViews>
    <sheetView showGridLines="0" zoomScale="105" workbookViewId="0">
      <pane xSplit="2" ySplit="3" topLeftCell="C4" activePane="bottomRight" state="frozen"/>
      <selection activeCell="I2" sqref="I2"/>
      <selection pane="topRight" activeCell="I2" sqref="I2"/>
      <selection pane="bottomLeft" activeCell="I2" sqref="I2"/>
      <selection pane="bottomRight" activeCell="D2" sqref="D2:AA2"/>
    </sheetView>
  </sheetViews>
  <sheetFormatPr baseColWidth="10" defaultColWidth="8.6640625" defaultRowHeight="11"/>
  <cols>
    <col min="1" max="1" width="3.6640625" style="601" customWidth="1"/>
    <col min="2" max="2" width="24.6640625" style="601" bestFit="1" customWidth="1"/>
    <col min="3" max="3" width="19.6640625" style="601" bestFit="1" customWidth="1"/>
    <col min="4" max="21" width="9.1640625" style="601" customWidth="1"/>
    <col min="22" max="39" width="10" style="601" bestFit="1" customWidth="1"/>
    <col min="40" max="40" width="9.83203125" style="601" bestFit="1" customWidth="1"/>
    <col min="41" max="41" width="10.6640625" style="601" customWidth="1"/>
    <col min="42" max="16384" width="8.6640625" style="601"/>
  </cols>
  <sheetData>
    <row r="1" spans="2:47">
      <c r="C1" s="640">
        <v>0</v>
      </c>
      <c r="D1" s="640">
        <v>1</v>
      </c>
      <c r="E1" s="640">
        <f>D1+1</f>
        <v>2</v>
      </c>
      <c r="F1" s="640">
        <f t="shared" ref="F1:AM1" si="0">E1+1</f>
        <v>3</v>
      </c>
      <c r="G1" s="640">
        <f t="shared" si="0"/>
        <v>4</v>
      </c>
      <c r="H1" s="640">
        <f t="shared" si="0"/>
        <v>5</v>
      </c>
      <c r="I1" s="640">
        <f t="shared" si="0"/>
        <v>6</v>
      </c>
      <c r="J1" s="640">
        <f t="shared" si="0"/>
        <v>7</v>
      </c>
      <c r="K1" s="640">
        <f t="shared" si="0"/>
        <v>8</v>
      </c>
      <c r="L1" s="640">
        <f t="shared" si="0"/>
        <v>9</v>
      </c>
      <c r="M1" s="640">
        <f t="shared" si="0"/>
        <v>10</v>
      </c>
      <c r="N1" s="640">
        <f t="shared" si="0"/>
        <v>11</v>
      </c>
      <c r="O1" s="640">
        <f t="shared" si="0"/>
        <v>12</v>
      </c>
      <c r="P1" s="640">
        <f t="shared" si="0"/>
        <v>13</v>
      </c>
      <c r="Q1" s="640">
        <f t="shared" si="0"/>
        <v>14</v>
      </c>
      <c r="R1" s="640">
        <f t="shared" si="0"/>
        <v>15</v>
      </c>
      <c r="S1" s="640">
        <f t="shared" si="0"/>
        <v>16</v>
      </c>
      <c r="T1" s="640">
        <f t="shared" si="0"/>
        <v>17</v>
      </c>
      <c r="U1" s="640">
        <f t="shared" si="0"/>
        <v>18</v>
      </c>
      <c r="V1" s="640">
        <f t="shared" si="0"/>
        <v>19</v>
      </c>
      <c r="W1" s="640">
        <f t="shared" si="0"/>
        <v>20</v>
      </c>
      <c r="X1" s="640">
        <f t="shared" si="0"/>
        <v>21</v>
      </c>
      <c r="Y1" s="640">
        <f t="shared" si="0"/>
        <v>22</v>
      </c>
      <c r="Z1" s="640">
        <f t="shared" si="0"/>
        <v>23</v>
      </c>
      <c r="AA1" s="640">
        <f t="shared" si="0"/>
        <v>24</v>
      </c>
      <c r="AB1" s="640">
        <f t="shared" si="0"/>
        <v>25</v>
      </c>
      <c r="AC1" s="640">
        <f t="shared" si="0"/>
        <v>26</v>
      </c>
      <c r="AD1" s="640">
        <f t="shared" si="0"/>
        <v>27</v>
      </c>
      <c r="AE1" s="640">
        <f t="shared" si="0"/>
        <v>28</v>
      </c>
      <c r="AF1" s="640">
        <f t="shared" si="0"/>
        <v>29</v>
      </c>
      <c r="AG1" s="640">
        <f t="shared" si="0"/>
        <v>30</v>
      </c>
      <c r="AH1" s="640">
        <f t="shared" si="0"/>
        <v>31</v>
      </c>
      <c r="AI1" s="640">
        <f t="shared" si="0"/>
        <v>32</v>
      </c>
      <c r="AJ1" s="640">
        <f t="shared" si="0"/>
        <v>33</v>
      </c>
      <c r="AK1" s="640">
        <f t="shared" si="0"/>
        <v>34</v>
      </c>
      <c r="AL1" s="640">
        <f t="shared" si="0"/>
        <v>35</v>
      </c>
      <c r="AM1" s="640">
        <f t="shared" si="0"/>
        <v>36</v>
      </c>
    </row>
    <row r="2" spans="2:47" ht="12.5" customHeight="1">
      <c r="D2" s="1201" t="s">
        <v>562</v>
      </c>
      <c r="E2" s="1201"/>
      <c r="F2" s="1201"/>
      <c r="G2" s="1201"/>
      <c r="H2" s="1201"/>
      <c r="I2" s="1201"/>
      <c r="J2" s="1201"/>
      <c r="K2" s="1201"/>
      <c r="L2" s="1201"/>
      <c r="M2" s="1201"/>
      <c r="N2" s="1201"/>
      <c r="O2" s="1201"/>
      <c r="P2" s="1201"/>
      <c r="Q2" s="1201"/>
      <c r="R2" s="1201"/>
      <c r="S2" s="1201"/>
      <c r="T2" s="1201"/>
      <c r="U2" s="1201"/>
      <c r="V2" s="1201"/>
      <c r="W2" s="1201"/>
      <c r="X2" s="1201"/>
      <c r="Y2" s="1201"/>
      <c r="Z2" s="1201"/>
      <c r="AA2" s="1201"/>
    </row>
    <row r="3" spans="2:47">
      <c r="C3" s="600" t="s">
        <v>563</v>
      </c>
      <c r="D3" s="600" t="s">
        <v>564</v>
      </c>
      <c r="E3" s="600" t="s">
        <v>565</v>
      </c>
      <c r="F3" s="600" t="s">
        <v>566</v>
      </c>
      <c r="G3" s="600" t="s">
        <v>567</v>
      </c>
      <c r="H3" s="600" t="s">
        <v>568</v>
      </c>
      <c r="I3" s="600" t="s">
        <v>569</v>
      </c>
      <c r="J3" s="600" t="s">
        <v>570</v>
      </c>
      <c r="K3" s="600" t="s">
        <v>571</v>
      </c>
      <c r="L3" s="600" t="s">
        <v>572</v>
      </c>
      <c r="M3" s="600" t="s">
        <v>573</v>
      </c>
      <c r="N3" s="600" t="s">
        <v>574</v>
      </c>
      <c r="O3" s="600" t="s">
        <v>575</v>
      </c>
      <c r="P3" s="600" t="s">
        <v>576</v>
      </c>
      <c r="Q3" s="600" t="s">
        <v>577</v>
      </c>
      <c r="R3" s="600" t="s">
        <v>578</v>
      </c>
      <c r="S3" s="600" t="s">
        <v>579</v>
      </c>
      <c r="T3" s="600" t="s">
        <v>580</v>
      </c>
      <c r="U3" s="600" t="s">
        <v>581</v>
      </c>
      <c r="V3" s="600" t="s">
        <v>582</v>
      </c>
      <c r="W3" s="600" t="s">
        <v>583</v>
      </c>
      <c r="X3" s="600" t="s">
        <v>584</v>
      </c>
      <c r="Y3" s="600" t="s">
        <v>585</v>
      </c>
      <c r="Z3" s="600" t="s">
        <v>586</v>
      </c>
      <c r="AA3" s="600" t="s">
        <v>587</v>
      </c>
      <c r="AB3" s="600" t="s">
        <v>588</v>
      </c>
      <c r="AC3" s="600" t="s">
        <v>589</v>
      </c>
      <c r="AD3" s="600" t="s">
        <v>590</v>
      </c>
      <c r="AE3" s="600" t="s">
        <v>591</v>
      </c>
      <c r="AF3" s="600" t="s">
        <v>592</v>
      </c>
      <c r="AG3" s="600" t="s">
        <v>593</v>
      </c>
      <c r="AH3" s="600" t="s">
        <v>594</v>
      </c>
      <c r="AI3" s="600" t="s">
        <v>595</v>
      </c>
      <c r="AJ3" s="600" t="s">
        <v>596</v>
      </c>
      <c r="AK3" s="600" t="s">
        <v>597</v>
      </c>
      <c r="AL3" s="600" t="s">
        <v>598</v>
      </c>
      <c r="AM3" s="600" t="s">
        <v>599</v>
      </c>
      <c r="AN3" s="600" t="s">
        <v>2</v>
      </c>
    </row>
    <row r="4" spans="2:47" s="641" customFormat="1">
      <c r="B4" s="641" t="s">
        <v>600</v>
      </c>
      <c r="C4" s="642">
        <f>'[9]CJ III'!W11</f>
        <v>224000000</v>
      </c>
      <c r="D4" s="641">
        <f>'EVTE - SEM PERMUTA FUNDING'!$Q$37</f>
        <v>0</v>
      </c>
      <c r="E4" s="643">
        <f>'EVTE - SEM PERMUTA FUNDING'!$Q$38</f>
        <v>0</v>
      </c>
      <c r="F4" s="643">
        <f>'EVTE - SEM PERMUTA FUNDING'!$Q$39</f>
        <v>18000000</v>
      </c>
      <c r="G4" s="643">
        <f>'EVTE - SEM PERMUTA FUNDING'!$Q$40</f>
        <v>0</v>
      </c>
      <c r="H4" s="643">
        <f>'EVTE - SEM PERMUTA FUNDING'!$Q$41</f>
        <v>0</v>
      </c>
      <c r="I4" s="643">
        <f>'EVTE - SEM PERMUTA FUNDING'!$Q$42</f>
        <v>43200000</v>
      </c>
      <c r="J4" s="643">
        <f>'EVTE - SEM PERMUTA FUNDING'!$Q$43</f>
        <v>0</v>
      </c>
      <c r="K4" s="643">
        <f>'EVTE - SEM PERMUTA FUNDING'!$Q$44</f>
        <v>0</v>
      </c>
      <c r="L4" s="643">
        <f>'EVTE - SEM PERMUTA FUNDING'!$Q$45</f>
        <v>0</v>
      </c>
      <c r="M4" s="643">
        <f>'EVTE - SEM PERMUTA FUNDING'!$Q$46</f>
        <v>17920000.000000015</v>
      </c>
      <c r="N4" s="643">
        <f>'EVTE - SEM PERMUTA FUNDING'!$Q$47</f>
        <v>11889230.769230779</v>
      </c>
      <c r="O4" s="643">
        <f>'EVTE - SEM PERMUTA FUNDING'!$Q$48</f>
        <v>23089230.769230787</v>
      </c>
      <c r="P4" s="643">
        <f>'EVTE - SEM PERMUTA FUNDING'!$Q$49</f>
        <v>23089230.769230787</v>
      </c>
      <c r="Q4" s="643">
        <f>'EVTE - SEM PERMUTA FUNDING'!$Q$50</f>
        <v>16369230.769230781</v>
      </c>
      <c r="R4" s="643">
        <f>'EVTE - SEM PERMUTA FUNDING'!$Q$51</f>
        <v>16369230.769230781</v>
      </c>
      <c r="S4" s="643">
        <f>'EVTE - SEM PERMUTA FUNDING'!$Q$52</f>
        <v>16369230.769230781</v>
      </c>
      <c r="T4" s="643">
        <f>'EVTE - SEM PERMUTA FUNDING'!$Q$53</f>
        <v>5169230.7692307737</v>
      </c>
      <c r="U4" s="643">
        <f>'EVTE - SEM PERMUTA FUNDING'!$Q$54</f>
        <v>5169230.7692307737</v>
      </c>
      <c r="V4" s="643">
        <f>'EVTE - SEM PERMUTA FUNDING'!$Q$55</f>
        <v>5169230.7692307737</v>
      </c>
      <c r="W4" s="641">
        <f>'EVTE - SEM PERMUTA FUNDING'!$Q$56</f>
        <v>5169230.7692307737</v>
      </c>
      <c r="X4" s="641">
        <f>'EVTE - SEM PERMUTA FUNDING'!$Q$57</f>
        <v>5169230.7692307737</v>
      </c>
      <c r="Y4" s="641">
        <f>'EVTE - SEM PERMUTA FUNDING'!$Q$58</f>
        <v>11858461.533499876</v>
      </c>
      <c r="Z4" s="641">
        <f>'EVTE - SEM PERMUTA FUNDING'!$Q$59</f>
        <v>0</v>
      </c>
      <c r="AA4" s="641">
        <f>'EVTE - SEM PERMUTA FUNDING'!$Q$60</f>
        <v>0</v>
      </c>
      <c r="AB4" s="643">
        <f>'EVTE - SEM PERMUTA FUNDING'!$Q$61</f>
        <v>0</v>
      </c>
      <c r="AC4" s="643"/>
      <c r="AD4" s="643"/>
      <c r="AE4" s="643"/>
      <c r="AF4" s="643"/>
      <c r="AG4" s="643"/>
      <c r="AH4" s="643"/>
      <c r="AI4" s="643"/>
      <c r="AJ4" s="643"/>
      <c r="AK4" s="643"/>
      <c r="AL4" s="643"/>
      <c r="AM4" s="643"/>
      <c r="AN4" s="644">
        <f t="shared" ref="AN4:AN40" si="1">SUM(D4:AM4)</f>
        <v>223999999.99503851</v>
      </c>
    </row>
    <row r="5" spans="2:47" s="641" customFormat="1">
      <c r="B5" s="641" t="s">
        <v>601</v>
      </c>
      <c r="D5" s="643"/>
      <c r="E5" s="643"/>
      <c r="F5" s="643"/>
      <c r="G5" s="643"/>
      <c r="H5" s="643"/>
      <c r="I5" s="643"/>
      <c r="J5" s="643"/>
      <c r="K5" s="643"/>
      <c r="L5" s="643"/>
      <c r="M5" s="643"/>
      <c r="N5" s="643"/>
      <c r="O5" s="643"/>
      <c r="P5" s="643"/>
      <c r="Q5" s="643"/>
      <c r="R5" s="643"/>
      <c r="S5" s="643"/>
      <c r="T5" s="643"/>
      <c r="U5" s="643"/>
      <c r="V5" s="643"/>
      <c r="AB5" s="643"/>
      <c r="AC5" s="643"/>
      <c r="AD5" s="643"/>
      <c r="AE5" s="643"/>
      <c r="AF5" s="643"/>
      <c r="AG5" s="643"/>
      <c r="AH5" s="643"/>
      <c r="AI5" s="643"/>
      <c r="AJ5" s="643"/>
      <c r="AK5" s="643"/>
      <c r="AL5" s="643"/>
      <c r="AM5" s="643"/>
      <c r="AN5" s="644">
        <f t="shared" si="1"/>
        <v>0</v>
      </c>
      <c r="AU5" s="645">
        <f>'EVTE - SEM PERMUTA FUNDING'!$Q$37</f>
        <v>0</v>
      </c>
    </row>
    <row r="6" spans="2:47" s="641" customFormat="1">
      <c r="B6" s="641" t="s">
        <v>602</v>
      </c>
      <c r="D6" s="644">
        <f>AU5-D5</f>
        <v>0</v>
      </c>
      <c r="E6" s="644">
        <f t="shared" ref="E6:V6" si="2">E4-E5</f>
        <v>0</v>
      </c>
      <c r="F6" s="644">
        <f t="shared" si="2"/>
        <v>18000000</v>
      </c>
      <c r="G6" s="644">
        <f t="shared" si="2"/>
        <v>0</v>
      </c>
      <c r="H6" s="644">
        <f t="shared" si="2"/>
        <v>0</v>
      </c>
      <c r="I6" s="644">
        <f t="shared" si="2"/>
        <v>43200000</v>
      </c>
      <c r="J6" s="644">
        <f t="shared" si="2"/>
        <v>0</v>
      </c>
      <c r="K6" s="644">
        <f t="shared" si="2"/>
        <v>0</v>
      </c>
      <c r="L6" s="644">
        <f t="shared" si="2"/>
        <v>0</v>
      </c>
      <c r="M6" s="644">
        <f t="shared" si="2"/>
        <v>17920000.000000015</v>
      </c>
      <c r="N6" s="644">
        <f t="shared" si="2"/>
        <v>11889230.769230779</v>
      </c>
      <c r="O6" s="644">
        <f t="shared" si="2"/>
        <v>23089230.769230787</v>
      </c>
      <c r="P6" s="644">
        <f t="shared" si="2"/>
        <v>23089230.769230787</v>
      </c>
      <c r="Q6" s="644">
        <f t="shared" si="2"/>
        <v>16369230.769230781</v>
      </c>
      <c r="R6" s="644">
        <f t="shared" si="2"/>
        <v>16369230.769230781</v>
      </c>
      <c r="S6" s="644">
        <f t="shared" si="2"/>
        <v>16369230.769230781</v>
      </c>
      <c r="T6" s="644">
        <f t="shared" si="2"/>
        <v>5169230.7692307737</v>
      </c>
      <c r="U6" s="644">
        <f t="shared" si="2"/>
        <v>5169230.7692307737</v>
      </c>
      <c r="V6" s="644">
        <f t="shared" si="2"/>
        <v>5169230.7692307737</v>
      </c>
      <c r="AB6" s="644">
        <f>AB4-AB5</f>
        <v>0</v>
      </c>
      <c r="AC6" s="644"/>
      <c r="AD6" s="644"/>
      <c r="AE6" s="644"/>
      <c r="AF6" s="644"/>
      <c r="AG6" s="644"/>
      <c r="AH6" s="644"/>
      <c r="AI6" s="644"/>
      <c r="AJ6" s="644"/>
      <c r="AK6" s="644"/>
      <c r="AL6" s="644"/>
      <c r="AM6" s="644"/>
      <c r="AN6" s="644">
        <f t="shared" si="1"/>
        <v>201803076.92307708</v>
      </c>
      <c r="AO6" s="642">
        <f t="shared" ref="AO6:AO21" si="3">AN6-C6</f>
        <v>201803076.92307708</v>
      </c>
      <c r="AU6" s="645">
        <f>'EVTE - SEM PERMUTA FUNDING'!$Q$38</f>
        <v>0</v>
      </c>
    </row>
    <row r="7" spans="2:47">
      <c r="C7" s="646"/>
      <c r="D7" s="642"/>
      <c r="AN7" s="644">
        <f t="shared" si="1"/>
        <v>0</v>
      </c>
      <c r="AO7" s="642">
        <f t="shared" si="3"/>
        <v>0</v>
      </c>
      <c r="AU7" s="645">
        <f>'EVTE - SEM PERMUTA FUNDING'!$Q$39</f>
        <v>18000000</v>
      </c>
    </row>
    <row r="8" spans="2:47">
      <c r="B8" s="646" t="s">
        <v>603</v>
      </c>
      <c r="C8" s="642">
        <f>'EVTE - SEM PERMUTA FUNDING'!K53</f>
        <v>159455999.99999997</v>
      </c>
      <c r="D8" s="642"/>
      <c r="AN8" s="644">
        <f t="shared" si="1"/>
        <v>0</v>
      </c>
      <c r="AO8" s="642">
        <f t="shared" si="3"/>
        <v>-159455999.99999997</v>
      </c>
      <c r="AU8" s="645">
        <f>'EVTE - SEM PERMUTA FUNDING'!$Q$40</f>
        <v>0</v>
      </c>
    </row>
    <row r="9" spans="2:47">
      <c r="B9" s="646"/>
      <c r="C9" s="642"/>
      <c r="D9" s="642"/>
      <c r="AN9" s="644">
        <f t="shared" si="1"/>
        <v>0</v>
      </c>
      <c r="AO9" s="642"/>
      <c r="AU9" s="645">
        <f>'EVTE - SEM PERMUTA FUNDING'!$Q$41</f>
        <v>0</v>
      </c>
    </row>
    <row r="10" spans="2:47">
      <c r="B10" s="601" t="s">
        <v>124</v>
      </c>
      <c r="C10" s="642">
        <v>40000000</v>
      </c>
      <c r="D10" s="642"/>
      <c r="AN10" s="644">
        <f t="shared" si="1"/>
        <v>0</v>
      </c>
      <c r="AO10" s="642"/>
      <c r="AU10" s="645">
        <f>'EVTE - SEM PERMUTA FUNDING'!$Q$42</f>
        <v>43200000</v>
      </c>
    </row>
    <row r="11" spans="2:47">
      <c r="B11" s="647" t="s">
        <v>604</v>
      </c>
      <c r="C11" s="648">
        <f>900/2100</f>
        <v>0.42857142857142855</v>
      </c>
      <c r="D11" s="642">
        <v>0</v>
      </c>
      <c r="F11" s="649">
        <f>'EVTE - SEM PERMUTA FUNDING'!K23</f>
        <v>0</v>
      </c>
      <c r="G11" s="642">
        <f>F11</f>
        <v>0</v>
      </c>
      <c r="H11" s="642">
        <f t="shared" ref="H11:W11" si="4">G11</f>
        <v>0</v>
      </c>
      <c r="I11" s="642">
        <f t="shared" si="4"/>
        <v>0</v>
      </c>
      <c r="J11" s="642">
        <f t="shared" si="4"/>
        <v>0</v>
      </c>
      <c r="K11" s="642">
        <f t="shared" si="4"/>
        <v>0</v>
      </c>
      <c r="L11" s="642">
        <f t="shared" si="4"/>
        <v>0</v>
      </c>
      <c r="M11" s="642">
        <f t="shared" si="4"/>
        <v>0</v>
      </c>
      <c r="N11" s="642">
        <f t="shared" si="4"/>
        <v>0</v>
      </c>
      <c r="O11" s="642">
        <f t="shared" si="4"/>
        <v>0</v>
      </c>
      <c r="P11" s="642">
        <f t="shared" si="4"/>
        <v>0</v>
      </c>
      <c r="Q11" s="642">
        <f t="shared" si="4"/>
        <v>0</v>
      </c>
      <c r="R11" s="642">
        <f t="shared" si="4"/>
        <v>0</v>
      </c>
      <c r="S11" s="642">
        <f t="shared" si="4"/>
        <v>0</v>
      </c>
      <c r="T11" s="642">
        <f t="shared" si="4"/>
        <v>0</v>
      </c>
      <c r="U11" s="642">
        <f t="shared" si="4"/>
        <v>0</v>
      </c>
      <c r="V11" s="642">
        <f t="shared" si="4"/>
        <v>0</v>
      </c>
      <c r="W11" s="642">
        <f t="shared" si="4"/>
        <v>0</v>
      </c>
      <c r="X11" s="642">
        <f>W11</f>
        <v>0</v>
      </c>
      <c r="AN11" s="644">
        <f t="shared" si="1"/>
        <v>0</v>
      </c>
      <c r="AO11" s="642">
        <f>AN11-C11-AN11</f>
        <v>-0.42857142857142855</v>
      </c>
      <c r="AU11" s="645">
        <f>'EVTE - SEM PERMUTA FUNDING'!$Q$43</f>
        <v>0</v>
      </c>
    </row>
    <row r="12" spans="2:47">
      <c r="B12" s="601" t="s">
        <v>605</v>
      </c>
      <c r="C12" s="648">
        <f>100/2100</f>
        <v>4.7619047619047616E-2</v>
      </c>
      <c r="D12" s="650">
        <v>0</v>
      </c>
      <c r="E12" s="650">
        <v>0</v>
      </c>
      <c r="F12" s="650">
        <v>0</v>
      </c>
      <c r="G12" s="642">
        <v>0</v>
      </c>
      <c r="H12" s="642">
        <v>0</v>
      </c>
      <c r="I12" s="642">
        <v>0</v>
      </c>
      <c r="J12" s="642">
        <v>0</v>
      </c>
      <c r="K12" s="642">
        <v>0</v>
      </c>
      <c r="L12" s="642">
        <v>0</v>
      </c>
      <c r="M12" s="642">
        <v>0</v>
      </c>
      <c r="AN12" s="644">
        <f t="shared" si="1"/>
        <v>0</v>
      </c>
      <c r="AO12" s="642">
        <f>AN12-C12-AN12</f>
        <v>-4.7619047619047616E-2</v>
      </c>
      <c r="AU12" s="645">
        <f>'EVTE - SEM PERMUTA FUNDING'!$Q$44</f>
        <v>0</v>
      </c>
    </row>
    <row r="13" spans="2:47">
      <c r="B13" s="601" t="s">
        <v>606</v>
      </c>
      <c r="C13" s="648">
        <f>300/2100</f>
        <v>0.14285714285714285</v>
      </c>
      <c r="D13" s="650"/>
      <c r="E13" s="651"/>
      <c r="F13" s="652">
        <v>0</v>
      </c>
      <c r="AN13" s="644">
        <f t="shared" si="1"/>
        <v>0</v>
      </c>
      <c r="AO13" s="642">
        <f>AN13-C13-AN13</f>
        <v>-0.14285714285714285</v>
      </c>
      <c r="AU13" s="645">
        <f>'EVTE - SEM PERMUTA FUNDING'!$Q$45</f>
        <v>0</v>
      </c>
    </row>
    <row r="14" spans="2:47">
      <c r="B14" s="601" t="s">
        <v>607</v>
      </c>
      <c r="C14" s="648">
        <f>800/2100</f>
        <v>0.38095238095238093</v>
      </c>
      <c r="D14" s="651"/>
      <c r="E14" s="651"/>
      <c r="F14" s="651"/>
      <c r="M14" s="653">
        <v>0</v>
      </c>
      <c r="N14" s="653">
        <v>0</v>
      </c>
      <c r="O14" s="653">
        <f>N14</f>
        <v>0</v>
      </c>
      <c r="AN14" s="644">
        <f t="shared" si="1"/>
        <v>0</v>
      </c>
      <c r="AO14" s="642">
        <f>AN14-C14-AN14</f>
        <v>-0.38095238095238093</v>
      </c>
      <c r="AU14" s="645">
        <f>'EVTE - SEM PERMUTA FUNDING'!$Q$46</f>
        <v>17920000.000000015</v>
      </c>
    </row>
    <row r="15" spans="2:47">
      <c r="D15" s="651"/>
      <c r="E15" s="651"/>
      <c r="F15" s="651"/>
      <c r="AN15" s="644">
        <f t="shared" si="1"/>
        <v>0</v>
      </c>
      <c r="AO15" s="642">
        <f t="shared" si="3"/>
        <v>0</v>
      </c>
      <c r="AU15" s="645">
        <f>'EVTE - SEM PERMUTA FUNDING'!$Q$47</f>
        <v>11889230.769230779</v>
      </c>
    </row>
    <row r="16" spans="2:47">
      <c r="B16" s="601" t="s">
        <v>282</v>
      </c>
      <c r="C16" s="642">
        <v>0</v>
      </c>
      <c r="D16" s="650">
        <v>0</v>
      </c>
      <c r="E16" s="650">
        <v>0</v>
      </c>
      <c r="F16" s="650">
        <v>0</v>
      </c>
      <c r="G16" s="650">
        <v>0</v>
      </c>
      <c r="H16" s="650">
        <v>0</v>
      </c>
      <c r="I16" s="650">
        <v>0</v>
      </c>
      <c r="J16" s="650">
        <v>0</v>
      </c>
      <c r="K16" s="650">
        <f>'Desembolso - LV'!B5</f>
        <v>1255852.347133494</v>
      </c>
      <c r="L16" s="650">
        <f>'Desembolso - LV'!B6</f>
        <v>2042610.9829731216</v>
      </c>
      <c r="M16" s="650">
        <f>'Desembolso - LV'!B7</f>
        <v>1049011.5190327356</v>
      </c>
      <c r="N16" s="650">
        <f>'Desembolso - LV'!B8</f>
        <v>1589576.8577699165</v>
      </c>
      <c r="O16" s="650">
        <f>'Desembolso - LV'!B9</f>
        <v>2078878.0091780585</v>
      </c>
      <c r="P16" s="650">
        <f>'Desembolso - LV'!B10</f>
        <v>1914089.6860240409</v>
      </c>
      <c r="Q16" s="650">
        <f>'Desembolso - LV'!B11</f>
        <v>3867367.2195742936</v>
      </c>
      <c r="R16" s="650">
        <f>'Desembolso - LV'!B12</f>
        <v>5927495.3209424857</v>
      </c>
      <c r="S16" s="650">
        <f>'Desembolso - LV'!B13</f>
        <v>6679081.7009011954</v>
      </c>
      <c r="T16" s="650">
        <f>'Desembolso - LV'!B14</f>
        <v>7850398.9042964</v>
      </c>
      <c r="U16" s="650">
        <f>'Desembolso - LV'!B15</f>
        <v>9116291.0492415186</v>
      </c>
      <c r="V16" s="642">
        <f>'Desembolso - LV'!B16</f>
        <v>6699461.3081104234</v>
      </c>
      <c r="W16" s="642">
        <f>'Desembolso - LV'!B17</f>
        <v>5102216.0552959908</v>
      </c>
      <c r="X16" s="642">
        <f>'Desembolso - LV'!B18</f>
        <v>3487869.1998127974</v>
      </c>
      <c r="Y16" s="642">
        <f>'Desembolso - LV'!B19</f>
        <v>2393510.2398715345</v>
      </c>
      <c r="Z16" s="642">
        <f>'Desembolso - LV'!B20</f>
        <v>1139157.2799388587</v>
      </c>
      <c r="AA16" s="642">
        <f>'Desembolso - LV'!B21</f>
        <v>575978.3999690857</v>
      </c>
      <c r="AB16" s="642">
        <f>'Desembolso - LV'!B22</f>
        <v>383985.59997939056</v>
      </c>
      <c r="AC16" s="642">
        <f>'Desembolso - LV'!B23</f>
        <v>255990.39998626037</v>
      </c>
      <c r="AD16" s="642">
        <f>'Desembolso - LV'!B24</f>
        <v>204792.31998900831</v>
      </c>
      <c r="AE16" s="642">
        <f>'Desembolso - LV'!B25</f>
        <v>153594.23999175619</v>
      </c>
      <c r="AF16" s="642">
        <f>'Desembolso - LV'!B26</f>
        <v>95996.399994847641</v>
      </c>
      <c r="AG16" s="642">
        <f>'Desembolso - LV'!B27</f>
        <v>89596.63999519113</v>
      </c>
      <c r="AH16" s="642">
        <f>'Desembolso - LV'!B28</f>
        <v>44798.319997595565</v>
      </c>
      <c r="AI16" s="642"/>
      <c r="AJ16" s="642"/>
      <c r="AK16" s="642"/>
      <c r="AL16" s="642"/>
      <c r="AM16" s="642"/>
      <c r="AN16" s="644">
        <f t="shared" si="1"/>
        <v>63997600</v>
      </c>
      <c r="AO16" s="642">
        <f t="shared" si="3"/>
        <v>63997600</v>
      </c>
      <c r="AU16" s="645">
        <f>'EVTE - SEM PERMUTA FUNDING'!$Q$48</f>
        <v>23089230.769230787</v>
      </c>
    </row>
    <row r="17" spans="2:47">
      <c r="B17" s="601" t="s">
        <v>608</v>
      </c>
      <c r="C17" s="642">
        <f>'EVTE - SEM PERMUTA FUNDING'!K43+'EVTE - SEM PERMUTA FUNDING'!K44</f>
        <v>2855999.9999999981</v>
      </c>
      <c r="D17" s="650">
        <v>0</v>
      </c>
      <c r="E17" s="650">
        <v>0</v>
      </c>
      <c r="F17" s="650">
        <v>0</v>
      </c>
      <c r="G17" s="642">
        <v>0</v>
      </c>
      <c r="H17" s="642">
        <v>0</v>
      </c>
      <c r="I17" s="642">
        <v>0</v>
      </c>
      <c r="J17" s="642">
        <f>1946000</f>
        <v>1946000</v>
      </c>
      <c r="K17" s="642">
        <v>0</v>
      </c>
      <c r="L17" s="642">
        <v>0</v>
      </c>
      <c r="M17" s="642">
        <v>0</v>
      </c>
      <c r="N17" s="642">
        <v>0</v>
      </c>
      <c r="O17" s="642">
        <v>0</v>
      </c>
      <c r="AN17" s="644">
        <f t="shared" si="1"/>
        <v>1946000</v>
      </c>
      <c r="AO17" s="642">
        <f t="shared" si="3"/>
        <v>-909999.99999999814</v>
      </c>
      <c r="AU17" s="645">
        <f>'EVTE - SEM PERMUTA FUNDING'!$Q$49</f>
        <v>23089230.769230787</v>
      </c>
    </row>
    <row r="18" spans="2:47">
      <c r="B18" s="601" t="s">
        <v>475</v>
      </c>
      <c r="C18" s="642">
        <v>0</v>
      </c>
      <c r="D18" s="650">
        <v>0</v>
      </c>
      <c r="E18" s="650">
        <v>0</v>
      </c>
      <c r="F18" s="650">
        <v>0</v>
      </c>
      <c r="G18" s="642">
        <v>1200000</v>
      </c>
      <c r="H18" s="642">
        <v>0</v>
      </c>
      <c r="I18" s="642">
        <v>0</v>
      </c>
      <c r="J18" s="642">
        <v>0</v>
      </c>
      <c r="K18" s="642">
        <v>0</v>
      </c>
      <c r="L18" s="642">
        <v>0</v>
      </c>
      <c r="M18" s="642">
        <v>0</v>
      </c>
      <c r="N18" s="642">
        <v>0</v>
      </c>
      <c r="O18" s="642">
        <v>0</v>
      </c>
      <c r="AN18" s="644">
        <f t="shared" si="1"/>
        <v>1200000</v>
      </c>
      <c r="AO18" s="642">
        <f t="shared" si="3"/>
        <v>1200000</v>
      </c>
      <c r="AU18" s="645">
        <f>'EVTE - SEM PERMUTA FUNDING'!$Q$50</f>
        <v>16369230.769230781</v>
      </c>
    </row>
    <row r="19" spans="2:47">
      <c r="B19" s="601" t="s">
        <v>148</v>
      </c>
      <c r="C19" s="642">
        <v>0</v>
      </c>
      <c r="D19" s="650"/>
      <c r="E19" s="651"/>
      <c r="F19" s="650"/>
      <c r="G19" s="642">
        <f>'EVTE - SEM PERMUTA FUNDING'!$K$47/4</f>
        <v>2800000.0000000005</v>
      </c>
      <c r="H19" s="642"/>
      <c r="I19" s="642">
        <f>'EVTE - SEM PERMUTA FUNDING'!$K$47/4</f>
        <v>2800000.0000000005</v>
      </c>
      <c r="J19" s="642"/>
      <c r="K19" s="642">
        <f>'EVTE - SEM PERMUTA FUNDING'!$K$47/4</f>
        <v>2800000.0000000005</v>
      </c>
      <c r="N19" s="642">
        <f>'EVTE - SEM PERMUTA FUNDING'!$K$47/4</f>
        <v>2800000.0000000005</v>
      </c>
      <c r="AN19" s="644">
        <f t="shared" si="1"/>
        <v>11200000.000000002</v>
      </c>
      <c r="AO19" s="642">
        <f t="shared" si="3"/>
        <v>11200000.000000002</v>
      </c>
      <c r="AU19" s="645">
        <f>'EVTE - SEM PERMUTA FUNDING'!$Q$51</f>
        <v>16369230.769230781</v>
      </c>
    </row>
    <row r="20" spans="2:47">
      <c r="B20" s="601" t="s">
        <v>609</v>
      </c>
      <c r="C20" s="642">
        <f>'EVTE - SEM PERMUTA FUNDING'!K48</f>
        <v>2240000</v>
      </c>
      <c r="D20" s="650">
        <v>215000</v>
      </c>
      <c r="E20" s="650">
        <v>248000</v>
      </c>
      <c r="F20" s="650">
        <v>420000</v>
      </c>
      <c r="G20" s="642">
        <v>180000</v>
      </c>
      <c r="H20" s="642">
        <v>180000</v>
      </c>
      <c r="I20" s="642">
        <f t="shared" ref="I20:O20" si="5">($C$20-$H$20-$G$20-$F$20)/9</f>
        <v>162222.22222222222</v>
      </c>
      <c r="J20" s="642">
        <f t="shared" si="5"/>
        <v>162222.22222222222</v>
      </c>
      <c r="K20" s="642">
        <f t="shared" si="5"/>
        <v>162222.22222222222</v>
      </c>
      <c r="L20" s="642">
        <f t="shared" si="5"/>
        <v>162222.22222222222</v>
      </c>
      <c r="M20" s="642">
        <f t="shared" si="5"/>
        <v>162222.22222222222</v>
      </c>
      <c r="N20" s="642">
        <f t="shared" si="5"/>
        <v>162222.22222222222</v>
      </c>
      <c r="O20" s="642">
        <f t="shared" si="5"/>
        <v>162222.22222222222</v>
      </c>
      <c r="P20" s="642">
        <f>C20-SUM(D20:O20)</f>
        <v>-138555.5555555555</v>
      </c>
      <c r="Q20" s="642"/>
      <c r="AN20" s="644">
        <f t="shared" si="1"/>
        <v>2240000</v>
      </c>
      <c r="AO20" s="642">
        <f t="shared" si="3"/>
        <v>0</v>
      </c>
      <c r="AU20" s="645">
        <f>'EVTE - SEM PERMUTA FUNDING'!$Q$52</f>
        <v>16369230.769230781</v>
      </c>
    </row>
    <row r="21" spans="2:47">
      <c r="B21" s="601" t="s">
        <v>610</v>
      </c>
      <c r="C21" s="642">
        <v>0</v>
      </c>
      <c r="F21" s="642">
        <f>$C$21/12</f>
        <v>0</v>
      </c>
      <c r="G21" s="642">
        <f t="shared" ref="G21:Q21" si="6">$C$21/12</f>
        <v>0</v>
      </c>
      <c r="H21" s="642">
        <f t="shared" si="6"/>
        <v>0</v>
      </c>
      <c r="I21" s="642">
        <f t="shared" si="6"/>
        <v>0</v>
      </c>
      <c r="J21" s="642">
        <f t="shared" si="6"/>
        <v>0</v>
      </c>
      <c r="K21" s="642">
        <f t="shared" si="6"/>
        <v>0</v>
      </c>
      <c r="L21" s="642">
        <f t="shared" si="6"/>
        <v>0</v>
      </c>
      <c r="M21" s="642">
        <f t="shared" si="6"/>
        <v>0</v>
      </c>
      <c r="N21" s="642">
        <f t="shared" si="6"/>
        <v>0</v>
      </c>
      <c r="O21" s="642">
        <f t="shared" si="6"/>
        <v>0</v>
      </c>
      <c r="P21" s="642">
        <f t="shared" si="6"/>
        <v>0</v>
      </c>
      <c r="Q21" s="642">
        <f t="shared" si="6"/>
        <v>0</v>
      </c>
      <c r="R21" s="642"/>
      <c r="S21" s="642"/>
      <c r="T21" s="642"/>
      <c r="AN21" s="644">
        <f t="shared" si="1"/>
        <v>0</v>
      </c>
      <c r="AO21" s="642">
        <f t="shared" si="3"/>
        <v>0</v>
      </c>
      <c r="AU21" s="645">
        <f>'EVTE - SEM PERMUTA FUNDING'!$Q$53</f>
        <v>5169230.7692307737</v>
      </c>
    </row>
    <row r="22" spans="2:47">
      <c r="B22" s="601" t="s">
        <v>129</v>
      </c>
      <c r="C22" s="642">
        <f>'EVTE - SEM PERMUTA FUNDING'!K50</f>
        <v>14560000.000000004</v>
      </c>
      <c r="D22" s="642"/>
      <c r="E22" s="642"/>
      <c r="F22" s="642"/>
      <c r="G22" s="642"/>
      <c r="H22" s="642"/>
      <c r="I22" s="642">
        <v>1247187.5000000002</v>
      </c>
      <c r="J22" s="642">
        <v>1247187.5000000002</v>
      </c>
      <c r="K22" s="642">
        <v>1247187.5000000002</v>
      </c>
      <c r="L22" s="642">
        <v>1247187.5000000002</v>
      </c>
      <c r="M22" s="642">
        <v>1247187.5000000002</v>
      </c>
      <c r="N22" s="642">
        <v>1247187.5000000002</v>
      </c>
      <c r="O22" s="642">
        <v>1247187.5000000002</v>
      </c>
      <c r="P22" s="601">
        <v>1247187.5000000002</v>
      </c>
      <c r="Q22" s="601">
        <v>1247187.5000000002</v>
      </c>
      <c r="R22" s="601">
        <v>1247187.5000000002</v>
      </c>
      <c r="S22" s="601">
        <v>1247187.5000000002</v>
      </c>
      <c r="T22" s="601">
        <v>1247187.5000000002</v>
      </c>
      <c r="AB22" s="642"/>
      <c r="AN22" s="644">
        <f t="shared" si="1"/>
        <v>14966250.000000002</v>
      </c>
      <c r="AO22" s="642">
        <f>AN22-C22</f>
        <v>406249.99999999814</v>
      </c>
      <c r="AU22" s="645">
        <f>'EVTE - SEM PERMUTA FUNDING'!$Q$54</f>
        <v>5169230.7692307737</v>
      </c>
    </row>
    <row r="23" spans="2:47">
      <c r="B23" s="647" t="s">
        <v>611</v>
      </c>
      <c r="C23" s="642">
        <f>0.025*C8</f>
        <v>3986399.9999999995</v>
      </c>
      <c r="D23" s="642"/>
      <c r="E23" s="642"/>
      <c r="F23" s="642"/>
      <c r="G23" s="642"/>
      <c r="H23" s="642"/>
      <c r="I23" s="642">
        <v>304719.27083333343</v>
      </c>
      <c r="J23" s="642">
        <v>304719.27083333343</v>
      </c>
      <c r="K23" s="642">
        <v>304719.27083333343</v>
      </c>
      <c r="L23" s="642">
        <v>304719.27083333343</v>
      </c>
      <c r="M23" s="642">
        <v>304719.27083333343</v>
      </c>
      <c r="N23" s="642">
        <v>304719.27083333343</v>
      </c>
      <c r="O23" s="642">
        <v>304719.27083333343</v>
      </c>
      <c r="P23" s="642">
        <v>304719.27083333343</v>
      </c>
      <c r="Q23" s="642">
        <v>304719.27083333343</v>
      </c>
      <c r="R23" s="642">
        <v>304719.27083333343</v>
      </c>
      <c r="S23" s="642">
        <v>304719.27083333343</v>
      </c>
      <c r="T23" s="642">
        <v>304719.27083333343</v>
      </c>
      <c r="U23" s="642"/>
      <c r="V23" s="642"/>
      <c r="W23" s="642"/>
      <c r="X23" s="642"/>
      <c r="Y23" s="642"/>
      <c r="Z23" s="642"/>
      <c r="AA23" s="642"/>
      <c r="AB23" s="642"/>
      <c r="AC23" s="642"/>
      <c r="AD23" s="642"/>
      <c r="AE23" s="642"/>
      <c r="AF23" s="642"/>
      <c r="AG23" s="642"/>
      <c r="AH23" s="642"/>
      <c r="AI23" s="642"/>
      <c r="AJ23" s="642"/>
      <c r="AK23" s="642"/>
      <c r="AL23" s="642"/>
      <c r="AM23" s="642"/>
      <c r="AN23" s="644">
        <f t="shared" si="1"/>
        <v>3656631.2500000014</v>
      </c>
      <c r="AO23" s="642">
        <f>AN23-C23</f>
        <v>-329768.74999999814</v>
      </c>
      <c r="AU23" s="645">
        <f>'EVTE - SEM PERMUTA FUNDING'!$Q$55</f>
        <v>5169230.7692307737</v>
      </c>
    </row>
    <row r="24" spans="2:47">
      <c r="C24" s="642"/>
      <c r="D24" s="642"/>
      <c r="E24" s="642"/>
      <c r="F24" s="642"/>
      <c r="G24" s="642"/>
      <c r="H24" s="642"/>
      <c r="I24" s="642"/>
      <c r="J24" s="642"/>
      <c r="K24" s="642"/>
      <c r="L24" s="642"/>
      <c r="M24" s="642"/>
      <c r="N24" s="642"/>
      <c r="O24" s="642"/>
      <c r="AN24" s="644">
        <f t="shared" si="1"/>
        <v>0</v>
      </c>
      <c r="AO24" s="642">
        <f>SUM(AN10:AN23)</f>
        <v>99206481.25</v>
      </c>
      <c r="AU24" s="645">
        <f>'EVTE - SEM PERMUTA FUNDING'!$Q$56</f>
        <v>5169230.7692307737</v>
      </c>
    </row>
    <row r="25" spans="2:47">
      <c r="B25" s="598" t="s">
        <v>612</v>
      </c>
      <c r="C25" s="654">
        <f>C4-SUM(C8:C23)</f>
        <v>901599.0000000298</v>
      </c>
      <c r="D25" s="654">
        <f t="shared" ref="D25:AM25" si="7">D4-SUM(D8:D23)</f>
        <v>-215000</v>
      </c>
      <c r="E25" s="654">
        <f t="shared" si="7"/>
        <v>-248000</v>
      </c>
      <c r="F25" s="654">
        <f t="shared" si="7"/>
        <v>17580000</v>
      </c>
      <c r="G25" s="654">
        <f t="shared" si="7"/>
        <v>-4180000.0000000005</v>
      </c>
      <c r="H25" s="654">
        <f t="shared" si="7"/>
        <v>-180000</v>
      </c>
      <c r="I25" s="654">
        <f t="shared" si="7"/>
        <v>38685871.006944448</v>
      </c>
      <c r="J25" s="654">
        <f t="shared" si="7"/>
        <v>-3660128.9930555555</v>
      </c>
      <c r="K25" s="654">
        <f t="shared" si="7"/>
        <v>-5769981.34018905</v>
      </c>
      <c r="L25" s="654">
        <f t="shared" si="7"/>
        <v>-3756739.9760286775</v>
      </c>
      <c r="M25" s="654">
        <f t="shared" si="7"/>
        <v>15156859.487911724</v>
      </c>
      <c r="N25" s="654">
        <f t="shared" si="7"/>
        <v>5785524.9184053075</v>
      </c>
      <c r="O25" s="654">
        <f t="shared" si="7"/>
        <v>19296223.766997173</v>
      </c>
      <c r="P25" s="654">
        <f t="shared" si="7"/>
        <v>19761789.867928967</v>
      </c>
      <c r="Q25" s="654">
        <f t="shared" si="7"/>
        <v>10949956.778823154</v>
      </c>
      <c r="R25" s="654">
        <f t="shared" si="7"/>
        <v>8889828.6774549633</v>
      </c>
      <c r="S25" s="654">
        <f t="shared" si="7"/>
        <v>8138242.2974962527</v>
      </c>
      <c r="T25" s="654">
        <f t="shared" si="7"/>
        <v>-4233074.9058989603</v>
      </c>
      <c r="U25" s="654">
        <f t="shared" si="7"/>
        <v>-3947060.2800107449</v>
      </c>
      <c r="V25" s="654">
        <f t="shared" si="7"/>
        <v>-1530230.5388796497</v>
      </c>
      <c r="W25" s="654">
        <f t="shared" si="7"/>
        <v>67014.713934782892</v>
      </c>
      <c r="X25" s="654">
        <f t="shared" si="7"/>
        <v>1681361.5694179763</v>
      </c>
      <c r="Y25" s="654">
        <f t="shared" si="7"/>
        <v>9464951.2936283424</v>
      </c>
      <c r="Z25" s="654">
        <f t="shared" si="7"/>
        <v>-1139157.2799388587</v>
      </c>
      <c r="AA25" s="654">
        <f t="shared" si="7"/>
        <v>-575978.3999690857</v>
      </c>
      <c r="AB25" s="654">
        <f t="shared" si="7"/>
        <v>-383985.59997939056</v>
      </c>
      <c r="AC25" s="654">
        <f t="shared" si="7"/>
        <v>-255990.39998626037</v>
      </c>
      <c r="AD25" s="654">
        <f t="shared" si="7"/>
        <v>-204792.31998900831</v>
      </c>
      <c r="AE25" s="654">
        <f t="shared" si="7"/>
        <v>-153594.23999175619</v>
      </c>
      <c r="AF25" s="654">
        <f t="shared" si="7"/>
        <v>-95996.399994847641</v>
      </c>
      <c r="AG25" s="654">
        <f t="shared" si="7"/>
        <v>-89596.63999519113</v>
      </c>
      <c r="AH25" s="654">
        <f t="shared" si="7"/>
        <v>-44798.319997595565</v>
      </c>
      <c r="AI25" s="654">
        <f t="shared" si="7"/>
        <v>0</v>
      </c>
      <c r="AJ25" s="654">
        <f t="shared" si="7"/>
        <v>0</v>
      </c>
      <c r="AK25" s="654">
        <f t="shared" si="7"/>
        <v>0</v>
      </c>
      <c r="AL25" s="654">
        <f t="shared" si="7"/>
        <v>0</v>
      </c>
      <c r="AM25" s="654">
        <f t="shared" si="7"/>
        <v>0</v>
      </c>
      <c r="AN25" s="644">
        <f t="shared" si="1"/>
        <v>124793518.74503846</v>
      </c>
      <c r="AU25" s="645">
        <f>'EVTE - SEM PERMUTA FUNDING'!$Q$57</f>
        <v>5169230.7692307737</v>
      </c>
    </row>
    <row r="26" spans="2:47">
      <c r="C26" s="655"/>
      <c r="D26" s="642"/>
      <c r="E26" s="642">
        <f>E25+D25</f>
        <v>-463000</v>
      </c>
      <c r="F26" s="642">
        <f t="shared" ref="F26:AM26" si="8">E26+F25</f>
        <v>17117000</v>
      </c>
      <c r="G26" s="642">
        <f t="shared" si="8"/>
        <v>12937000</v>
      </c>
      <c r="H26" s="642">
        <f t="shared" si="8"/>
        <v>12757000</v>
      </c>
      <c r="I26" s="642">
        <f t="shared" si="8"/>
        <v>51442871.006944448</v>
      </c>
      <c r="J26" s="642">
        <f t="shared" si="8"/>
        <v>47782742.013888896</v>
      </c>
      <c r="K26" s="642">
        <f t="shared" si="8"/>
        <v>42012760.673699848</v>
      </c>
      <c r="L26" s="642">
        <f t="shared" si="8"/>
        <v>38256020.697671168</v>
      </c>
      <c r="M26" s="642">
        <f t="shared" si="8"/>
        <v>53412880.185582891</v>
      </c>
      <c r="N26" s="642">
        <f t="shared" si="8"/>
        <v>59198405.1039882</v>
      </c>
      <c r="O26" s="642">
        <f t="shared" si="8"/>
        <v>78494628.870985374</v>
      </c>
      <c r="P26" s="642">
        <f t="shared" si="8"/>
        <v>98256418.738914341</v>
      </c>
      <c r="Q26" s="642">
        <f t="shared" si="8"/>
        <v>109206375.51773749</v>
      </c>
      <c r="R26" s="642">
        <f t="shared" si="8"/>
        <v>118096204.19519246</v>
      </c>
      <c r="S26" s="642">
        <f t="shared" si="8"/>
        <v>126234446.49268872</v>
      </c>
      <c r="T26" s="642">
        <f t="shared" si="8"/>
        <v>122001371.58678976</v>
      </c>
      <c r="U26" s="642">
        <f t="shared" si="8"/>
        <v>118054311.30677901</v>
      </c>
      <c r="V26" s="642">
        <f t="shared" si="8"/>
        <v>116524080.76789936</v>
      </c>
      <c r="W26" s="642">
        <f t="shared" si="8"/>
        <v>116591095.48183414</v>
      </c>
      <c r="X26" s="642">
        <f t="shared" si="8"/>
        <v>118272457.05125213</v>
      </c>
      <c r="Y26" s="642">
        <f t="shared" si="8"/>
        <v>127737408.34488046</v>
      </c>
      <c r="Z26" s="642">
        <f t="shared" si="8"/>
        <v>126598251.0649416</v>
      </c>
      <c r="AA26" s="642">
        <f t="shared" si="8"/>
        <v>126022272.66497251</v>
      </c>
      <c r="AB26" s="642">
        <f t="shared" si="8"/>
        <v>125638287.06499313</v>
      </c>
      <c r="AC26" s="642">
        <f t="shared" si="8"/>
        <v>125382296.66500686</v>
      </c>
      <c r="AD26" s="642">
        <f t="shared" si="8"/>
        <v>125177504.34501785</v>
      </c>
      <c r="AE26" s="642">
        <f t="shared" si="8"/>
        <v>125023910.1050261</v>
      </c>
      <c r="AF26" s="642">
        <f t="shared" si="8"/>
        <v>124927913.70503125</v>
      </c>
      <c r="AG26" s="642">
        <f t="shared" si="8"/>
        <v>124838317.06503606</v>
      </c>
      <c r="AH26" s="642">
        <f t="shared" si="8"/>
        <v>124793518.74503846</v>
      </c>
      <c r="AI26" s="642">
        <f t="shared" si="8"/>
        <v>124793518.74503846</v>
      </c>
      <c r="AJ26" s="642">
        <f t="shared" si="8"/>
        <v>124793518.74503846</v>
      </c>
      <c r="AK26" s="642">
        <f t="shared" si="8"/>
        <v>124793518.74503846</v>
      </c>
      <c r="AL26" s="642">
        <f t="shared" si="8"/>
        <v>124793518.74503846</v>
      </c>
      <c r="AM26" s="642">
        <f t="shared" si="8"/>
        <v>124793518.74503846</v>
      </c>
      <c r="AN26" s="644"/>
      <c r="AU26" s="645">
        <f>'EVTE - SEM PERMUTA FUNDING'!$Q$58</f>
        <v>11858461.533499876</v>
      </c>
    </row>
    <row r="27" spans="2:47">
      <c r="B27" s="598" t="s">
        <v>613</v>
      </c>
      <c r="C27" s="654">
        <f>SUM(D27:AM27)*1.025</f>
        <v>-45216233.675069451</v>
      </c>
      <c r="D27" s="654">
        <f>-D25*1.05</f>
        <v>225750</v>
      </c>
      <c r="E27" s="654">
        <f>-E25*1.05</f>
        <v>260400</v>
      </c>
      <c r="F27" s="654">
        <f t="shared" ref="F27:K27" si="9">-F25*1.05</f>
        <v>-18459000</v>
      </c>
      <c r="G27" s="654">
        <f t="shared" si="9"/>
        <v>4389000.0000000009</v>
      </c>
      <c r="H27" s="654">
        <f t="shared" si="9"/>
        <v>189000</v>
      </c>
      <c r="I27" s="654">
        <f t="shared" si="9"/>
        <v>-40620164.557291672</v>
      </c>
      <c r="J27" s="654">
        <f t="shared" si="9"/>
        <v>3843135.4427083335</v>
      </c>
      <c r="K27" s="654">
        <f t="shared" si="9"/>
        <v>6058480.4071985027</v>
      </c>
      <c r="L27" s="654"/>
      <c r="M27" s="654"/>
      <c r="N27" s="654"/>
      <c r="O27" s="654"/>
      <c r="P27" s="654"/>
      <c r="Q27" s="654"/>
      <c r="R27" s="654"/>
      <c r="S27" s="654"/>
      <c r="T27" s="654"/>
      <c r="U27" s="654"/>
      <c r="V27" s="654"/>
      <c r="W27" s="654"/>
      <c r="X27" s="654"/>
      <c r="Y27" s="654"/>
      <c r="Z27" s="654"/>
      <c r="AA27" s="654"/>
      <c r="AB27" s="654"/>
      <c r="AC27" s="654"/>
      <c r="AD27" s="654"/>
      <c r="AE27" s="654"/>
      <c r="AF27" s="654"/>
      <c r="AG27" s="654"/>
      <c r="AH27" s="654"/>
      <c r="AI27" s="654"/>
      <c r="AJ27" s="654"/>
      <c r="AK27" s="654"/>
      <c r="AL27" s="654"/>
      <c r="AM27" s="654"/>
      <c r="AN27" s="644">
        <f t="shared" si="1"/>
        <v>-44113398.707384832</v>
      </c>
      <c r="AU27" s="645">
        <f>'EVTE - SEM PERMUTA FUNDING'!$Q$59</f>
        <v>0</v>
      </c>
    </row>
    <row r="28" spans="2:47">
      <c r="E28" s="642">
        <f>E27+D27</f>
        <v>486150</v>
      </c>
      <c r="F28" s="642">
        <f t="shared" ref="F28:AM28" si="10">E28+F27</f>
        <v>-17972850</v>
      </c>
      <c r="G28" s="642">
        <f t="shared" si="10"/>
        <v>-13583850</v>
      </c>
      <c r="H28" s="642">
        <f t="shared" si="10"/>
        <v>-13394850</v>
      </c>
      <c r="I28" s="642">
        <f t="shared" si="10"/>
        <v>-54015014.557291672</v>
      </c>
      <c r="J28" s="642">
        <f t="shared" si="10"/>
        <v>-50171879.114583336</v>
      </c>
      <c r="K28" s="642">
        <f t="shared" si="10"/>
        <v>-44113398.707384832</v>
      </c>
      <c r="L28" s="642">
        <f t="shared" si="10"/>
        <v>-44113398.707384832</v>
      </c>
      <c r="M28" s="642">
        <f t="shared" si="10"/>
        <v>-44113398.707384832</v>
      </c>
      <c r="N28" s="642">
        <f t="shared" si="10"/>
        <v>-44113398.707384832</v>
      </c>
      <c r="O28" s="642">
        <f t="shared" si="10"/>
        <v>-44113398.707384832</v>
      </c>
      <c r="P28" s="642">
        <f t="shared" si="10"/>
        <v>-44113398.707384832</v>
      </c>
      <c r="Q28" s="642">
        <f t="shared" si="10"/>
        <v>-44113398.707384832</v>
      </c>
      <c r="R28" s="642">
        <f t="shared" si="10"/>
        <v>-44113398.707384832</v>
      </c>
      <c r="S28" s="642">
        <f t="shared" si="10"/>
        <v>-44113398.707384832</v>
      </c>
      <c r="T28" s="642">
        <f t="shared" si="10"/>
        <v>-44113398.707384832</v>
      </c>
      <c r="U28" s="642">
        <f t="shared" si="10"/>
        <v>-44113398.707384832</v>
      </c>
      <c r="V28" s="642">
        <f t="shared" si="10"/>
        <v>-44113398.707384832</v>
      </c>
      <c r="W28" s="642">
        <f t="shared" si="10"/>
        <v>-44113398.707384832</v>
      </c>
      <c r="X28" s="642">
        <f t="shared" si="10"/>
        <v>-44113398.707384832</v>
      </c>
      <c r="Y28" s="642">
        <f t="shared" si="10"/>
        <v>-44113398.707384832</v>
      </c>
      <c r="Z28" s="642">
        <f t="shared" si="10"/>
        <v>-44113398.707384832</v>
      </c>
      <c r="AA28" s="642">
        <f t="shared" si="10"/>
        <v>-44113398.707384832</v>
      </c>
      <c r="AB28" s="642">
        <f t="shared" si="10"/>
        <v>-44113398.707384832</v>
      </c>
      <c r="AC28" s="642">
        <f t="shared" si="10"/>
        <v>-44113398.707384832</v>
      </c>
      <c r="AD28" s="642">
        <f t="shared" si="10"/>
        <v>-44113398.707384832</v>
      </c>
      <c r="AE28" s="642">
        <f t="shared" si="10"/>
        <v>-44113398.707384832</v>
      </c>
      <c r="AF28" s="642">
        <f t="shared" si="10"/>
        <v>-44113398.707384832</v>
      </c>
      <c r="AG28" s="642">
        <f t="shared" si="10"/>
        <v>-44113398.707384832</v>
      </c>
      <c r="AH28" s="642">
        <f t="shared" si="10"/>
        <v>-44113398.707384832</v>
      </c>
      <c r="AI28" s="642">
        <f t="shared" si="10"/>
        <v>-44113398.707384832</v>
      </c>
      <c r="AJ28" s="642">
        <f t="shared" si="10"/>
        <v>-44113398.707384832</v>
      </c>
      <c r="AK28" s="642">
        <f t="shared" si="10"/>
        <v>-44113398.707384832</v>
      </c>
      <c r="AL28" s="642">
        <f t="shared" si="10"/>
        <v>-44113398.707384832</v>
      </c>
      <c r="AM28" s="642">
        <f t="shared" si="10"/>
        <v>-44113398.707384832</v>
      </c>
      <c r="AN28" s="644"/>
      <c r="AU28" s="645">
        <f>'EVTE - SEM PERMUTA FUNDING'!$Q$60</f>
        <v>0</v>
      </c>
    </row>
    <row r="29" spans="2:47">
      <c r="B29" s="598" t="s">
        <v>614</v>
      </c>
      <c r="C29" s="654"/>
      <c r="D29" s="654">
        <f>D25+D27</f>
        <v>10750</v>
      </c>
      <c r="E29" s="654">
        <f t="shared" ref="E29:AM29" si="11">E25+E27</f>
        <v>12400</v>
      </c>
      <c r="F29" s="654">
        <f t="shared" si="11"/>
        <v>-879000</v>
      </c>
      <c r="G29" s="654">
        <f t="shared" si="11"/>
        <v>209000.00000000047</v>
      </c>
      <c r="H29" s="654">
        <f t="shared" si="11"/>
        <v>9000</v>
      </c>
      <c r="I29" s="654">
        <f t="shared" si="11"/>
        <v>-1934293.5503472239</v>
      </c>
      <c r="J29" s="654">
        <f t="shared" si="11"/>
        <v>183006.44965277798</v>
      </c>
      <c r="K29" s="654">
        <f t="shared" si="11"/>
        <v>288499.06700945273</v>
      </c>
      <c r="L29" s="654">
        <f t="shared" si="11"/>
        <v>-3756739.9760286775</v>
      </c>
      <c r="M29" s="654">
        <f t="shared" si="11"/>
        <v>15156859.487911724</v>
      </c>
      <c r="N29" s="654">
        <f t="shared" si="11"/>
        <v>5785524.9184053075</v>
      </c>
      <c r="O29" s="654">
        <f t="shared" si="11"/>
        <v>19296223.766997173</v>
      </c>
      <c r="P29" s="654">
        <f t="shared" si="11"/>
        <v>19761789.867928967</v>
      </c>
      <c r="Q29" s="654">
        <f t="shared" si="11"/>
        <v>10949956.778823154</v>
      </c>
      <c r="R29" s="654">
        <f t="shared" si="11"/>
        <v>8889828.6774549633</v>
      </c>
      <c r="S29" s="654">
        <f t="shared" si="11"/>
        <v>8138242.2974962527</v>
      </c>
      <c r="T29" s="654">
        <f t="shared" si="11"/>
        <v>-4233074.9058989603</v>
      </c>
      <c r="U29" s="654">
        <f t="shared" si="11"/>
        <v>-3947060.2800107449</v>
      </c>
      <c r="V29" s="654">
        <f t="shared" si="11"/>
        <v>-1530230.5388796497</v>
      </c>
      <c r="W29" s="654">
        <f t="shared" si="11"/>
        <v>67014.713934782892</v>
      </c>
      <c r="X29" s="654">
        <f t="shared" si="11"/>
        <v>1681361.5694179763</v>
      </c>
      <c r="Y29" s="654">
        <f t="shared" si="11"/>
        <v>9464951.2936283424</v>
      </c>
      <c r="Z29" s="654">
        <f t="shared" si="11"/>
        <v>-1139157.2799388587</v>
      </c>
      <c r="AA29" s="654">
        <f t="shared" si="11"/>
        <v>-575978.3999690857</v>
      </c>
      <c r="AB29" s="654">
        <f t="shared" si="11"/>
        <v>-383985.59997939056</v>
      </c>
      <c r="AC29" s="654">
        <f t="shared" si="11"/>
        <v>-255990.39998626037</v>
      </c>
      <c r="AD29" s="654">
        <f t="shared" si="11"/>
        <v>-204792.31998900831</v>
      </c>
      <c r="AE29" s="654">
        <f t="shared" si="11"/>
        <v>-153594.23999175619</v>
      </c>
      <c r="AF29" s="654">
        <f t="shared" si="11"/>
        <v>-95996.399994847641</v>
      </c>
      <c r="AG29" s="654">
        <f t="shared" si="11"/>
        <v>-89596.63999519113</v>
      </c>
      <c r="AH29" s="654">
        <f t="shared" si="11"/>
        <v>-44798.319997595565</v>
      </c>
      <c r="AI29" s="654">
        <f t="shared" si="11"/>
        <v>0</v>
      </c>
      <c r="AJ29" s="654">
        <f t="shared" si="11"/>
        <v>0</v>
      </c>
      <c r="AK29" s="654">
        <f t="shared" si="11"/>
        <v>0</v>
      </c>
      <c r="AL29" s="654">
        <f t="shared" si="11"/>
        <v>0</v>
      </c>
      <c r="AM29" s="654">
        <f t="shared" si="11"/>
        <v>0</v>
      </c>
      <c r="AN29" s="644">
        <f t="shared" si="1"/>
        <v>80680120.03765364</v>
      </c>
      <c r="AU29" s="645">
        <f>'EVTE - SEM PERMUTA FUNDING'!$Q$61</f>
        <v>0</v>
      </c>
    </row>
    <row r="30" spans="2:47">
      <c r="E30" s="642">
        <f>E29+D29</f>
        <v>23150</v>
      </c>
      <c r="F30" s="642">
        <f>F29+E30</f>
        <v>-855850</v>
      </c>
      <c r="G30" s="642">
        <f t="shared" ref="G30:AM30" si="12">G29+F30</f>
        <v>-646849.99999999953</v>
      </c>
      <c r="H30" s="642">
        <f t="shared" si="12"/>
        <v>-637849.99999999953</v>
      </c>
      <c r="I30" s="642">
        <f t="shared" si="12"/>
        <v>-2572143.5503472234</v>
      </c>
      <c r="J30" s="642">
        <f t="shared" si="12"/>
        <v>-2389137.1006944454</v>
      </c>
      <c r="K30" s="642">
        <f t="shared" si="12"/>
        <v>-2100638.0336849927</v>
      </c>
      <c r="L30" s="642">
        <f t="shared" si="12"/>
        <v>-5857378.0097136702</v>
      </c>
      <c r="M30" s="642">
        <f t="shared" si="12"/>
        <v>9299481.4781980533</v>
      </c>
      <c r="N30" s="642">
        <f t="shared" si="12"/>
        <v>15085006.396603361</v>
      </c>
      <c r="O30" s="642">
        <f t="shared" si="12"/>
        <v>34381230.163600534</v>
      </c>
      <c r="P30" s="642">
        <f t="shared" si="12"/>
        <v>54143020.031529501</v>
      </c>
      <c r="Q30" s="642">
        <f t="shared" si="12"/>
        <v>65092976.810352653</v>
      </c>
      <c r="R30" s="642">
        <f t="shared" si="12"/>
        <v>73982805.487807617</v>
      </c>
      <c r="S30" s="642">
        <f t="shared" si="12"/>
        <v>82121047.785303876</v>
      </c>
      <c r="T30" s="642">
        <f t="shared" si="12"/>
        <v>77887972.879404917</v>
      </c>
      <c r="U30" s="642">
        <f t="shared" si="12"/>
        <v>73940912.599394172</v>
      </c>
      <c r="V30" s="642">
        <f t="shared" si="12"/>
        <v>72410682.060514525</v>
      </c>
      <c r="W30" s="642">
        <f t="shared" si="12"/>
        <v>72477696.774449304</v>
      </c>
      <c r="X30" s="642">
        <f t="shared" si="12"/>
        <v>74159058.343867287</v>
      </c>
      <c r="Y30" s="642">
        <f t="shared" si="12"/>
        <v>83624009.637495637</v>
      </c>
      <c r="Z30" s="642">
        <f t="shared" si="12"/>
        <v>82484852.357556775</v>
      </c>
      <c r="AA30" s="642">
        <f t="shared" si="12"/>
        <v>81908873.957587689</v>
      </c>
      <c r="AB30" s="642">
        <f t="shared" si="12"/>
        <v>81524888.357608303</v>
      </c>
      <c r="AC30" s="642">
        <f t="shared" si="12"/>
        <v>81268897.957622036</v>
      </c>
      <c r="AD30" s="642">
        <f t="shared" si="12"/>
        <v>81064105.637633026</v>
      </c>
      <c r="AE30" s="642">
        <f t="shared" si="12"/>
        <v>80910511.397641271</v>
      </c>
      <c r="AF30" s="642">
        <f t="shared" si="12"/>
        <v>80814514.997646421</v>
      </c>
      <c r="AG30" s="642">
        <f t="shared" si="12"/>
        <v>80724918.357651234</v>
      </c>
      <c r="AH30" s="642">
        <f t="shared" si="12"/>
        <v>80680120.03765364</v>
      </c>
      <c r="AI30" s="642">
        <f t="shared" si="12"/>
        <v>80680120.03765364</v>
      </c>
      <c r="AJ30" s="642">
        <f t="shared" si="12"/>
        <v>80680120.03765364</v>
      </c>
      <c r="AK30" s="642">
        <f t="shared" si="12"/>
        <v>80680120.03765364</v>
      </c>
      <c r="AL30" s="642">
        <f t="shared" si="12"/>
        <v>80680120.03765364</v>
      </c>
      <c r="AM30" s="642">
        <f t="shared" si="12"/>
        <v>80680120.03765364</v>
      </c>
      <c r="AN30" s="644"/>
      <c r="AU30" s="643"/>
    </row>
    <row r="31" spans="2:47">
      <c r="B31" s="656" t="s">
        <v>615</v>
      </c>
      <c r="C31" s="657"/>
      <c r="D31" s="657" t="s">
        <v>10</v>
      </c>
      <c r="E31" s="657"/>
      <c r="F31" s="657"/>
      <c r="G31" s="657"/>
      <c r="H31" s="657"/>
      <c r="I31" s="657"/>
      <c r="J31" s="657"/>
      <c r="K31" s="657"/>
      <c r="L31" s="657"/>
      <c r="M31" s="657"/>
      <c r="N31" s="657"/>
      <c r="O31" s="657"/>
      <c r="P31" s="657"/>
      <c r="Q31" s="657"/>
      <c r="R31" s="657"/>
      <c r="S31" s="657"/>
      <c r="T31" s="657"/>
      <c r="U31" s="657"/>
      <c r="V31" s="657"/>
      <c r="W31" s="657"/>
      <c r="X31" s="657"/>
      <c r="Y31" s="657"/>
      <c r="Z31" s="657"/>
      <c r="AA31" s="657"/>
      <c r="AB31" s="658"/>
      <c r="AN31" s="644">
        <f t="shared" si="1"/>
        <v>0</v>
      </c>
      <c r="AU31" s="643"/>
    </row>
    <row r="32" spans="2:47">
      <c r="B32" s="659"/>
      <c r="AB32" s="660"/>
      <c r="AN32" s="644">
        <f t="shared" si="1"/>
        <v>0</v>
      </c>
      <c r="AU32" s="643"/>
    </row>
    <row r="33" spans="2:47">
      <c r="B33" s="661" t="s">
        <v>616</v>
      </c>
      <c r="AB33" s="660"/>
      <c r="AN33" s="644">
        <f t="shared" si="1"/>
        <v>0</v>
      </c>
      <c r="AU33" s="643"/>
    </row>
    <row r="34" spans="2:47">
      <c r="B34" s="662" t="s">
        <v>617</v>
      </c>
      <c r="C34" s="663">
        <f>'EVTE - SEM PERMUTA FUNDING'!N70</f>
        <v>0.14000000000000001</v>
      </c>
      <c r="D34" s="642">
        <f>$C$34/12*$C$27</f>
        <v>-527522.72620914364</v>
      </c>
      <c r="E34" s="642">
        <f>D34</f>
        <v>-527522.72620914364</v>
      </c>
      <c r="F34" s="642">
        <f>$E$34</f>
        <v>-527522.72620914364</v>
      </c>
      <c r="G34" s="642">
        <f t="shared" ref="G34:Q34" si="13">$E$34</f>
        <v>-527522.72620914364</v>
      </c>
      <c r="H34" s="642">
        <f t="shared" si="13"/>
        <v>-527522.72620914364</v>
      </c>
      <c r="I34" s="642">
        <f t="shared" si="13"/>
        <v>-527522.72620914364</v>
      </c>
      <c r="J34" s="642">
        <f t="shared" si="13"/>
        <v>-527522.72620914364</v>
      </c>
      <c r="K34" s="642">
        <f t="shared" si="13"/>
        <v>-527522.72620914364</v>
      </c>
      <c r="L34" s="642">
        <f t="shared" si="13"/>
        <v>-527522.72620914364</v>
      </c>
      <c r="M34" s="642">
        <f t="shared" si="13"/>
        <v>-527522.72620914364</v>
      </c>
      <c r="N34" s="642">
        <f t="shared" si="13"/>
        <v>-527522.72620914364</v>
      </c>
      <c r="O34" s="642">
        <f t="shared" si="13"/>
        <v>-527522.72620914364</v>
      </c>
      <c r="P34" s="642">
        <f t="shared" si="13"/>
        <v>-527522.72620914364</v>
      </c>
      <c r="Q34" s="642">
        <f t="shared" si="13"/>
        <v>-527522.72620914364</v>
      </c>
      <c r="R34" s="642"/>
      <c r="S34" s="642"/>
      <c r="T34" s="642"/>
      <c r="U34" s="642"/>
      <c r="V34" s="642"/>
      <c r="W34" s="642"/>
      <c r="X34" s="642"/>
      <c r="Y34" s="642"/>
      <c r="Z34" s="642"/>
      <c r="AA34" s="642"/>
      <c r="AB34" s="660"/>
      <c r="AN34" s="644">
        <f t="shared" si="1"/>
        <v>-7385318.1669280082</v>
      </c>
    </row>
    <row r="35" spans="2:47">
      <c r="B35" s="661" t="s">
        <v>618</v>
      </c>
      <c r="D35" s="642"/>
      <c r="E35" s="642"/>
      <c r="F35" s="642"/>
      <c r="G35" s="642"/>
      <c r="H35" s="642"/>
      <c r="I35" s="642"/>
      <c r="J35" s="642"/>
      <c r="K35" s="642"/>
      <c r="L35" s="642"/>
      <c r="M35" s="642"/>
      <c r="N35" s="642"/>
      <c r="O35" s="642"/>
      <c r="AB35" s="660"/>
      <c r="AN35" s="644">
        <f t="shared" si="1"/>
        <v>0</v>
      </c>
    </row>
    <row r="36" spans="2:47">
      <c r="B36" s="662"/>
      <c r="C36" s="663">
        <f>'EVTE - SEM PERMUTA FUNDING'!N71</f>
        <v>0.16</v>
      </c>
      <c r="D36" s="642"/>
      <c r="E36" s="642"/>
      <c r="F36" s="642"/>
      <c r="G36" s="642"/>
      <c r="H36" s="642"/>
      <c r="I36" s="642"/>
      <c r="J36" s="642"/>
      <c r="K36" s="642"/>
      <c r="L36" s="642"/>
      <c r="M36" s="642"/>
      <c r="N36" s="642"/>
      <c r="O36" s="642"/>
      <c r="P36" s="642"/>
      <c r="Q36" s="642"/>
      <c r="R36" s="642">
        <f>$C$36/12*$C$27</f>
        <v>-602883.11566759273</v>
      </c>
      <c r="S36" s="642">
        <f>R36</f>
        <v>-602883.11566759273</v>
      </c>
      <c r="T36" s="642">
        <f t="shared" ref="T36:AA36" si="14">S36</f>
        <v>-602883.11566759273</v>
      </c>
      <c r="U36" s="642">
        <f t="shared" si="14"/>
        <v>-602883.11566759273</v>
      </c>
      <c r="V36" s="642">
        <f t="shared" si="14"/>
        <v>-602883.11566759273</v>
      </c>
      <c r="W36" s="642">
        <f t="shared" si="14"/>
        <v>-602883.11566759273</v>
      </c>
      <c r="X36" s="642">
        <f t="shared" si="14"/>
        <v>-602883.11566759273</v>
      </c>
      <c r="Y36" s="642">
        <f t="shared" si="14"/>
        <v>-602883.11566759273</v>
      </c>
      <c r="Z36" s="642">
        <f t="shared" si="14"/>
        <v>-602883.11566759273</v>
      </c>
      <c r="AA36" s="642">
        <f t="shared" si="14"/>
        <v>-602883.11566759273</v>
      </c>
      <c r="AB36" s="660"/>
      <c r="AN36" s="644">
        <f t="shared" si="1"/>
        <v>-6028831.1566759273</v>
      </c>
    </row>
    <row r="37" spans="2:47">
      <c r="B37" s="662" t="s">
        <v>735</v>
      </c>
      <c r="C37" s="601" t="s">
        <v>619</v>
      </c>
      <c r="D37" s="642"/>
      <c r="E37" s="642"/>
      <c r="F37" s="642"/>
      <c r="G37" s="642"/>
      <c r="H37" s="642"/>
      <c r="I37" s="642"/>
      <c r="J37" s="642"/>
      <c r="K37" s="642"/>
      <c r="L37" s="642"/>
      <c r="M37" s="642"/>
      <c r="N37" s="642"/>
      <c r="O37" s="642"/>
      <c r="P37" s="642"/>
      <c r="Q37" s="642"/>
      <c r="R37" s="642"/>
      <c r="S37" s="642"/>
      <c r="T37" s="642"/>
      <c r="U37" s="642"/>
      <c r="V37" s="642"/>
      <c r="W37" s="642"/>
      <c r="X37" s="642"/>
      <c r="Y37" s="642"/>
      <c r="Z37" s="642"/>
      <c r="AA37" s="642"/>
      <c r="AB37" s="664">
        <f>C27</f>
        <v>-45216233.675069451</v>
      </c>
      <c r="AC37" s="642"/>
      <c r="AD37" s="642"/>
      <c r="AE37" s="642"/>
      <c r="AF37" s="642"/>
      <c r="AG37" s="642"/>
      <c r="AH37" s="642"/>
      <c r="AI37" s="642"/>
      <c r="AJ37" s="642"/>
      <c r="AK37" s="642"/>
      <c r="AL37" s="642"/>
      <c r="AM37" s="642"/>
      <c r="AN37" s="644">
        <f t="shared" si="1"/>
        <v>-45216233.675069451</v>
      </c>
      <c r="AO37" s="642">
        <f>AN37+AN36+AN34</f>
        <v>-58630382.998673387</v>
      </c>
      <c r="AP37" s="665">
        <f>AO37/AN37</f>
        <v>1.2966666666666666</v>
      </c>
      <c r="AQ37" s="642">
        <f>AO37/25</f>
        <v>-2345215.3199469354</v>
      </c>
    </row>
    <row r="38" spans="2:47">
      <c r="B38" s="666"/>
      <c r="C38" s="667" t="s">
        <v>2</v>
      </c>
      <c r="D38" s="668">
        <f>D37+D36+D34</f>
        <v>-527522.72620914364</v>
      </c>
      <c r="E38" s="668">
        <f t="shared" ref="E38:AA38" si="15">E37+E36+E34</f>
        <v>-527522.72620914364</v>
      </c>
      <c r="F38" s="668">
        <f t="shared" si="15"/>
        <v>-527522.72620914364</v>
      </c>
      <c r="G38" s="668">
        <f t="shared" si="15"/>
        <v>-527522.72620914364</v>
      </c>
      <c r="H38" s="668">
        <f t="shared" si="15"/>
        <v>-527522.72620914364</v>
      </c>
      <c r="I38" s="668">
        <f t="shared" si="15"/>
        <v>-527522.72620914364</v>
      </c>
      <c r="J38" s="668">
        <f t="shared" si="15"/>
        <v>-527522.72620914364</v>
      </c>
      <c r="K38" s="668">
        <f t="shared" si="15"/>
        <v>-527522.72620914364</v>
      </c>
      <c r="L38" s="668">
        <f t="shared" si="15"/>
        <v>-527522.72620914364</v>
      </c>
      <c r="M38" s="668">
        <f t="shared" si="15"/>
        <v>-527522.72620914364</v>
      </c>
      <c r="N38" s="668">
        <f t="shared" si="15"/>
        <v>-527522.72620914364</v>
      </c>
      <c r="O38" s="668">
        <f t="shared" si="15"/>
        <v>-527522.72620914364</v>
      </c>
      <c r="P38" s="668">
        <f t="shared" si="15"/>
        <v>-527522.72620914364</v>
      </c>
      <c r="Q38" s="668">
        <f t="shared" si="15"/>
        <v>-527522.72620914364</v>
      </c>
      <c r="R38" s="668">
        <f t="shared" si="15"/>
        <v>-602883.11566759273</v>
      </c>
      <c r="S38" s="668">
        <f t="shared" si="15"/>
        <v>-602883.11566759273</v>
      </c>
      <c r="T38" s="668">
        <f t="shared" si="15"/>
        <v>-602883.11566759273</v>
      </c>
      <c r="U38" s="668">
        <f t="shared" si="15"/>
        <v>-602883.11566759273</v>
      </c>
      <c r="V38" s="668">
        <f t="shared" si="15"/>
        <v>-602883.11566759273</v>
      </c>
      <c r="W38" s="668">
        <f t="shared" si="15"/>
        <v>-602883.11566759273</v>
      </c>
      <c r="X38" s="668">
        <f t="shared" si="15"/>
        <v>-602883.11566759273</v>
      </c>
      <c r="Y38" s="668">
        <f t="shared" si="15"/>
        <v>-602883.11566759273</v>
      </c>
      <c r="Z38" s="668">
        <f t="shared" si="15"/>
        <v>-602883.11566759273</v>
      </c>
      <c r="AA38" s="668">
        <f t="shared" si="15"/>
        <v>-602883.11566759273</v>
      </c>
      <c r="AB38" s="669">
        <f>AB37+AB36+AB34</f>
        <v>-45216233.675069451</v>
      </c>
      <c r="AC38" s="642"/>
      <c r="AD38" s="642"/>
      <c r="AE38" s="642"/>
      <c r="AF38" s="642"/>
      <c r="AG38" s="642"/>
      <c r="AH38" s="642"/>
      <c r="AI38" s="642"/>
      <c r="AJ38" s="642"/>
      <c r="AK38" s="642"/>
      <c r="AL38" s="642"/>
      <c r="AM38" s="642"/>
      <c r="AN38" s="644">
        <f t="shared" si="1"/>
        <v>-58630382.998673387</v>
      </c>
      <c r="AP38" s="665"/>
    </row>
    <row r="39" spans="2:47">
      <c r="AN39" s="644">
        <f t="shared" si="1"/>
        <v>0</v>
      </c>
      <c r="AP39" s="665">
        <f>(AP37-1)/25*100</f>
        <v>1.1866666666666665</v>
      </c>
    </row>
    <row r="40" spans="2:47">
      <c r="B40" s="598" t="s">
        <v>620</v>
      </c>
      <c r="C40" s="654"/>
      <c r="D40" s="654">
        <f>D29-D38</f>
        <v>538272.72620914364</v>
      </c>
      <c r="E40" s="654">
        <f t="shared" ref="E40:AM40" si="16">E29-E38</f>
        <v>539922.72620914364</v>
      </c>
      <c r="F40" s="654">
        <f t="shared" si="16"/>
        <v>-351477.27379085636</v>
      </c>
      <c r="G40" s="654">
        <f t="shared" si="16"/>
        <v>736522.72620914411</v>
      </c>
      <c r="H40" s="654">
        <f t="shared" si="16"/>
        <v>536522.72620914364</v>
      </c>
      <c r="I40" s="654">
        <f t="shared" si="16"/>
        <v>-1406770.8241380802</v>
      </c>
      <c r="J40" s="654">
        <f t="shared" si="16"/>
        <v>710529.17586192163</v>
      </c>
      <c r="K40" s="654">
        <f t="shared" si="16"/>
        <v>816021.79321859637</v>
      </c>
      <c r="L40" s="654">
        <f t="shared" si="16"/>
        <v>-3229217.2498195339</v>
      </c>
      <c r="M40" s="654">
        <f t="shared" si="16"/>
        <v>15684382.214120867</v>
      </c>
      <c r="N40" s="654">
        <f t="shared" si="16"/>
        <v>6313047.6446144506</v>
      </c>
      <c r="O40" s="654">
        <f t="shared" si="16"/>
        <v>19823746.493206318</v>
      </c>
      <c r="P40" s="654">
        <f t="shared" si="16"/>
        <v>20289312.594138112</v>
      </c>
      <c r="Q40" s="654">
        <f t="shared" si="16"/>
        <v>11477479.505032297</v>
      </c>
      <c r="R40" s="654">
        <f t="shared" si="16"/>
        <v>9492711.7931225561</v>
      </c>
      <c r="S40" s="654">
        <f t="shared" si="16"/>
        <v>8741125.4131638445</v>
      </c>
      <c r="T40" s="654">
        <f t="shared" si="16"/>
        <v>-3630191.7902313676</v>
      </c>
      <c r="U40" s="654">
        <f t="shared" si="16"/>
        <v>-3344177.1643431522</v>
      </c>
      <c r="V40" s="654">
        <f t="shared" si="16"/>
        <v>-927347.42321205698</v>
      </c>
      <c r="W40" s="654">
        <f t="shared" si="16"/>
        <v>669897.82960237563</v>
      </c>
      <c r="X40" s="654">
        <f t="shared" si="16"/>
        <v>2284244.685085569</v>
      </c>
      <c r="Y40" s="654">
        <f t="shared" si="16"/>
        <v>10067834.409295935</v>
      </c>
      <c r="Z40" s="654">
        <f t="shared" si="16"/>
        <v>-536274.16427126597</v>
      </c>
      <c r="AA40" s="654">
        <f t="shared" si="16"/>
        <v>26904.715698507032</v>
      </c>
      <c r="AB40" s="654">
        <f t="shared" si="16"/>
        <v>44832248.075090058</v>
      </c>
      <c r="AC40" s="654">
        <f t="shared" si="16"/>
        <v>-255990.39998626037</v>
      </c>
      <c r="AD40" s="654">
        <f t="shared" si="16"/>
        <v>-204792.31998900831</v>
      </c>
      <c r="AE40" s="654">
        <f t="shared" si="16"/>
        <v>-153594.23999175619</v>
      </c>
      <c r="AF40" s="654">
        <f t="shared" si="16"/>
        <v>-95996.399994847641</v>
      </c>
      <c r="AG40" s="654">
        <f t="shared" si="16"/>
        <v>-89596.63999519113</v>
      </c>
      <c r="AH40" s="654">
        <f t="shared" si="16"/>
        <v>-44798.319997595565</v>
      </c>
      <c r="AI40" s="654">
        <f t="shared" si="16"/>
        <v>0</v>
      </c>
      <c r="AJ40" s="654">
        <f t="shared" si="16"/>
        <v>0</v>
      </c>
      <c r="AK40" s="654">
        <f t="shared" si="16"/>
        <v>0</v>
      </c>
      <c r="AL40" s="654">
        <f t="shared" si="16"/>
        <v>0</v>
      </c>
      <c r="AM40" s="654">
        <f t="shared" si="16"/>
        <v>0</v>
      </c>
      <c r="AN40" s="644">
        <f t="shared" si="1"/>
        <v>139310503.03632703</v>
      </c>
    </row>
    <row r="41" spans="2:47">
      <c r="E41" s="642">
        <f>E40+D40</f>
        <v>1078195.4524182873</v>
      </c>
      <c r="F41" s="642">
        <f>E41+F40</f>
        <v>726718.17862743093</v>
      </c>
      <c r="G41" s="642">
        <f t="shared" ref="G41:AM41" si="17">F41+G40</f>
        <v>1463240.904836575</v>
      </c>
      <c r="H41" s="642">
        <f t="shared" si="17"/>
        <v>1999763.6310457187</v>
      </c>
      <c r="I41" s="642">
        <f t="shared" si="17"/>
        <v>592992.80690763844</v>
      </c>
      <c r="J41" s="642">
        <f t="shared" si="17"/>
        <v>1303521.9827695601</v>
      </c>
      <c r="K41" s="642">
        <f t="shared" si="17"/>
        <v>2119543.7759881564</v>
      </c>
      <c r="L41" s="642">
        <f t="shared" si="17"/>
        <v>-1109673.4738313775</v>
      </c>
      <c r="M41" s="642">
        <f t="shared" si="17"/>
        <v>14574708.740289489</v>
      </c>
      <c r="N41" s="642">
        <f t="shared" si="17"/>
        <v>20887756.384903938</v>
      </c>
      <c r="O41" s="642">
        <f t="shared" si="17"/>
        <v>40711502.87811026</v>
      </c>
      <c r="P41" s="642">
        <f t="shared" si="17"/>
        <v>61000815.472248375</v>
      </c>
      <c r="Q41" s="642">
        <f t="shared" si="17"/>
        <v>72478294.977280676</v>
      </c>
      <c r="R41" s="642">
        <f t="shared" si="17"/>
        <v>81971006.770403236</v>
      </c>
      <c r="S41" s="642">
        <f t="shared" si="17"/>
        <v>90712132.183567077</v>
      </c>
      <c r="T41" s="642">
        <f t="shared" si="17"/>
        <v>87081940.393335715</v>
      </c>
      <c r="U41" s="642">
        <f t="shared" si="17"/>
        <v>83737763.228992566</v>
      </c>
      <c r="V41" s="642">
        <f t="shared" si="17"/>
        <v>82810415.805780515</v>
      </c>
      <c r="W41" s="642">
        <f t="shared" si="17"/>
        <v>83480313.635382891</v>
      </c>
      <c r="X41" s="642">
        <f t="shared" si="17"/>
        <v>85764558.320468456</v>
      </c>
      <c r="Y41" s="642">
        <f t="shared" si="17"/>
        <v>95832392.729764387</v>
      </c>
      <c r="Z41" s="642">
        <f t="shared" si="17"/>
        <v>95296118.565493122</v>
      </c>
      <c r="AA41" s="642">
        <f t="shared" si="17"/>
        <v>95323023.281191632</v>
      </c>
      <c r="AB41" s="642">
        <f t="shared" si="17"/>
        <v>140155271.3562817</v>
      </c>
      <c r="AC41" s="642">
        <f t="shared" si="17"/>
        <v>139899280.95629543</v>
      </c>
      <c r="AD41" s="642">
        <f t="shared" si="17"/>
        <v>139694488.63630643</v>
      </c>
      <c r="AE41" s="642">
        <f t="shared" si="17"/>
        <v>139540894.39631468</v>
      </c>
      <c r="AF41" s="642">
        <f t="shared" si="17"/>
        <v>139444897.99631983</v>
      </c>
      <c r="AG41" s="642">
        <f t="shared" si="17"/>
        <v>139355301.35632464</v>
      </c>
      <c r="AH41" s="642">
        <f t="shared" si="17"/>
        <v>139310503.03632703</v>
      </c>
      <c r="AI41" s="642">
        <f t="shared" si="17"/>
        <v>139310503.03632703</v>
      </c>
      <c r="AJ41" s="642">
        <f t="shared" si="17"/>
        <v>139310503.03632703</v>
      </c>
      <c r="AK41" s="642">
        <f t="shared" si="17"/>
        <v>139310503.03632703</v>
      </c>
      <c r="AL41" s="642">
        <f t="shared" si="17"/>
        <v>139310503.03632703</v>
      </c>
      <c r="AM41" s="642">
        <f t="shared" si="17"/>
        <v>139310503.03632703</v>
      </c>
    </row>
    <row r="42" spans="2:47">
      <c r="B42" s="598" t="s">
        <v>621</v>
      </c>
      <c r="C42" s="598" t="s">
        <v>622</v>
      </c>
      <c r="AA42" s="670">
        <f>0.8*AA41</f>
        <v>76258418.624953315</v>
      </c>
      <c r="AB42" s="670">
        <f>0.7*AB41</f>
        <v>98108689.949397177</v>
      </c>
    </row>
    <row r="43" spans="2:47">
      <c r="B43" s="601" t="s">
        <v>623</v>
      </c>
      <c r="C43" s="601" t="s">
        <v>624</v>
      </c>
      <c r="AA43" s="670">
        <f>AA42/2</f>
        <v>38129209.312476657</v>
      </c>
      <c r="AB43" s="670">
        <f>AB42/2</f>
        <v>49054344.974698588</v>
      </c>
    </row>
    <row r="44" spans="2:47">
      <c r="B44" s="601" t="s">
        <v>625</v>
      </c>
      <c r="C44" s="601" t="s">
        <v>626</v>
      </c>
      <c r="AA44" s="670">
        <f>AA43/12</f>
        <v>3177434.1093730549</v>
      </c>
      <c r="AB44" s="670">
        <f>AB43/12</f>
        <v>4087862.0812248825</v>
      </c>
    </row>
    <row r="45" spans="2:47">
      <c r="B45" s="598"/>
      <c r="C45" s="598"/>
      <c r="D45" s="600"/>
    </row>
    <row r="46" spans="2:47">
      <c r="B46" s="598" t="s">
        <v>621</v>
      </c>
      <c r="C46" s="598" t="s">
        <v>627</v>
      </c>
    </row>
    <row r="47" spans="2:47">
      <c r="B47" s="601" t="s">
        <v>623</v>
      </c>
      <c r="C47" s="601" t="s">
        <v>628</v>
      </c>
    </row>
    <row r="48" spans="2:47">
      <c r="B48" s="601" t="s">
        <v>625</v>
      </c>
      <c r="C48" s="601" t="s">
        <v>629</v>
      </c>
    </row>
    <row r="49" spans="2:40">
      <c r="B49" s="601" t="s">
        <v>630</v>
      </c>
    </row>
    <row r="51" spans="2:40">
      <c r="B51" s="598" t="s">
        <v>530</v>
      </c>
      <c r="C51" s="671" t="s">
        <v>531</v>
      </c>
      <c r="D51" s="600" t="s">
        <v>539</v>
      </c>
      <c r="E51" s="600" t="s">
        <v>541</v>
      </c>
      <c r="F51" s="600" t="s">
        <v>631</v>
      </c>
      <c r="G51" s="601" t="s">
        <v>632</v>
      </c>
    </row>
    <row r="52" spans="2:40">
      <c r="B52" s="602" t="s">
        <v>633</v>
      </c>
      <c r="C52" s="603">
        <f>F52/C55</f>
        <v>0.42066296483257526</v>
      </c>
      <c r="D52" s="604">
        <f>F52/$C$55</f>
        <v>0.42066296483257526</v>
      </c>
      <c r="E52" s="604">
        <f>G52/$C$55</f>
        <v>0.84132592966515052</v>
      </c>
      <c r="F52" s="605">
        <v>10000000</v>
      </c>
      <c r="G52" s="606">
        <v>20000000</v>
      </c>
    </row>
    <row r="53" spans="2:40">
      <c r="B53" s="602" t="s">
        <v>533</v>
      </c>
      <c r="C53" s="607">
        <f>C27*-1</f>
        <v>45216233.675069451</v>
      </c>
      <c r="D53" s="670">
        <f t="shared" ref="D53:AB53" si="18">D38</f>
        <v>-527522.72620914364</v>
      </c>
      <c r="E53" s="670">
        <f t="shared" si="18"/>
        <v>-527522.72620914364</v>
      </c>
      <c r="F53" s="670">
        <f t="shared" si="18"/>
        <v>-527522.72620914364</v>
      </c>
      <c r="G53" s="670">
        <f t="shared" si="18"/>
        <v>-527522.72620914364</v>
      </c>
      <c r="H53" s="670">
        <f t="shared" si="18"/>
        <v>-527522.72620914364</v>
      </c>
      <c r="I53" s="670">
        <f t="shared" si="18"/>
        <v>-527522.72620914364</v>
      </c>
      <c r="J53" s="670">
        <f t="shared" si="18"/>
        <v>-527522.72620914364</v>
      </c>
      <c r="K53" s="670">
        <f t="shared" si="18"/>
        <v>-527522.72620914364</v>
      </c>
      <c r="L53" s="670">
        <f t="shared" si="18"/>
        <v>-527522.72620914364</v>
      </c>
      <c r="M53" s="670">
        <f t="shared" si="18"/>
        <v>-527522.72620914364</v>
      </c>
      <c r="N53" s="670">
        <f t="shared" si="18"/>
        <v>-527522.72620914364</v>
      </c>
      <c r="O53" s="670">
        <f t="shared" si="18"/>
        <v>-527522.72620914364</v>
      </c>
      <c r="P53" s="670">
        <f t="shared" si="18"/>
        <v>-527522.72620914364</v>
      </c>
      <c r="Q53" s="670">
        <f t="shared" si="18"/>
        <v>-527522.72620914364</v>
      </c>
      <c r="R53" s="670">
        <f t="shared" si="18"/>
        <v>-602883.11566759273</v>
      </c>
      <c r="S53" s="670">
        <f t="shared" si="18"/>
        <v>-602883.11566759273</v>
      </c>
      <c r="T53" s="670">
        <f t="shared" si="18"/>
        <v>-602883.11566759273</v>
      </c>
      <c r="U53" s="670">
        <f t="shared" si="18"/>
        <v>-602883.11566759273</v>
      </c>
      <c r="V53" s="670">
        <f t="shared" si="18"/>
        <v>-602883.11566759273</v>
      </c>
      <c r="W53" s="670">
        <f t="shared" si="18"/>
        <v>-602883.11566759273</v>
      </c>
      <c r="X53" s="670">
        <f t="shared" si="18"/>
        <v>-602883.11566759273</v>
      </c>
      <c r="Y53" s="670">
        <f t="shared" si="18"/>
        <v>-602883.11566759273</v>
      </c>
      <c r="Z53" s="670">
        <f t="shared" si="18"/>
        <v>-602883.11566759273</v>
      </c>
      <c r="AA53" s="670">
        <f t="shared" si="18"/>
        <v>-602883.11566759273</v>
      </c>
      <c r="AB53" s="670">
        <f t="shared" si="18"/>
        <v>-45216233.675069451</v>
      </c>
      <c r="AC53" s="670"/>
      <c r="AD53" s="670"/>
      <c r="AE53" s="670"/>
      <c r="AF53" s="670"/>
      <c r="AG53" s="670"/>
      <c r="AH53" s="670"/>
      <c r="AI53" s="670"/>
      <c r="AJ53" s="670"/>
      <c r="AK53" s="670"/>
      <c r="AL53" s="670"/>
      <c r="AM53" s="670"/>
      <c r="AN53" s="672"/>
    </row>
    <row r="54" spans="2:40">
      <c r="B54" s="602" t="s">
        <v>534</v>
      </c>
      <c r="C54" s="608">
        <f>AP37-1</f>
        <v>0.29666666666666663</v>
      </c>
      <c r="D54" s="672"/>
      <c r="E54" s="672"/>
      <c r="F54" s="672"/>
      <c r="G54" s="672"/>
      <c r="H54" s="672"/>
      <c r="I54" s="672"/>
      <c r="J54" s="672"/>
      <c r="K54" s="672"/>
      <c r="L54" s="672"/>
      <c r="M54" s="672"/>
      <c r="N54" s="672"/>
      <c r="O54" s="672"/>
      <c r="P54" s="672"/>
      <c r="Q54" s="672"/>
      <c r="R54" s="672"/>
      <c r="S54" s="672"/>
      <c r="T54" s="672"/>
      <c r="U54" s="672"/>
      <c r="V54" s="672"/>
      <c r="W54" s="672"/>
      <c r="X54" s="672"/>
      <c r="Y54" s="672"/>
      <c r="Z54" s="672"/>
      <c r="AA54" s="672"/>
      <c r="AB54" s="672"/>
      <c r="AC54" s="672"/>
      <c r="AD54" s="672"/>
      <c r="AE54" s="672"/>
      <c r="AF54" s="672"/>
      <c r="AG54" s="672"/>
      <c r="AH54" s="672"/>
      <c r="AI54" s="672"/>
      <c r="AJ54" s="672"/>
      <c r="AK54" s="672"/>
      <c r="AL54" s="672"/>
      <c r="AM54" s="672"/>
      <c r="AN54" s="672"/>
    </row>
    <row r="55" spans="2:40">
      <c r="B55" s="602" t="s">
        <v>535</v>
      </c>
      <c r="C55" s="607">
        <f>'[9]CJ III'!AH35</f>
        <v>23772000.000000048</v>
      </c>
      <c r="D55" s="670">
        <f>[10]TIR!$M18</f>
        <v>0</v>
      </c>
      <c r="E55" s="670">
        <f>[10]TIR!$M19</f>
        <v>0</v>
      </c>
      <c r="F55" s="670">
        <f>[10]TIR!$M20</f>
        <v>5903562.5000000009</v>
      </c>
      <c r="G55" s="670">
        <f>[10]TIR!$M21</f>
        <v>238527.77777777778</v>
      </c>
      <c r="H55" s="670">
        <f>[10]TIR!$M22</f>
        <v>6142090.2777777789</v>
      </c>
      <c r="I55" s="670">
        <f>[10]TIR!$M23</f>
        <v>477055.55555555556</v>
      </c>
      <c r="J55" s="670">
        <f>[10]TIR!$M24</f>
        <v>7722336.805555556</v>
      </c>
      <c r="K55" s="670">
        <f>[10]TIR!$M25</f>
        <v>715583.33333333337</v>
      </c>
      <c r="L55" s="670">
        <f>[10]TIR!$M26</f>
        <v>2057302.0833333335</v>
      </c>
      <c r="M55" s="670">
        <f>[10]TIR!$M27</f>
        <v>6619145.833333334</v>
      </c>
      <c r="N55" s="670">
        <f>[10]TIR!$M28</f>
        <v>3637548.611111111</v>
      </c>
      <c r="O55" s="670">
        <f>[10]TIR!$M29</f>
        <v>954111.11111111112</v>
      </c>
      <c r="P55" s="670">
        <f>[10]TIR!$M30</f>
        <v>2057302.0833333335</v>
      </c>
      <c r="Q55" s="670">
        <f>[10]TIR!$M31</f>
        <v>2057302.0833333335</v>
      </c>
      <c r="R55" s="670">
        <f>[10]TIR!$M32</f>
        <v>1818774.3055555555</v>
      </c>
      <c r="S55" s="670">
        <f>[10]TIR!$M33</f>
        <v>477055.55555555556</v>
      </c>
      <c r="T55" s="670">
        <f>[10]TIR!$M34</f>
        <v>477055.55555555556</v>
      </c>
      <c r="U55" s="670">
        <f>[10]TIR!$M35</f>
        <v>1580246.5277777778</v>
      </c>
      <c r="V55" s="670">
        <f>[10]TIR!$M36</f>
        <v>0</v>
      </c>
      <c r="W55" s="670">
        <f>[10]TIR!$M37</f>
        <v>0</v>
      </c>
      <c r="X55" s="670">
        <f>[10]TIR!$M38</f>
        <v>0</v>
      </c>
      <c r="Y55" s="670">
        <f>[10]TIR!$M39</f>
        <v>0</v>
      </c>
      <c r="Z55" s="670">
        <f>[10]TIR!$M40</f>
        <v>0</v>
      </c>
      <c r="AA55" s="670">
        <f>[10]TIR!$M41</f>
        <v>0</v>
      </c>
      <c r="AB55" s="672"/>
      <c r="AC55" s="672"/>
      <c r="AD55" s="672"/>
      <c r="AE55" s="672"/>
      <c r="AF55" s="672"/>
      <c r="AG55" s="672"/>
      <c r="AH55" s="672"/>
      <c r="AI55" s="672"/>
      <c r="AJ55" s="672"/>
      <c r="AK55" s="672"/>
      <c r="AL55" s="672"/>
      <c r="AM55" s="672"/>
      <c r="AN55" s="670">
        <f>SUM(D55:AB55)</f>
        <v>42935000</v>
      </c>
    </row>
    <row r="56" spans="2:40">
      <c r="B56" s="601" t="s">
        <v>130</v>
      </c>
      <c r="C56" s="601" t="s">
        <v>557</v>
      </c>
    </row>
    <row r="57" spans="2:40">
      <c r="G57" s="642"/>
    </row>
    <row r="58" spans="2:40">
      <c r="B58" s="598" t="s">
        <v>634</v>
      </c>
      <c r="C58" s="598" t="s">
        <v>635</v>
      </c>
      <c r="D58" s="598" t="s">
        <v>636</v>
      </c>
      <c r="E58" s="598" t="s">
        <v>637</v>
      </c>
      <c r="G58" s="642"/>
    </row>
    <row r="59" spans="2:40">
      <c r="B59" s="647" t="s">
        <v>21</v>
      </c>
      <c r="C59" s="673">
        <v>9.5999999999999992E-3</v>
      </c>
      <c r="D59" s="647" t="s">
        <v>638</v>
      </c>
      <c r="E59" s="647" t="s">
        <v>639</v>
      </c>
      <c r="F59" s="647"/>
      <c r="G59" s="642"/>
    </row>
    <row r="60" spans="2:40">
      <c r="B60" s="647" t="s">
        <v>640</v>
      </c>
      <c r="C60" s="673">
        <v>6.0499999999999998E-2</v>
      </c>
      <c r="D60" s="647" t="s">
        <v>641</v>
      </c>
      <c r="E60" s="674" t="s">
        <v>182</v>
      </c>
      <c r="F60" s="675" t="s">
        <v>642</v>
      </c>
      <c r="G60" s="642"/>
    </row>
    <row r="61" spans="2:40">
      <c r="B61" s="647" t="s">
        <v>643</v>
      </c>
      <c r="C61" s="673">
        <v>-7.1999999999999998E-3</v>
      </c>
      <c r="D61" s="647" t="s">
        <v>644</v>
      </c>
      <c r="E61" s="647" t="s">
        <v>645</v>
      </c>
      <c r="F61" s="647"/>
      <c r="G61" s="642"/>
    </row>
    <row r="62" spans="2:40">
      <c r="B62" s="676" t="s">
        <v>646</v>
      </c>
      <c r="C62" s="677">
        <f>C54/36*5</f>
        <v>4.1203703703703701E-2</v>
      </c>
      <c r="D62" s="676" t="s">
        <v>10</v>
      </c>
      <c r="E62" s="676" t="s">
        <v>639</v>
      </c>
      <c r="G62" s="642"/>
    </row>
    <row r="63" spans="2:40">
      <c r="C63" s="678">
        <f>C62/5</f>
        <v>8.2407407407407395E-3</v>
      </c>
      <c r="G63" s="642"/>
    </row>
    <row r="64" spans="2:40">
      <c r="B64" s="601" t="s">
        <v>647</v>
      </c>
      <c r="G64" s="642"/>
    </row>
    <row r="65" spans="2:28">
      <c r="B65" s="601" t="s">
        <v>648</v>
      </c>
      <c r="G65" s="642"/>
    </row>
    <row r="66" spans="2:28">
      <c r="G66" s="642"/>
    </row>
    <row r="67" spans="2:28">
      <c r="B67" s="679"/>
      <c r="C67" s="642"/>
      <c r="D67" s="642"/>
      <c r="E67" s="642"/>
      <c r="F67" s="642"/>
      <c r="G67" s="642"/>
      <c r="H67" s="642"/>
      <c r="I67" s="642"/>
      <c r="J67" s="642"/>
      <c r="K67" s="642"/>
      <c r="L67" s="642"/>
      <c r="M67" s="642"/>
      <c r="N67" s="642"/>
      <c r="O67" s="642"/>
      <c r="P67" s="642"/>
      <c r="Q67" s="642"/>
      <c r="R67" s="642"/>
      <c r="S67" s="642"/>
      <c r="T67" s="642"/>
      <c r="U67" s="642"/>
      <c r="V67" s="642"/>
      <c r="W67" s="642"/>
      <c r="X67" s="642"/>
      <c r="Y67" s="642"/>
      <c r="Z67" s="642"/>
      <c r="AA67" s="642"/>
      <c r="AB67" s="642"/>
    </row>
    <row r="68" spans="2:28">
      <c r="G68" s="642"/>
    </row>
    <row r="69" spans="2:28">
      <c r="G69" s="642"/>
    </row>
    <row r="70" spans="2:28">
      <c r="G70" s="642"/>
    </row>
    <row r="71" spans="2:28">
      <c r="G71" s="642"/>
    </row>
  </sheetData>
  <mergeCells count="1">
    <mergeCell ref="D2:AA2"/>
  </mergeCells>
  <printOptions horizontalCentered="1" verticalCentered="1"/>
  <pageMargins left="0" right="0" top="0" bottom="0" header="0" footer="0"/>
  <pageSetup paperSize="9" scale="53" orientation="landscape" r:id="rId1"/>
  <headerFooter>
    <oddFooter>&amp;L&amp;1#&amp;"Calibri"&amp;10&amp;K000000Internal Use Only</oddFooter>
  </headerFooter>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B79C7-4CC0-4B1D-8C02-9180D6C1F0B5}">
  <sheetPr codeName="Planilha16"/>
  <dimension ref="A1:AI63"/>
  <sheetViews>
    <sheetView zoomScale="216" workbookViewId="0">
      <selection activeCell="C2" sqref="C2"/>
    </sheetView>
  </sheetViews>
  <sheetFormatPr baseColWidth="10" defaultColWidth="8.83203125" defaultRowHeight="13"/>
  <cols>
    <col min="1" max="1" width="9.6640625" style="776" bestFit="1" customWidth="1"/>
    <col min="2" max="2" width="11.5" style="788" bestFit="1" customWidth="1"/>
    <col min="3" max="3" width="10.83203125" style="788" bestFit="1" customWidth="1"/>
    <col min="4" max="4" width="13.33203125" style="966" bestFit="1" customWidth="1"/>
    <col min="5" max="5" width="10.5" style="776" bestFit="1" customWidth="1"/>
    <col min="6" max="6" width="24.6640625" style="776" bestFit="1" customWidth="1"/>
    <col min="7" max="7" width="21.5" style="776" bestFit="1" customWidth="1"/>
    <col min="8" max="8" width="12.5" style="776" bestFit="1" customWidth="1"/>
    <col min="9" max="16384" width="8.83203125" style="776"/>
  </cols>
  <sheetData>
    <row r="1" spans="1:35" s="830" customFormat="1" ht="57" thickBot="1">
      <c r="A1" s="829" t="s">
        <v>522</v>
      </c>
      <c r="B1" s="829" t="s">
        <v>772</v>
      </c>
      <c r="C1" s="829" t="s">
        <v>773</v>
      </c>
      <c r="D1" s="964" t="s">
        <v>774</v>
      </c>
      <c r="F1" s="963" t="s">
        <v>852</v>
      </c>
    </row>
    <row r="2" spans="1:35">
      <c r="A2" s="831">
        <f>'Desembolso - LV'!A5</f>
        <v>45077</v>
      </c>
      <c r="B2" s="806">
        <f>SUM('Fluxo_de_Caixa Casas'!K8:O10)*0.95</f>
        <v>49865590.838095225</v>
      </c>
      <c r="C2" s="806">
        <f ca="1">'Fluxo_de_Caixa Casas'!N13</f>
        <v>-30494943.729999997</v>
      </c>
      <c r="D2" s="970">
        <f>VLOOKUP(Projeto!A2,'Desembolso - LV'!$A$5:$E$28,4,FALSE)</f>
        <v>1.9623428802540938E-2</v>
      </c>
      <c r="E2" s="943">
        <f>+D2/SUM($D$2:$D$25)</f>
        <v>1.9623428802540942E-2</v>
      </c>
      <c r="I2" s="832">
        <v>0.95</v>
      </c>
    </row>
    <row r="3" spans="1:35" ht="14">
      <c r="A3" s="833">
        <f>EOMONTH(A2,1)</f>
        <v>45107</v>
      </c>
      <c r="B3" s="806">
        <f>SUM('Fluxo_de_Caixa Casas'!P8:P10)*0.95</f>
        <v>2437004.7809523805</v>
      </c>
      <c r="C3" s="806">
        <v>4952540.9060745016</v>
      </c>
      <c r="D3" s="970">
        <f>VLOOKUP(Projeto!A3,'Desembolso - LV'!$A$5:$E$28,4,FALSE)</f>
        <v>3.1916993496211132E-2</v>
      </c>
      <c r="E3" s="943">
        <f t="shared" ref="E3:E25" si="0">+D3/SUM($D$2:$D$25)</f>
        <v>3.1916993496211139E-2</v>
      </c>
      <c r="F3" s="829" t="s">
        <v>775</v>
      </c>
      <c r="G3" s="834">
        <f>SUM(B:B)</f>
        <v>193541752</v>
      </c>
      <c r="H3" s="806">
        <f>G3/I2</f>
        <v>203728160</v>
      </c>
    </row>
    <row r="4" spans="1:35">
      <c r="A4" s="833">
        <f t="shared" ref="A4:A26" si="1">EOMONTH(A3,1)</f>
        <v>45138</v>
      </c>
      <c r="B4" s="806">
        <f>SUM('Fluxo_de_Caixa Casas'!Q8:Q10)*0.95</f>
        <v>2437004.7809523805</v>
      </c>
      <c r="C4" s="806">
        <v>6468797.5775179565</v>
      </c>
      <c r="D4" s="970">
        <f>VLOOKUP(Projeto!A4,'Desembolso - LV'!$A$5:$E$28,4,FALSE)</f>
        <v>1.6391419663123862E-2</v>
      </c>
      <c r="E4" s="943">
        <f t="shared" si="0"/>
        <v>1.6391419663123866E-2</v>
      </c>
      <c r="F4" s="788" t="s">
        <v>776</v>
      </c>
      <c r="G4" s="820">
        <f ca="1">SUM(C:C)</f>
        <v>180935693.49201202</v>
      </c>
    </row>
    <row r="5" spans="1:35">
      <c r="A5" s="833">
        <f t="shared" si="1"/>
        <v>45169</v>
      </c>
      <c r="B5" s="806">
        <f>SUM('Fluxo_de_Caixa Casas'!R8:R10)*0.95</f>
        <v>2437004.7809523805</v>
      </c>
      <c r="C5" s="806">
        <v>7444488.91022423</v>
      </c>
      <c r="D5" s="970">
        <f>VLOOKUP(Projeto!A5,'Desembolso - LV'!$A$5:$E$28,4,FALSE)</f>
        <v>2.483806983027358E-2</v>
      </c>
      <c r="E5" s="943">
        <f t="shared" si="0"/>
        <v>2.4838069830273587E-2</v>
      </c>
      <c r="F5" s="788" t="s">
        <v>750</v>
      </c>
      <c r="G5" s="835">
        <f ca="1">+G4/G3</f>
        <v>0.93486646484429892</v>
      </c>
    </row>
    <row r="6" spans="1:35">
      <c r="A6" s="833">
        <f t="shared" si="1"/>
        <v>45199</v>
      </c>
      <c r="B6" s="806">
        <f>SUM('Fluxo_de_Caixa Casas'!S8:S10)*0.95</f>
        <v>2437004.7809523805</v>
      </c>
      <c r="C6" s="806">
        <v>7930879.0915223621</v>
      </c>
      <c r="D6" s="970">
        <f>VLOOKUP(Projeto!A6,'Desembolso - LV'!$A$5:$E$28,4,FALSE)</f>
        <v>3.2483687031670851E-2</v>
      </c>
      <c r="E6" s="943">
        <f t="shared" si="0"/>
        <v>3.2483687031670858E-2</v>
      </c>
      <c r="F6" s="788" t="s">
        <v>777</v>
      </c>
      <c r="G6" s="835">
        <f ca="1">(1+IRR(C2:C63))^12-1</f>
        <v>2.5337000479445844</v>
      </c>
    </row>
    <row r="7" spans="1:35">
      <c r="A7" s="833">
        <f t="shared" si="1"/>
        <v>45230</v>
      </c>
      <c r="B7" s="806">
        <f>SUM('Fluxo_de_Caixa Casas'!T$8:T$10)*0.95</f>
        <v>2437004.7809523805</v>
      </c>
      <c r="C7" s="806">
        <v>8582057.5959745124</v>
      </c>
      <c r="D7" s="970">
        <f>VLOOKUP(Projeto!A7,'Desembolso - LV'!$A$5:$E$28,4,FALSE)</f>
        <v>2.9908772923110255E-2</v>
      </c>
      <c r="E7" s="943">
        <f t="shared" si="0"/>
        <v>2.9908772923110262E-2</v>
      </c>
    </row>
    <row r="8" spans="1:35">
      <c r="A8" s="833">
        <f t="shared" si="1"/>
        <v>45260</v>
      </c>
      <c r="B8" s="806">
        <f>SUM('Fluxo_de_Caixa Casas'!U$8:U$10)*0.95</f>
        <v>2437004.7809523805</v>
      </c>
      <c r="C8" s="806">
        <v>7279958.5668764096</v>
      </c>
      <c r="D8" s="970">
        <f>VLOOKUP(Projeto!A8,'Desembolso - LV'!$A$5:$E$28,4,FALSE)</f>
        <v>6.0429878926308071E-2</v>
      </c>
      <c r="E8" s="943">
        <f t="shared" si="0"/>
        <v>6.0429878926308085E-2</v>
      </c>
      <c r="K8" s="776">
        <v>0</v>
      </c>
    </row>
    <row r="9" spans="1:35">
      <c r="A9" s="833">
        <f t="shared" si="1"/>
        <v>45291</v>
      </c>
      <c r="B9" s="806">
        <f>SUM('Fluxo_de_Caixa Casas'!V$8:V$10)*0.95</f>
        <v>2437004.7809523805</v>
      </c>
      <c r="C9" s="806">
        <v>3917731.4364101142</v>
      </c>
      <c r="D9" s="970">
        <f>VLOOKUP(Projeto!A9,'Desembolso - LV'!$A$5:$E$28,4,FALSE)</f>
        <v>9.2620587661763662E-2</v>
      </c>
      <c r="E9" s="943">
        <f t="shared" si="0"/>
        <v>9.2620587661763676E-2</v>
      </c>
      <c r="G9" s="776">
        <v>0</v>
      </c>
      <c r="K9" s="776">
        <v>0</v>
      </c>
      <c r="L9" s="776">
        <v>0</v>
      </c>
      <c r="M9" s="776">
        <v>0</v>
      </c>
      <c r="N9" s="776">
        <v>0</v>
      </c>
      <c r="O9" s="776">
        <v>0</v>
      </c>
      <c r="P9" s="776">
        <v>0</v>
      </c>
      <c r="Q9" s="776">
        <v>0</v>
      </c>
      <c r="R9" s="776">
        <v>0</v>
      </c>
      <c r="S9" s="776">
        <v>0</v>
      </c>
      <c r="T9" s="776">
        <v>3.9379944373099732E-2</v>
      </c>
      <c r="U9" s="776">
        <v>4.1117508234078316E-2</v>
      </c>
      <c r="V9" s="776">
        <v>2.5174087498973301E-2</v>
      </c>
      <c r="W9" s="776">
        <v>5.0016990279526739E-2</v>
      </c>
      <c r="X9" s="776">
        <v>5.6669859558687162E-2</v>
      </c>
      <c r="Y9" s="776">
        <v>0.10766622689948349</v>
      </c>
      <c r="Z9" s="776">
        <v>8.7613247122794072E-2</v>
      </c>
      <c r="AA9" s="776">
        <v>0.10029044263114857</v>
      </c>
      <c r="AB9" s="776">
        <v>0.14565602269620714</v>
      </c>
      <c r="AC9" s="776">
        <v>9.2561362896832727E-2</v>
      </c>
      <c r="AD9" s="776">
        <v>0.11469166102612131</v>
      </c>
      <c r="AE9" s="776">
        <v>7.8032640102838918E-2</v>
      </c>
      <c r="AF9" s="776">
        <v>2.9327739336831728E-2</v>
      </c>
      <c r="AG9" s="776">
        <v>1.7321696045816241E-2</v>
      </c>
      <c r="AH9" s="776">
        <v>8.9816201719047171E-3</v>
      </c>
      <c r="AI9" s="776">
        <v>5.4989511256559485E-3</v>
      </c>
    </row>
    <row r="10" spans="1:35">
      <c r="A10" s="833">
        <f t="shared" si="1"/>
        <v>45322</v>
      </c>
      <c r="B10" s="806">
        <f>SUM('Fluxo_de_Caixa Casas'!W$8:W$10)*0.95</f>
        <v>2437004.7809523805</v>
      </c>
      <c r="C10" s="806">
        <v>-196082.07401489094</v>
      </c>
      <c r="D10" s="970">
        <f>VLOOKUP(Projeto!A10,'Desembolso - LV'!$A$5:$E$28,4,FALSE)</f>
        <v>0.10436456524777797</v>
      </c>
      <c r="E10" s="943">
        <f t="shared" si="0"/>
        <v>0.104364565247778</v>
      </c>
      <c r="G10" s="776">
        <v>0</v>
      </c>
      <c r="K10" s="776">
        <v>0</v>
      </c>
    </row>
    <row r="11" spans="1:35">
      <c r="A11" s="833">
        <f t="shared" si="1"/>
        <v>45351</v>
      </c>
      <c r="B11" s="806">
        <f>SUM('Fluxo_de_Caixa Casas'!X$8:X$10)*0.95</f>
        <v>6952978.9942857139</v>
      </c>
      <c r="C11" s="806">
        <v>-5481212.7878351007</v>
      </c>
      <c r="D11" s="970">
        <f>VLOOKUP(Projeto!A11,'Desembolso - LV'!$A$5:$E$28,4,FALSE)</f>
        <v>0.12266708289523982</v>
      </c>
      <c r="E11" s="943">
        <f t="shared" si="0"/>
        <v>0.12266708289523985</v>
      </c>
      <c r="G11" s="776">
        <v>0</v>
      </c>
      <c r="K11" s="776">
        <v>0</v>
      </c>
    </row>
    <row r="12" spans="1:35">
      <c r="A12" s="833">
        <f t="shared" si="1"/>
        <v>45382</v>
      </c>
      <c r="B12" s="806">
        <f>SUM('Fluxo_de_Caixa Casas'!Y$8:Y$10)*0.95</f>
        <v>2805655.7371428572</v>
      </c>
      <c r="C12" s="806">
        <v>-7278578.5799337626</v>
      </c>
      <c r="D12" s="970">
        <f>VLOOKUP(Projeto!A12,'Desembolso - LV'!$A$5:$E$28,4,FALSE)</f>
        <v>0.14244738942150204</v>
      </c>
      <c r="E12" s="943">
        <f t="shared" si="0"/>
        <v>0.14244738942150206</v>
      </c>
      <c r="G12" s="776">
        <v>0</v>
      </c>
      <c r="K12" s="776">
        <v>0</v>
      </c>
    </row>
    <row r="13" spans="1:35">
      <c r="A13" s="833">
        <f t="shared" si="1"/>
        <v>45412</v>
      </c>
      <c r="B13" s="806">
        <f>SUM('Fluxo_de_Caixa Casas'!Z$8:Z$10)*0.95</f>
        <v>2805655.7371428572</v>
      </c>
      <c r="C13" s="806">
        <v>-11024718.059472758</v>
      </c>
      <c r="D13" s="970">
        <f>VLOOKUP(Projeto!A13,'Desembolso - LV'!$A$5:$E$28,4,FALSE)</f>
        <v>0.10468300855204607</v>
      </c>
      <c r="E13" s="943">
        <f t="shared" si="0"/>
        <v>0.1046830085520461</v>
      </c>
      <c r="G13" s="776">
        <v>0</v>
      </c>
      <c r="K13" s="776">
        <v>0</v>
      </c>
    </row>
    <row r="14" spans="1:35">
      <c r="A14" s="833">
        <f t="shared" si="1"/>
        <v>45443</v>
      </c>
      <c r="B14" s="806">
        <f>SUM('Fluxo_de_Caixa Casas'!AA$8:AA$10)*0.95</f>
        <v>2805655.7371428572</v>
      </c>
      <c r="C14" s="806">
        <v>-13173612.28619732</v>
      </c>
      <c r="D14" s="970">
        <f>VLOOKUP(Projeto!A14,'Desembolso - LV'!$A$5:$E$28,4,FALSE)</f>
        <v>7.9725115555833198E-2</v>
      </c>
      <c r="E14" s="943">
        <f t="shared" si="0"/>
        <v>7.9725115555833212E-2</v>
      </c>
      <c r="G14" s="776">
        <v>0</v>
      </c>
      <c r="K14" s="776">
        <v>0</v>
      </c>
    </row>
    <row r="15" spans="1:35">
      <c r="A15" s="833">
        <f t="shared" si="1"/>
        <v>45473</v>
      </c>
      <c r="B15" s="806">
        <f>SUM('Fluxo_de_Caixa Casas'!AB$8:AB$10)*0.95</f>
        <v>2805655.7371428572</v>
      </c>
      <c r="C15" s="806">
        <v>-13708159.657438688</v>
      </c>
      <c r="D15" s="970">
        <f>VLOOKUP(Projeto!A15,'Desembolso - LV'!$A$5:$E$28,4,FALSE)</f>
        <v>5.4499999997074847E-2</v>
      </c>
      <c r="E15" s="943">
        <f t="shared" si="0"/>
        <v>5.4499999997074861E-2</v>
      </c>
      <c r="G15" s="776">
        <v>0</v>
      </c>
      <c r="K15" s="776">
        <v>0</v>
      </c>
    </row>
    <row r="16" spans="1:35">
      <c r="A16" s="833">
        <f t="shared" si="1"/>
        <v>45504</v>
      </c>
      <c r="B16" s="806">
        <f>SUM('Fluxo_de_Caixa Casas'!AC$8:AC$10)*0.95</f>
        <v>2805655.7371428572</v>
      </c>
      <c r="C16" s="806">
        <v>-13148348.068738794</v>
      </c>
      <c r="D16" s="970">
        <f>VLOOKUP(Projeto!A16,'Desembolso - LV'!$A$5:$E$28,4,FALSE)</f>
        <v>3.739999999799265E-2</v>
      </c>
      <c r="E16" s="943">
        <f t="shared" si="0"/>
        <v>3.7399999997992657E-2</v>
      </c>
      <c r="G16" s="776">
        <v>0</v>
      </c>
      <c r="K16" s="776">
        <v>3.9379944373099732E-2</v>
      </c>
    </row>
    <row r="17" spans="1:11">
      <c r="A17" s="833">
        <f t="shared" si="1"/>
        <v>45535</v>
      </c>
      <c r="B17" s="806">
        <f>SUM('Fluxo_de_Caixa Casas'!AD$8:AD$10)*0.95</f>
        <v>7567397.2546031736</v>
      </c>
      <c r="C17" s="806">
        <v>-11334183.520106224</v>
      </c>
      <c r="D17" s="970">
        <f>VLOOKUP(Projeto!A17,'Desembolso - LV'!$A$5:$E$28,4,FALSE)</f>
        <v>1.7799999999044632E-2</v>
      </c>
      <c r="E17" s="943">
        <f t="shared" si="0"/>
        <v>1.7799999999044636E-2</v>
      </c>
      <c r="G17" s="776">
        <v>3.9246857499842941E-2</v>
      </c>
      <c r="K17" s="776">
        <v>4.1117508234078316E-2</v>
      </c>
    </row>
    <row r="18" spans="1:11">
      <c r="A18" s="833">
        <f t="shared" si="1"/>
        <v>45565</v>
      </c>
      <c r="B18" s="806">
        <f>SUM('Fluxo_de_Caixa Casas'!AE$8:AE$10)*0.95</f>
        <v>3420073.9974603173</v>
      </c>
      <c r="C18" s="806">
        <v>-3944480.5994403902</v>
      </c>
      <c r="D18" s="970">
        <f>VLOOKUP(Projeto!A18,'Desembolso - LV'!$A$5:$E$28,4,FALSE)</f>
        <v>8.9999999995169465E-3</v>
      </c>
      <c r="E18" s="943">
        <f t="shared" si="0"/>
        <v>8.9999999995169482E-3</v>
      </c>
      <c r="G18" s="776">
        <v>4.0978549160009078E-2</v>
      </c>
      <c r="K18" s="776">
        <v>2.5174087498973301E-2</v>
      </c>
    </row>
    <row r="19" spans="1:11">
      <c r="A19" s="833">
        <f t="shared" si="1"/>
        <v>45596</v>
      </c>
      <c r="B19" s="806">
        <f>SUM('Fluxo_de_Caixa Casas'!AF$8:AF$10)*0.95</f>
        <v>3420073.9974603173</v>
      </c>
      <c r="C19" s="806">
        <v>-728388.30735628866</v>
      </c>
      <c r="D19" s="970">
        <f>VLOOKUP(Projeto!A19,'Desembolso - LV'!$A$5:$E$28,4,FALSE)</f>
        <v>5.9999999996779652E-3</v>
      </c>
      <c r="E19" s="943">
        <f t="shared" si="0"/>
        <v>5.9999999996779669E-3</v>
      </c>
      <c r="G19" s="776">
        <v>2.5089010167207951E-2</v>
      </c>
      <c r="K19" s="776">
        <v>5.0016990279526739E-2</v>
      </c>
    </row>
    <row r="20" spans="1:11">
      <c r="A20" s="833">
        <f t="shared" si="1"/>
        <v>45626</v>
      </c>
      <c r="B20" s="806">
        <f>SUM('Fluxo_de_Caixa Casas'!AG$8:AG$10)*0.95</f>
        <v>3420073.9974603173</v>
      </c>
      <c r="C20" s="806">
        <v>2615699.1847209428</v>
      </c>
      <c r="D20" s="970">
        <f>VLOOKUP(Projeto!A20,'Desembolso - LV'!$A$5:$E$28,4,FALSE)</f>
        <v>3.9999999997853098E-3</v>
      </c>
      <c r="E20" s="943">
        <f t="shared" si="0"/>
        <v>3.9999999997853107E-3</v>
      </c>
      <c r="G20" s="776">
        <v>4.9847954874525896E-2</v>
      </c>
      <c r="K20" s="776">
        <v>5.6669859558687162E-2</v>
      </c>
    </row>
    <row r="21" spans="1:11">
      <c r="A21" s="833">
        <f t="shared" si="1"/>
        <v>45657</v>
      </c>
      <c r="B21" s="806">
        <f>SUM('Fluxo_de_Caixa Casas'!AH$8:AH$10)*0.95</f>
        <v>3420073.9974603173</v>
      </c>
      <c r="C21" s="806">
        <v>6010984.7567954268</v>
      </c>
      <c r="D21" s="970">
        <f>VLOOKUP(Projeto!A21,'Desembolso - LV'!$A$5:$E$28,4,FALSE)</f>
        <v>3.1999999998282482E-3</v>
      </c>
      <c r="E21" s="943">
        <f t="shared" si="0"/>
        <v>3.1999999998282491E-3</v>
      </c>
      <c r="G21" s="776">
        <v>5.6478340384736293E-2</v>
      </c>
      <c r="K21" s="776">
        <v>0.10766622689948349</v>
      </c>
    </row>
    <row r="22" spans="1:11">
      <c r="A22" s="833">
        <f t="shared" si="1"/>
        <v>45688</v>
      </c>
      <c r="B22" s="806">
        <f>SUM('Fluxo_de_Caixa Casas'!AI$8:AI$10)*0.95</f>
        <v>3420073.9974603173</v>
      </c>
      <c r="C22" s="806">
        <v>9457468.4088671617</v>
      </c>
      <c r="D22" s="970">
        <f>VLOOKUP(Projeto!A22,'Desembolso - LV'!$A$5:$E$28,4,FALSE)</f>
        <v>2.3999999998711857E-3</v>
      </c>
      <c r="E22" s="943">
        <f t="shared" si="0"/>
        <v>2.3999999998711862E-3</v>
      </c>
      <c r="G22" s="776">
        <v>0.10730236245727781</v>
      </c>
      <c r="K22" s="776">
        <v>8.7613247122794072E-2</v>
      </c>
    </row>
    <row r="23" spans="1:11">
      <c r="A23" s="833">
        <f t="shared" si="1"/>
        <v>45716</v>
      </c>
      <c r="B23" s="806">
        <f>SUM('Fluxo_de_Caixa Casas'!AJ$8:AJ$10)*0.95</f>
        <v>12636347.90222222</v>
      </c>
      <c r="C23" s="806">
        <v>12961549.900935806</v>
      </c>
      <c r="D23" s="970">
        <f>VLOOKUP(Projeto!A23,'Desembolso - LV'!$A$5:$E$28,4,FALSE)</f>
        <v>1.4999999999194913E-3</v>
      </c>
      <c r="E23" s="943">
        <f t="shared" si="0"/>
        <v>1.4999999999194917E-3</v>
      </c>
      <c r="G23" s="776">
        <v>8.7317152923041666E-2</v>
      </c>
      <c r="K23" s="776">
        <v>0.10029044263114857</v>
      </c>
    </row>
    <row r="24" spans="1:11">
      <c r="A24" s="833">
        <f t="shared" si="1"/>
        <v>45747</v>
      </c>
      <c r="B24" s="806">
        <f>SUM('Fluxo_de_Caixa Casas'!AK$8:AK$10)*0.95</f>
        <v>12636347.90222222</v>
      </c>
      <c r="C24" s="806">
        <v>26173372.105385058</v>
      </c>
      <c r="D24" s="970">
        <f>VLOOKUP(Projeto!A24,'Desembolso - LV'!$A$5:$E$28,4,FALSE)</f>
        <v>1.3999999999248585E-3</v>
      </c>
      <c r="E24" s="943">
        <f t="shared" si="0"/>
        <v>1.3999999999248587E-3</v>
      </c>
      <c r="G24" s="776">
        <v>9.9951505092261722E-2</v>
      </c>
      <c r="K24" s="776">
        <v>0.14565602269620714</v>
      </c>
    </row>
    <row r="25" spans="1:11">
      <c r="A25" s="833">
        <f t="shared" si="1"/>
        <v>45777</v>
      </c>
      <c r="B25" s="806">
        <f>SUM('Fluxo_de_Caixa Casas'!AL$8:AL$10)*0.95</f>
        <v>12636347.90222222</v>
      </c>
      <c r="C25" s="806">
        <v>39429992.629831903</v>
      </c>
      <c r="D25" s="970">
        <f>VLOOKUP(Projeto!A25,'Desembolso - LV'!$A$5:$E$28,4,FALSE)</f>
        <v>6.9999999996242924E-4</v>
      </c>
      <c r="E25" s="943">
        <f t="shared" si="0"/>
        <v>6.9999999996242935E-4</v>
      </c>
      <c r="G25" s="776">
        <v>0.14516376947085977</v>
      </c>
      <c r="K25" s="776">
        <v>9.2561362896832727E-2</v>
      </c>
    </row>
    <row r="26" spans="1:11">
      <c r="A26" s="833">
        <f t="shared" si="1"/>
        <v>45808</v>
      </c>
      <c r="B26" s="806">
        <f>SUM('Fluxo_de_Caixa Casas'!AM8:AM10)*0.95</f>
        <v>40622054.285714276</v>
      </c>
      <c r="C26" s="806">
        <v>52731411.474276349</v>
      </c>
      <c r="D26" s="965"/>
      <c r="G26" s="776">
        <v>9.2248546244386123E-2</v>
      </c>
      <c r="K26" s="776">
        <v>0.11469166102612131</v>
      </c>
    </row>
    <row r="27" spans="1:11">
      <c r="A27" s="833">
        <f t="shared" ref="A27:A28" si="2">EOMONTH(A26,1)</f>
        <v>45838</v>
      </c>
      <c r="B27" s="806">
        <v>0</v>
      </c>
      <c r="C27" s="806">
        <v>95491468.617133483</v>
      </c>
      <c r="D27" s="965"/>
      <c r="G27" s="776">
        <v>0.11430405370981893</v>
      </c>
      <c r="K27" s="776">
        <v>7.8032640102838918E-2</v>
      </c>
    </row>
    <row r="28" spans="1:11">
      <c r="A28" s="833">
        <f t="shared" si="2"/>
        <v>45869</v>
      </c>
      <c r="B28" s="806">
        <v>0</v>
      </c>
      <c r="C28" s="806"/>
      <c r="D28" s="965"/>
      <c r="G28" s="776">
        <v>7.7768924136537215E-2</v>
      </c>
      <c r="K28" s="776">
        <v>2.9327739336831728E-2</v>
      </c>
    </row>
    <row r="29" spans="1:11">
      <c r="A29" s="833">
        <f t="shared" ref="A29:A63" si="3">EDATE(A28,1)</f>
        <v>45900</v>
      </c>
      <c r="B29" s="806"/>
      <c r="C29" s="806"/>
      <c r="D29" s="965"/>
      <c r="G29" s="776">
        <v>2.9228624490679346E-2</v>
      </c>
      <c r="K29" s="776">
        <v>1.7321696045816241E-2</v>
      </c>
    </row>
    <row r="30" spans="1:11">
      <c r="A30" s="833">
        <f t="shared" si="3"/>
        <v>45930</v>
      </c>
      <c r="B30" s="806"/>
      <c r="C30" s="806"/>
      <c r="D30" s="965"/>
      <c r="G30" s="776">
        <v>1.7263156339807489E-2</v>
      </c>
      <c r="K30" s="776">
        <v>8.9816201719047171E-3</v>
      </c>
    </row>
    <row r="31" spans="1:11">
      <c r="A31" s="833">
        <f t="shared" si="3"/>
        <v>45960</v>
      </c>
      <c r="B31" s="806"/>
      <c r="C31" s="806"/>
      <c r="D31" s="965"/>
      <c r="G31" s="776">
        <v>8.9512662502705502E-3</v>
      </c>
      <c r="K31" s="776">
        <v>5.4989511256559485E-3</v>
      </c>
    </row>
    <row r="32" spans="1:11">
      <c r="A32" s="833">
        <f t="shared" si="3"/>
        <v>45991</v>
      </c>
      <c r="B32" s="806"/>
      <c r="C32" s="806"/>
      <c r="D32" s="965"/>
      <c r="G32" s="776">
        <v>5.4803670920023769E-3</v>
      </c>
    </row>
    <row r="33" spans="1:4">
      <c r="A33" s="833">
        <f t="shared" si="3"/>
        <v>46021</v>
      </c>
      <c r="B33" s="806"/>
      <c r="C33" s="806"/>
      <c r="D33" s="965"/>
    </row>
    <row r="34" spans="1:4">
      <c r="A34" s="833">
        <f t="shared" si="3"/>
        <v>46052</v>
      </c>
      <c r="B34" s="806"/>
      <c r="C34" s="806"/>
      <c r="D34" s="965"/>
    </row>
    <row r="35" spans="1:4">
      <c r="A35" s="833">
        <f t="shared" si="3"/>
        <v>46081</v>
      </c>
      <c r="B35" s="806"/>
      <c r="C35" s="806"/>
      <c r="D35" s="965"/>
    </row>
    <row r="36" spans="1:4">
      <c r="A36" s="833">
        <f t="shared" si="3"/>
        <v>46109</v>
      </c>
      <c r="B36" s="806"/>
      <c r="C36" s="806"/>
      <c r="D36" s="965"/>
    </row>
    <row r="37" spans="1:4">
      <c r="A37" s="833">
        <f t="shared" si="3"/>
        <v>46140</v>
      </c>
      <c r="B37" s="806"/>
      <c r="C37" s="806"/>
      <c r="D37" s="965"/>
    </row>
    <row r="38" spans="1:4">
      <c r="A38" s="833">
        <f t="shared" si="3"/>
        <v>46170</v>
      </c>
      <c r="B38" s="806"/>
      <c r="C38" s="806"/>
      <c r="D38" s="965"/>
    </row>
    <row r="39" spans="1:4">
      <c r="A39" s="833">
        <f t="shared" si="3"/>
        <v>46201</v>
      </c>
      <c r="B39" s="806"/>
      <c r="C39" s="806"/>
      <c r="D39" s="965"/>
    </row>
    <row r="40" spans="1:4">
      <c r="A40" s="833">
        <f t="shared" si="3"/>
        <v>46231</v>
      </c>
      <c r="B40" s="806"/>
      <c r="C40" s="806"/>
      <c r="D40" s="965"/>
    </row>
    <row r="41" spans="1:4">
      <c r="A41" s="833">
        <f t="shared" si="3"/>
        <v>46262</v>
      </c>
      <c r="B41" s="806"/>
      <c r="C41" s="806"/>
      <c r="D41" s="965"/>
    </row>
    <row r="42" spans="1:4">
      <c r="A42" s="833">
        <f t="shared" si="3"/>
        <v>46293</v>
      </c>
      <c r="B42" s="806"/>
      <c r="C42" s="806"/>
      <c r="D42" s="965"/>
    </row>
    <row r="43" spans="1:4">
      <c r="A43" s="833">
        <f t="shared" si="3"/>
        <v>46323</v>
      </c>
      <c r="B43" s="806"/>
      <c r="C43" s="806"/>
      <c r="D43" s="965"/>
    </row>
    <row r="44" spans="1:4">
      <c r="A44" s="833">
        <f t="shared" si="3"/>
        <v>46354</v>
      </c>
      <c r="B44" s="806"/>
      <c r="C44" s="806"/>
      <c r="D44" s="965"/>
    </row>
    <row r="45" spans="1:4">
      <c r="A45" s="833">
        <f t="shared" si="3"/>
        <v>46384</v>
      </c>
      <c r="B45" s="806"/>
      <c r="C45" s="806"/>
      <c r="D45" s="965"/>
    </row>
    <row r="46" spans="1:4">
      <c r="A46" s="833">
        <f t="shared" si="3"/>
        <v>46415</v>
      </c>
      <c r="B46" s="806"/>
      <c r="C46" s="806"/>
      <c r="D46" s="965"/>
    </row>
    <row r="47" spans="1:4">
      <c r="A47" s="833">
        <f t="shared" si="3"/>
        <v>46446</v>
      </c>
      <c r="B47" s="806"/>
      <c r="C47" s="806"/>
      <c r="D47" s="965"/>
    </row>
    <row r="48" spans="1:4">
      <c r="A48" s="833">
        <f t="shared" si="3"/>
        <v>46474</v>
      </c>
      <c r="B48" s="806"/>
      <c r="C48" s="806"/>
      <c r="D48" s="965"/>
    </row>
    <row r="49" spans="1:11">
      <c r="A49" s="833">
        <f t="shared" si="3"/>
        <v>46505</v>
      </c>
      <c r="B49" s="806"/>
      <c r="C49" s="806"/>
      <c r="D49" s="965"/>
      <c r="K49" s="788"/>
    </row>
    <row r="50" spans="1:11">
      <c r="A50" s="833">
        <f t="shared" si="3"/>
        <v>46535</v>
      </c>
      <c r="B50" s="806"/>
      <c r="C50" s="806"/>
      <c r="D50" s="965"/>
    </row>
    <row r="51" spans="1:11">
      <c r="A51" s="833">
        <f t="shared" si="3"/>
        <v>46566</v>
      </c>
      <c r="B51" s="806"/>
      <c r="C51" s="806"/>
      <c r="D51" s="965"/>
    </row>
    <row r="52" spans="1:11">
      <c r="A52" s="833">
        <f t="shared" si="3"/>
        <v>46596</v>
      </c>
      <c r="B52" s="806"/>
      <c r="C52" s="806"/>
      <c r="D52" s="965"/>
    </row>
    <row r="53" spans="1:11">
      <c r="A53" s="833">
        <f t="shared" si="3"/>
        <v>46627</v>
      </c>
      <c r="B53" s="806"/>
      <c r="C53" s="806"/>
      <c r="D53" s="965"/>
    </row>
    <row r="54" spans="1:11">
      <c r="A54" s="833">
        <f t="shared" si="3"/>
        <v>46658</v>
      </c>
      <c r="B54" s="806"/>
      <c r="C54" s="806"/>
      <c r="D54" s="965"/>
    </row>
    <row r="55" spans="1:11">
      <c r="A55" s="833">
        <f t="shared" si="3"/>
        <v>46688</v>
      </c>
      <c r="B55" s="806"/>
      <c r="C55" s="806"/>
      <c r="D55" s="965"/>
    </row>
    <row r="56" spans="1:11">
      <c r="A56" s="833">
        <f t="shared" si="3"/>
        <v>46719</v>
      </c>
      <c r="B56" s="806"/>
      <c r="C56" s="806"/>
      <c r="D56" s="965"/>
    </row>
    <row r="57" spans="1:11">
      <c r="A57" s="833">
        <f t="shared" si="3"/>
        <v>46749</v>
      </c>
      <c r="B57" s="806"/>
      <c r="C57" s="806"/>
      <c r="D57" s="965"/>
    </row>
    <row r="58" spans="1:11">
      <c r="A58" s="833">
        <f t="shared" si="3"/>
        <v>46780</v>
      </c>
      <c r="B58" s="806"/>
      <c r="C58" s="806"/>
      <c r="D58" s="965"/>
    </row>
    <row r="59" spans="1:11">
      <c r="A59" s="833">
        <f t="shared" si="3"/>
        <v>46811</v>
      </c>
      <c r="B59" s="806"/>
      <c r="C59" s="806"/>
      <c r="D59" s="965"/>
    </row>
    <row r="60" spans="1:11">
      <c r="A60" s="833">
        <f t="shared" si="3"/>
        <v>46840</v>
      </c>
      <c r="B60" s="806"/>
      <c r="C60" s="836"/>
      <c r="D60" s="965"/>
    </row>
    <row r="61" spans="1:11">
      <c r="A61" s="833">
        <f t="shared" si="3"/>
        <v>46871</v>
      </c>
      <c r="B61" s="806"/>
      <c r="C61" s="836"/>
      <c r="D61" s="965"/>
    </row>
    <row r="62" spans="1:11">
      <c r="A62" s="833">
        <f t="shared" si="3"/>
        <v>46901</v>
      </c>
      <c r="B62" s="806"/>
      <c r="C62" s="836"/>
      <c r="D62" s="965"/>
    </row>
    <row r="63" spans="1:11">
      <c r="A63" s="833">
        <f t="shared" si="3"/>
        <v>46932</v>
      </c>
      <c r="B63" s="806"/>
      <c r="C63" s="836"/>
      <c r="D63" s="965"/>
    </row>
  </sheetData>
  <pageMargins left="0.511811024" right="0.511811024" top="0.78740157499999996" bottom="0.78740157499999996" header="0.31496062000000002" footer="0.31496062000000002"/>
  <pageSetup paperSize="9" orientation="portrait" r:id="rId1"/>
  <headerFooter>
    <oddFooter>&amp;L&amp;1#&amp;"Calibri"&amp;10&amp;K000000Internal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0AB2B-E348-4469-B19A-42EC55F8E33F}">
  <sheetPr codeName="Planilha17">
    <pageSetUpPr fitToPage="1"/>
  </sheetPr>
  <dimension ref="C1:AM109"/>
  <sheetViews>
    <sheetView showGridLines="0" zoomScale="90" zoomScaleNormal="90" zoomScalePageLayoutView="80" workbookViewId="0">
      <pane ySplit="2" topLeftCell="A4" activePane="bottomLeft" state="frozen"/>
      <selection sqref="A1:XFD1048576"/>
      <selection pane="bottomLeft" activeCell="C14" sqref="C14:D14"/>
    </sheetView>
  </sheetViews>
  <sheetFormatPr baseColWidth="10" defaultColWidth="12.33203125" defaultRowHeight="16"/>
  <cols>
    <col min="1" max="1" width="2.33203125" style="851" customWidth="1"/>
    <col min="2" max="2" width="1.5" style="851" customWidth="1"/>
    <col min="3" max="3" width="6.5" style="851" customWidth="1"/>
    <col min="4" max="4" width="37.6640625" style="853" customWidth="1"/>
    <col min="5" max="5" width="3.33203125" style="853" customWidth="1"/>
    <col min="6" max="6" width="12.33203125" style="854" customWidth="1"/>
    <col min="7" max="10" width="12.33203125" style="854"/>
    <col min="11" max="11" width="12.33203125" style="854" customWidth="1"/>
    <col min="12" max="15" width="12.33203125" style="851"/>
    <col min="16" max="16" width="12.33203125" style="853"/>
    <col min="17" max="17" width="12.33203125" style="855"/>
    <col min="18" max="18" width="15" style="855" customWidth="1"/>
    <col min="19" max="19" width="14.5" style="855" bestFit="1" customWidth="1"/>
    <col min="20" max="20" width="15.5" style="855" bestFit="1" customWidth="1"/>
    <col min="21" max="22" width="13.83203125" style="855" bestFit="1" customWidth="1"/>
    <col min="23" max="23" width="13.33203125" style="855" bestFit="1" customWidth="1"/>
    <col min="24" max="25" width="12.33203125" style="855"/>
    <col min="26" max="26" width="15.5" style="856" bestFit="1" customWidth="1"/>
    <col min="27" max="27" width="12.33203125" style="855"/>
    <col min="28" max="28" width="15.5" style="855" bestFit="1" customWidth="1"/>
    <col min="29" max="31" width="12.33203125" style="855"/>
    <col min="32" max="33" width="12.33203125" style="853"/>
    <col min="34" max="35" width="15.6640625" style="853" customWidth="1"/>
    <col min="36" max="39" width="15.6640625" style="851" customWidth="1"/>
    <col min="40" max="16384" width="12.33203125" style="851"/>
  </cols>
  <sheetData>
    <row r="1" spans="3:35" s="838" customFormat="1" ht="39" customHeight="1">
      <c r="D1" s="839"/>
      <c r="E1" s="840"/>
      <c r="F1" s="841"/>
      <c r="G1" s="841"/>
      <c r="H1" s="841"/>
      <c r="I1" s="841"/>
      <c r="J1" s="841"/>
      <c r="K1" s="841"/>
      <c r="P1" s="840"/>
      <c r="Q1" s="842"/>
      <c r="R1" s="842"/>
      <c r="S1" s="842"/>
      <c r="T1" s="842"/>
      <c r="U1" s="842"/>
      <c r="V1" s="842"/>
      <c r="W1" s="842"/>
      <c r="X1" s="842"/>
      <c r="Y1" s="842"/>
      <c r="Z1" s="843"/>
      <c r="AA1" s="842"/>
      <c r="AB1" s="842"/>
      <c r="AC1" s="842"/>
      <c r="AD1" s="842"/>
      <c r="AE1" s="842"/>
      <c r="AF1" s="840"/>
      <c r="AG1" s="840"/>
      <c r="AH1" s="840"/>
      <c r="AI1" s="840"/>
    </row>
    <row r="2" spans="3:35" s="844" customFormat="1" ht="30" customHeight="1">
      <c r="D2" s="845"/>
      <c r="E2" s="845"/>
      <c r="F2" s="846"/>
      <c r="G2" s="846"/>
      <c r="H2" s="846"/>
      <c r="I2" s="847"/>
      <c r="J2" s="847"/>
      <c r="K2" s="847"/>
      <c r="P2" s="848"/>
      <c r="Q2" s="849"/>
      <c r="R2" s="849"/>
      <c r="S2" s="849"/>
      <c r="T2" s="849"/>
      <c r="U2" s="849"/>
      <c r="V2" s="849"/>
      <c r="W2" s="849"/>
      <c r="X2" s="849"/>
      <c r="Y2" s="849"/>
      <c r="Z2" s="850"/>
      <c r="AA2" s="849"/>
      <c r="AB2" s="849"/>
      <c r="AC2" s="849"/>
      <c r="AD2" s="849"/>
      <c r="AE2" s="849"/>
      <c r="AF2" s="848"/>
      <c r="AG2" s="848"/>
      <c r="AH2" s="848"/>
      <c r="AI2" s="848"/>
    </row>
    <row r="3" spans="3:35" ht="13.5" customHeight="1">
      <c r="D3" s="852"/>
    </row>
    <row r="4" spans="3:35" s="857" customFormat="1" ht="24.75" customHeight="1">
      <c r="C4" s="1206" t="s">
        <v>780</v>
      </c>
      <c r="D4" s="1206"/>
      <c r="E4" s="858"/>
      <c r="F4" s="859" t="s">
        <v>781</v>
      </c>
      <c r="G4" s="860"/>
      <c r="H4" s="861"/>
      <c r="I4" s="862"/>
      <c r="J4" s="862"/>
      <c r="K4" s="862"/>
      <c r="P4" s="858"/>
      <c r="Q4" s="863"/>
      <c r="R4" s="863"/>
      <c r="S4" s="863"/>
      <c r="T4" s="863"/>
      <c r="U4" s="863"/>
      <c r="V4" s="863"/>
      <c r="W4" s="863"/>
      <c r="X4" s="863"/>
      <c r="Y4" s="863"/>
      <c r="Z4" s="864"/>
      <c r="AA4" s="863"/>
      <c r="AB4" s="863"/>
      <c r="AC4" s="863"/>
      <c r="AD4" s="863"/>
      <c r="AE4" s="863"/>
      <c r="AF4" s="858"/>
      <c r="AG4" s="858"/>
      <c r="AH4" s="858"/>
      <c r="AI4" s="858"/>
    </row>
    <row r="5" spans="3:35" s="865" customFormat="1" ht="49.5" customHeight="1">
      <c r="C5" s="1209">
        <f>'EVTE - Projetado'!$J$104</f>
        <v>38266973.040623516</v>
      </c>
      <c r="D5" s="1209"/>
      <c r="E5" s="866"/>
      <c r="F5" s="1205"/>
      <c r="G5" s="1205"/>
      <c r="H5" s="1205"/>
      <c r="I5" s="1205"/>
      <c r="J5" s="1205"/>
      <c r="K5" s="1205"/>
      <c r="L5" s="1205"/>
      <c r="M5" s="1205"/>
      <c r="N5" s="1205"/>
      <c r="O5" s="1205"/>
      <c r="P5" s="867"/>
      <c r="Q5" s="855"/>
      <c r="R5" s="855"/>
      <c r="S5" s="855"/>
      <c r="T5" s="855"/>
      <c r="U5" s="855"/>
      <c r="V5" s="855"/>
      <c r="W5" s="855"/>
      <c r="X5" s="855"/>
      <c r="Y5" s="855"/>
      <c r="Z5" s="856"/>
      <c r="AA5" s="855"/>
      <c r="AB5" s="855"/>
      <c r="AC5" s="855"/>
      <c r="AD5" s="855"/>
      <c r="AE5" s="855"/>
      <c r="AF5" s="867"/>
      <c r="AG5" s="867"/>
      <c r="AH5" s="867"/>
      <c r="AI5" s="867"/>
    </row>
    <row r="6" spans="3:35" s="865" customFormat="1" ht="7" customHeight="1">
      <c r="D6" s="866"/>
      <c r="E6" s="866"/>
      <c r="F6" s="1205"/>
      <c r="G6" s="1205"/>
      <c r="H6" s="1205"/>
      <c r="I6" s="1205"/>
      <c r="J6" s="1205"/>
      <c r="K6" s="1205"/>
      <c r="L6" s="1205"/>
      <c r="M6" s="1205"/>
      <c r="N6" s="1205"/>
      <c r="O6" s="1205"/>
      <c r="P6" s="867"/>
      <c r="Q6" s="855"/>
      <c r="R6" s="855"/>
      <c r="S6" s="855"/>
      <c r="T6" s="855"/>
      <c r="U6" s="855"/>
      <c r="V6" s="855"/>
      <c r="W6" s="855"/>
      <c r="X6" s="855"/>
      <c r="Y6" s="855"/>
      <c r="Z6" s="856"/>
      <c r="AA6" s="855"/>
      <c r="AB6" s="855"/>
      <c r="AC6" s="855"/>
      <c r="AD6" s="855"/>
      <c r="AE6" s="855"/>
      <c r="AF6" s="867"/>
      <c r="AG6" s="867"/>
      <c r="AH6" s="867"/>
      <c r="AI6" s="867"/>
    </row>
    <row r="7" spans="3:35" s="857" customFormat="1" ht="24.75" customHeight="1">
      <c r="C7" s="1206" t="s">
        <v>782</v>
      </c>
      <c r="D7" s="1206"/>
      <c r="E7" s="858"/>
      <c r="F7" s="1205"/>
      <c r="G7" s="1205"/>
      <c r="H7" s="1205"/>
      <c r="I7" s="1205"/>
      <c r="J7" s="1205"/>
      <c r="K7" s="1205"/>
      <c r="L7" s="1205"/>
      <c r="M7" s="1205"/>
      <c r="N7" s="1205"/>
      <c r="O7" s="1205"/>
      <c r="P7" s="858"/>
      <c r="Q7" s="863"/>
      <c r="R7" s="863"/>
      <c r="S7" s="863"/>
      <c r="T7" s="863"/>
      <c r="U7" s="863"/>
      <c r="V7" s="863"/>
      <c r="W7" s="863"/>
      <c r="X7" s="863"/>
      <c r="Y7" s="863"/>
      <c r="Z7" s="864"/>
      <c r="AA7" s="863"/>
      <c r="AB7" s="863"/>
      <c r="AC7" s="863"/>
      <c r="AD7" s="863"/>
      <c r="AE7" s="863"/>
      <c r="AF7" s="858"/>
      <c r="AG7" s="858"/>
      <c r="AH7" s="858"/>
      <c r="AI7" s="858"/>
    </row>
    <row r="8" spans="3:35" s="865" customFormat="1" ht="49.5" customHeight="1">
      <c r="C8" s="1207">
        <f>'EVTE - Projetado'!$J$102</f>
        <v>0.95816833616164176</v>
      </c>
      <c r="D8" s="1207"/>
      <c r="E8" s="866"/>
      <c r="F8" s="1205"/>
      <c r="G8" s="1205"/>
      <c r="H8" s="1205"/>
      <c r="I8" s="1205"/>
      <c r="J8" s="1205"/>
      <c r="K8" s="1205"/>
      <c r="L8" s="1205"/>
      <c r="M8" s="1205"/>
      <c r="N8" s="1205"/>
      <c r="O8" s="1205"/>
      <c r="P8" s="867"/>
      <c r="Q8" s="855"/>
      <c r="R8" s="855"/>
      <c r="S8" s="855"/>
      <c r="T8" s="855"/>
      <c r="U8" s="855"/>
      <c r="V8" s="855"/>
      <c r="W8" s="855"/>
      <c r="X8" s="855"/>
      <c r="Y8" s="855"/>
      <c r="Z8" s="856"/>
      <c r="AA8" s="855"/>
      <c r="AB8" s="855"/>
      <c r="AC8" s="855"/>
      <c r="AD8" s="855"/>
      <c r="AE8" s="855"/>
      <c r="AF8" s="867"/>
      <c r="AG8" s="867"/>
      <c r="AH8" s="867"/>
      <c r="AI8" s="867"/>
    </row>
    <row r="9" spans="3:35" s="865" customFormat="1" ht="7" customHeight="1">
      <c r="D9" s="866"/>
      <c r="E9" s="866"/>
      <c r="F9" s="868"/>
      <c r="G9" s="868"/>
      <c r="H9" s="868"/>
      <c r="I9" s="868"/>
      <c r="J9" s="868"/>
      <c r="K9" s="868"/>
      <c r="P9" s="867"/>
      <c r="Q9" s="855"/>
      <c r="R9" s="855"/>
      <c r="S9" s="855"/>
      <c r="T9" s="855"/>
      <c r="U9" s="855"/>
      <c r="V9" s="855"/>
      <c r="W9" s="855"/>
      <c r="X9" s="855"/>
      <c r="Y9" s="855"/>
      <c r="Z9" s="856"/>
      <c r="AA9" s="855"/>
      <c r="AB9" s="855"/>
      <c r="AC9" s="855"/>
      <c r="AD9" s="855"/>
      <c r="AE9" s="855"/>
      <c r="AF9" s="867"/>
      <c r="AG9" s="867"/>
      <c r="AH9" s="867"/>
      <c r="AI9" s="867"/>
    </row>
    <row r="10" spans="3:35" s="857" customFormat="1" ht="25.5" customHeight="1">
      <c r="C10" s="1206" t="s">
        <v>783</v>
      </c>
      <c r="D10" s="1206"/>
      <c r="E10" s="858"/>
      <c r="F10" s="1206" t="s">
        <v>784</v>
      </c>
      <c r="G10" s="1206"/>
      <c r="H10" s="862"/>
      <c r="I10" s="862"/>
      <c r="J10" s="862"/>
      <c r="K10" s="862"/>
      <c r="P10" s="858"/>
      <c r="Q10" s="863"/>
      <c r="R10" s="863"/>
      <c r="S10" s="863"/>
      <c r="T10" s="863"/>
      <c r="U10" s="863"/>
      <c r="V10" s="863"/>
      <c r="W10" s="863"/>
      <c r="X10" s="863"/>
      <c r="Y10" s="863"/>
      <c r="Z10" s="864"/>
      <c r="AA10" s="863"/>
      <c r="AB10" s="863"/>
      <c r="AC10" s="863"/>
      <c r="AD10" s="863"/>
      <c r="AE10" s="863"/>
      <c r="AF10" s="858"/>
      <c r="AG10" s="858"/>
      <c r="AH10" s="858"/>
      <c r="AI10" s="858"/>
    </row>
    <row r="11" spans="3:35" s="865" customFormat="1" ht="49.5" customHeight="1">
      <c r="C11" s="1208" t="str">
        <f>'Cidade Jardim III'!$AI$46</f>
        <v>18º Mês (Fev/24)</v>
      </c>
      <c r="D11" s="1208"/>
      <c r="E11" s="866"/>
      <c r="F11" s="868"/>
      <c r="G11" s="868"/>
      <c r="H11" s="868"/>
      <c r="I11" s="868"/>
      <c r="J11" s="868"/>
      <c r="K11" s="868"/>
      <c r="P11" s="867"/>
      <c r="Q11" s="855"/>
      <c r="R11" s="855"/>
      <c r="S11" s="855"/>
      <c r="T11" s="855"/>
      <c r="U11" s="855"/>
      <c r="V11" s="855"/>
      <c r="W11" s="855"/>
      <c r="X11" s="855"/>
      <c r="Y11" s="855"/>
      <c r="Z11" s="856"/>
      <c r="AA11" s="855"/>
      <c r="AB11" s="855"/>
      <c r="AC11" s="855"/>
      <c r="AD11" s="855"/>
      <c r="AE11" s="855"/>
      <c r="AF11" s="867"/>
      <c r="AG11" s="867"/>
      <c r="AH11" s="867"/>
      <c r="AI11" s="867"/>
    </row>
    <row r="12" spans="3:35" s="865" customFormat="1" ht="7" customHeight="1">
      <c r="D12" s="866"/>
      <c r="E12" s="866"/>
      <c r="F12" s="868"/>
      <c r="G12" s="868"/>
      <c r="H12" s="868"/>
      <c r="I12" s="868"/>
      <c r="J12" s="868"/>
      <c r="K12" s="868"/>
      <c r="P12" s="867"/>
      <c r="Q12" s="855"/>
      <c r="R12" s="855"/>
      <c r="S12" s="855"/>
      <c r="T12" s="855"/>
      <c r="U12" s="855"/>
      <c r="V12" s="855"/>
      <c r="W12" s="855"/>
      <c r="X12" s="855"/>
      <c r="Y12" s="855"/>
      <c r="Z12" s="856"/>
      <c r="AA12" s="855"/>
      <c r="AB12" s="855"/>
      <c r="AC12" s="855"/>
      <c r="AD12" s="855"/>
      <c r="AE12" s="855"/>
      <c r="AF12" s="867"/>
      <c r="AG12" s="867"/>
      <c r="AH12" s="867"/>
      <c r="AI12" s="867"/>
    </row>
    <row r="13" spans="3:35" s="865" customFormat="1" ht="30" customHeight="1">
      <c r="C13" s="1206" t="s">
        <v>785</v>
      </c>
      <c r="D13" s="1206"/>
      <c r="E13" s="866"/>
      <c r="F13" s="868"/>
      <c r="G13" s="868"/>
      <c r="H13" s="868"/>
      <c r="I13" s="868"/>
      <c r="J13" s="868"/>
      <c r="K13" s="868"/>
      <c r="P13" s="867"/>
      <c r="Q13" s="855"/>
      <c r="R13" s="855"/>
      <c r="S13" s="855"/>
      <c r="T13" s="855"/>
      <c r="U13" s="855"/>
      <c r="V13" s="855"/>
      <c r="W13" s="855"/>
      <c r="X13" s="855"/>
      <c r="Y13" s="855"/>
      <c r="Z13" s="856"/>
      <c r="AA13" s="855"/>
      <c r="AB13" s="855"/>
      <c r="AC13" s="855"/>
      <c r="AD13" s="855"/>
      <c r="AE13" s="855"/>
      <c r="AF13" s="867"/>
      <c r="AG13" s="867"/>
      <c r="AH13" s="867"/>
      <c r="AI13" s="867"/>
    </row>
    <row r="14" spans="3:35" s="865" customFormat="1" ht="49.5" customHeight="1">
      <c r="C14" s="1208" t="s">
        <v>838</v>
      </c>
      <c r="D14" s="1208"/>
      <c r="E14" s="866"/>
      <c r="F14" s="868"/>
      <c r="G14" s="868"/>
      <c r="H14" s="868"/>
      <c r="I14" s="868"/>
      <c r="J14" s="868"/>
      <c r="K14" s="868"/>
      <c r="P14" s="867"/>
      <c r="Q14" s="855"/>
      <c r="R14" s="855"/>
      <c r="S14" s="855"/>
      <c r="T14" s="855"/>
      <c r="U14" s="855"/>
      <c r="V14" s="855"/>
      <c r="W14" s="855"/>
      <c r="X14" s="855"/>
      <c r="Y14" s="855"/>
      <c r="Z14" s="856"/>
      <c r="AA14" s="855"/>
      <c r="AB14" s="855"/>
      <c r="AC14" s="855"/>
      <c r="AD14" s="855"/>
      <c r="AE14" s="855"/>
      <c r="AF14" s="867"/>
      <c r="AG14" s="867"/>
      <c r="AH14" s="867"/>
      <c r="AI14" s="867"/>
    </row>
    <row r="15" spans="3:35" s="865" customFormat="1" ht="30" customHeight="1">
      <c r="C15" s="866"/>
      <c r="D15" s="866"/>
      <c r="E15" s="866"/>
      <c r="F15" s="868"/>
      <c r="G15" s="868"/>
      <c r="H15" s="868"/>
      <c r="I15" s="868"/>
      <c r="J15" s="868"/>
      <c r="K15" s="868"/>
      <c r="O15" s="867"/>
      <c r="P15" s="867"/>
      <c r="Q15" s="855"/>
      <c r="R15" s="855"/>
      <c r="S15" s="855"/>
      <c r="T15" s="855"/>
      <c r="U15" s="855"/>
      <c r="V15" s="855"/>
      <c r="W15" s="855"/>
      <c r="X15" s="855"/>
      <c r="Y15" s="855"/>
      <c r="Z15" s="856"/>
      <c r="AA15" s="855"/>
      <c r="AB15" s="855"/>
      <c r="AC15" s="855"/>
      <c r="AD15" s="855"/>
      <c r="AE15" s="855"/>
      <c r="AF15" s="867"/>
      <c r="AG15" s="867"/>
      <c r="AH15" s="867"/>
      <c r="AI15" s="867"/>
    </row>
    <row r="16" spans="3:35" s="865" customFormat="1" ht="4" customHeight="1">
      <c r="C16" s="866"/>
      <c r="D16" s="866"/>
      <c r="E16" s="866"/>
      <c r="F16" s="868"/>
      <c r="G16" s="868"/>
      <c r="H16" s="868"/>
      <c r="I16" s="868"/>
      <c r="J16" s="868"/>
      <c r="K16" s="868"/>
      <c r="O16" s="867"/>
      <c r="P16" s="867"/>
      <c r="Q16" s="855"/>
      <c r="R16" s="855"/>
      <c r="S16" s="855"/>
      <c r="T16" s="855"/>
      <c r="U16" s="855"/>
      <c r="V16" s="855"/>
      <c r="W16" s="855"/>
      <c r="X16" s="855"/>
      <c r="Y16" s="855"/>
      <c r="Z16" s="856"/>
      <c r="AA16" s="855"/>
      <c r="AB16" s="855"/>
      <c r="AC16" s="855"/>
      <c r="AD16" s="855"/>
      <c r="AE16" s="855"/>
      <c r="AF16" s="867"/>
      <c r="AG16" s="867"/>
      <c r="AH16" s="867"/>
      <c r="AI16" s="867"/>
    </row>
    <row r="17" spans="3:39" s="865" customFormat="1" ht="30" customHeight="1">
      <c r="C17" s="866"/>
      <c r="D17" s="866"/>
      <c r="E17" s="866"/>
      <c r="F17" s="868"/>
      <c r="G17" s="868"/>
      <c r="H17" s="868"/>
      <c r="I17" s="868"/>
      <c r="J17" s="868"/>
      <c r="K17" s="868"/>
      <c r="O17" s="867"/>
      <c r="P17" s="867"/>
      <c r="Q17" s="855" t="s">
        <v>786</v>
      </c>
      <c r="R17" s="855"/>
      <c r="S17" s="855"/>
      <c r="T17" s="855"/>
      <c r="U17" s="855"/>
      <c r="V17" s="855"/>
      <c r="W17" s="855"/>
      <c r="X17" s="855"/>
      <c r="Y17" s="855"/>
      <c r="Z17" s="856"/>
      <c r="AA17" s="855"/>
      <c r="AB17" s="855"/>
      <c r="AC17" s="855"/>
      <c r="AD17" s="855"/>
      <c r="AE17" s="855"/>
      <c r="AF17" s="867"/>
      <c r="AG17" s="867"/>
      <c r="AH17" s="867"/>
      <c r="AI17" s="867"/>
    </row>
    <row r="18" spans="3:39" s="865" customFormat="1" ht="30" customHeight="1">
      <c r="D18" s="866"/>
      <c r="E18" s="866"/>
      <c r="F18" s="868"/>
      <c r="G18" s="868"/>
      <c r="H18" s="868"/>
      <c r="I18" s="868"/>
      <c r="J18" s="868"/>
      <c r="K18" s="868"/>
      <c r="O18" s="867"/>
      <c r="P18" s="867"/>
      <c r="Q18" s="855" t="s">
        <v>787</v>
      </c>
      <c r="R18" s="855" t="s">
        <v>788</v>
      </c>
      <c r="S18" s="855" t="s">
        <v>789</v>
      </c>
      <c r="T18" s="855" t="s">
        <v>790</v>
      </c>
      <c r="U18" s="855" t="s">
        <v>791</v>
      </c>
      <c r="V18" s="855"/>
      <c r="W18" s="855"/>
      <c r="X18" s="855"/>
      <c r="Y18" s="855"/>
      <c r="Z18" s="856"/>
      <c r="AA18" s="855"/>
      <c r="AB18" s="855"/>
      <c r="AC18" s="855"/>
      <c r="AD18" s="855"/>
      <c r="AE18" s="855"/>
      <c r="AF18" s="867"/>
      <c r="AG18" s="867"/>
      <c r="AH18" s="867"/>
      <c r="AI18" s="867"/>
    </row>
    <row r="19" spans="3:39" s="865" customFormat="1" ht="30" customHeight="1">
      <c r="D19" s="866"/>
      <c r="E19" s="866"/>
      <c r="F19" s="868"/>
      <c r="G19" s="868"/>
      <c r="H19" s="868"/>
      <c r="I19" s="868"/>
      <c r="J19" s="868"/>
      <c r="K19" s="868"/>
      <c r="O19" s="867"/>
      <c r="P19" s="867"/>
      <c r="Q19" s="855" t="s">
        <v>792</v>
      </c>
      <c r="R19" s="856">
        <v>70000</v>
      </c>
      <c r="S19" s="856">
        <v>0</v>
      </c>
      <c r="T19" s="856">
        <v>20000</v>
      </c>
      <c r="U19" s="856">
        <v>0</v>
      </c>
      <c r="V19" s="856"/>
      <c r="W19" s="856"/>
      <c r="X19" s="855"/>
      <c r="Y19" s="855"/>
      <c r="Z19" s="856"/>
      <c r="AA19" s="855"/>
      <c r="AB19" s="855"/>
      <c r="AC19" s="855"/>
      <c r="AD19" s="855"/>
      <c r="AE19" s="855"/>
      <c r="AF19" s="867"/>
      <c r="AG19" s="867"/>
      <c r="AH19" s="867"/>
      <c r="AI19" s="867"/>
    </row>
    <row r="20" spans="3:39" ht="30" customHeight="1">
      <c r="O20" s="853"/>
    </row>
    <row r="21" spans="3:39" ht="30" customHeight="1">
      <c r="O21" s="853"/>
      <c r="Q21" s="855" t="s">
        <v>793</v>
      </c>
      <c r="R21" s="855" t="s">
        <v>788</v>
      </c>
      <c r="S21" s="855" t="s">
        <v>789</v>
      </c>
      <c r="T21" s="855" t="s">
        <v>790</v>
      </c>
      <c r="U21" s="855" t="s">
        <v>791</v>
      </c>
    </row>
    <row r="22" spans="3:39" ht="30" customHeight="1">
      <c r="O22" s="853"/>
      <c r="Q22" s="855" t="s">
        <v>244</v>
      </c>
      <c r="R22" s="856">
        <f>-[11]Rel_Viab!D8</f>
        <v>-44200000</v>
      </c>
      <c r="S22" s="856">
        <f>R22+SUM([11]Aux1!C24:N24)</f>
        <v>-22837428.57142859</v>
      </c>
      <c r="T22" s="856">
        <f>S22+SUM([11]Aux1!O24:Z24)</f>
        <v>23488149.999999925</v>
      </c>
      <c r="U22" s="856">
        <f>T22+SUM([11]Aux1!AA24:AL24)</f>
        <v>23483149.999999925</v>
      </c>
      <c r="V22" s="856"/>
      <c r="W22" s="856"/>
    </row>
    <row r="23" spans="3:39" ht="30" customHeight="1">
      <c r="O23" s="853"/>
      <c r="Q23" s="855" t="s">
        <v>785</v>
      </c>
      <c r="R23" s="856">
        <f>R22</f>
        <v>-44200000</v>
      </c>
      <c r="S23" s="856">
        <f>[11]Rel_Viab!G11</f>
        <v>18562696.42857141</v>
      </c>
      <c r="T23" s="856">
        <f>[11]Rel_Viab!H11</f>
        <v>53542807.696428493</v>
      </c>
      <c r="U23" s="856">
        <f>[11]Rel_Viab!I11</f>
        <v>-7989258.375</v>
      </c>
      <c r="V23" s="856"/>
      <c r="W23" s="856"/>
    </row>
    <row r="24" spans="3:39" ht="30" customHeight="1">
      <c r="O24" s="853"/>
    </row>
    <row r="25" spans="3:39" ht="30" customHeight="1">
      <c r="O25" s="853"/>
    </row>
    <row r="26" spans="3:39" ht="30" customHeight="1">
      <c r="O26" s="853"/>
      <c r="Q26" s="855" t="s">
        <v>794</v>
      </c>
      <c r="Y26" s="855" t="s">
        <v>795</v>
      </c>
      <c r="AG26" s="855" t="s">
        <v>796</v>
      </c>
    </row>
    <row r="27" spans="3:39" ht="30" customHeight="1">
      <c r="O27" s="853"/>
      <c r="Q27" s="855" t="s">
        <v>789</v>
      </c>
      <c r="R27" s="856">
        <f>HLOOKUP(Q27,[11]Rel_Viab!$G$4:$I$5,2,FALSE)</f>
        <v>71999999.999999985</v>
      </c>
      <c r="S27" s="855">
        <v>9.9999999999999995E-7</v>
      </c>
      <c r="T27" s="856">
        <f>SUM(R27:S27)</f>
        <v>72000000.000000983</v>
      </c>
      <c r="U27" s="855" t="str">
        <f>Q27</f>
        <v>Ano 1</v>
      </c>
      <c r="V27" s="855">
        <v>1</v>
      </c>
      <c r="W27" s="855" t="str">
        <f>IFERROR(VLOOKUP(LARGE($T$27:$T$31,V27),$T$27:$U$31,2,FALSE),"")</f>
        <v/>
      </c>
      <c r="Y27" s="855" t="s">
        <v>789</v>
      </c>
      <c r="Z27" s="856">
        <f>HLOOKUP(Dash_Viab!Y27,[11]Rel_Viab!$M$4:$O$6,3,FALSE)</f>
        <v>50637428.571428575</v>
      </c>
      <c r="AA27" s="855">
        <v>9.9999999999999995E-7</v>
      </c>
      <c r="AB27" s="856">
        <f>SUM(Z27:AA27)</f>
        <v>50637428.571429573</v>
      </c>
      <c r="AC27" s="855" t="str">
        <f>Y27</f>
        <v>Ano 1</v>
      </c>
      <c r="AD27" s="855">
        <v>1</v>
      </c>
      <c r="AE27" s="855" t="str">
        <f>IFERROR(VLOOKUP(LARGE($AB$27:$AB$31,AD27),$AB$27:$AC$31,2,FALSE),"")</f>
        <v/>
      </c>
      <c r="AG27" s="855" t="s">
        <v>789</v>
      </c>
      <c r="AH27" s="856">
        <f>HLOOKUP(AG27,[11]Rel_Viab!$M$4:$O$7,3,FALSE)</f>
        <v>50637428.571428575</v>
      </c>
      <c r="AI27" s="855">
        <v>9.9999999999999995E-7</v>
      </c>
      <c r="AJ27" s="869">
        <f>SUM(AH27:AI27)</f>
        <v>50637428.571429573</v>
      </c>
      <c r="AK27" s="870" t="str">
        <f>AG27</f>
        <v>Ano 1</v>
      </c>
      <c r="AL27" s="870">
        <v>1</v>
      </c>
      <c r="AM27" s="870" t="str">
        <f>IFERROR(VLOOKUP(LARGE($AJ$27:$AJ$31,AL27),$AJ$27:$AK$31,2,FALSE),"")</f>
        <v/>
      </c>
    </row>
    <row r="28" spans="3:39" ht="30" customHeight="1">
      <c r="O28" s="853"/>
      <c r="Q28" s="855" t="s">
        <v>790</v>
      </c>
      <c r="R28" s="856">
        <f>HLOOKUP(Q28,[11]Rel_Viab!$G$4:$I$5,2,FALSE)</f>
        <v>179999999.99999994</v>
      </c>
      <c r="S28" s="855">
        <f>S27+$S$27</f>
        <v>1.9999999999999999E-6</v>
      </c>
      <c r="T28" s="856">
        <f>SUM(R28:S28)</f>
        <v>180000000.00000194</v>
      </c>
      <c r="U28" s="855" t="str">
        <f>Q28</f>
        <v>Ano 2</v>
      </c>
      <c r="Y28" s="855" t="s">
        <v>790</v>
      </c>
      <c r="Z28" s="856">
        <f>HLOOKUP(Dash_Viab!Y28,[11]Rel_Viab!$M$4:$O$6,3,FALSE)</f>
        <v>133674421.42857145</v>
      </c>
      <c r="AA28" s="855">
        <f>AA27+$S$27</f>
        <v>1.9999999999999999E-6</v>
      </c>
      <c r="AB28" s="856">
        <f>SUM(Z28:AA28)</f>
        <v>133674421.42857344</v>
      </c>
      <c r="AC28" s="855" t="str">
        <f>Y28</f>
        <v>Ano 2</v>
      </c>
      <c r="AG28" s="855" t="s">
        <v>790</v>
      </c>
      <c r="AH28" s="856">
        <f>HLOOKUP(AG28,[11]Rel_Viab!$M$4:$O$7,3,FALSE)</f>
        <v>133674421.42857145</v>
      </c>
      <c r="AI28" s="855">
        <f>AI27+$S$27</f>
        <v>1.9999999999999999E-6</v>
      </c>
      <c r="AJ28" s="869">
        <f>SUM(AH28:AI28)</f>
        <v>133674421.42857344</v>
      </c>
      <c r="AK28" s="870" t="str">
        <f>AG28</f>
        <v>Ano 2</v>
      </c>
      <c r="AL28" s="870"/>
      <c r="AM28" s="870"/>
    </row>
    <row r="29" spans="3:39" ht="30" customHeight="1">
      <c r="O29" s="853"/>
      <c r="Q29" s="855" t="s">
        <v>791</v>
      </c>
      <c r="R29" s="856">
        <f>HLOOKUP(Q29,[11]Rel_Viab!$G$4:$I$5,2,FALSE)</f>
        <v>0</v>
      </c>
      <c r="S29" s="855">
        <f>S28+$S$27</f>
        <v>3.0000000000000001E-6</v>
      </c>
      <c r="T29" s="856">
        <f>SUM(R29:S29)</f>
        <v>3.0000000000000001E-6</v>
      </c>
      <c r="U29" s="855" t="str">
        <f>Q29</f>
        <v>Ano 3</v>
      </c>
      <c r="Y29" s="855" t="s">
        <v>791</v>
      </c>
      <c r="Z29" s="856">
        <f>HLOOKUP(Dash_Viab!Y29,[11]Rel_Viab!$M$4:$O$6,3,FALSE)</f>
        <v>5000</v>
      </c>
      <c r="AA29" s="855">
        <f>AA28+$S$27</f>
        <v>3.0000000000000001E-6</v>
      </c>
      <c r="AB29" s="856">
        <f>SUM(Z29:AA29)</f>
        <v>5000.0000030000001</v>
      </c>
      <c r="AC29" s="855" t="str">
        <f>Y29</f>
        <v>Ano 3</v>
      </c>
      <c r="AG29" s="855" t="s">
        <v>791</v>
      </c>
      <c r="AH29" s="856">
        <f>HLOOKUP(AG29,[11]Rel_Viab!$M$4:$O$7,3,FALSE)</f>
        <v>5000</v>
      </c>
      <c r="AI29" s="855">
        <f>AI28+$S$27</f>
        <v>3.0000000000000001E-6</v>
      </c>
      <c r="AJ29" s="869">
        <f>SUM(AH29:AI29)</f>
        <v>5000.0000030000001</v>
      </c>
      <c r="AK29" s="870" t="str">
        <f>AG29</f>
        <v>Ano 3</v>
      </c>
      <c r="AL29" s="870"/>
      <c r="AM29" s="870"/>
    </row>
    <row r="30" spans="3:39" ht="30" customHeight="1">
      <c r="O30" s="853"/>
      <c r="Q30" s="855" t="s">
        <v>797</v>
      </c>
      <c r="R30" s="856" t="e">
        <f>HLOOKUP(Q30,[11]Rel_Viab!$G$4:$I$5,2,FALSE)</f>
        <v>#N/A</v>
      </c>
      <c r="S30" s="855">
        <f>S29+$S$27</f>
        <v>3.9999999999999998E-6</v>
      </c>
      <c r="T30" s="856" t="e">
        <f>SUM(R30:S30)</f>
        <v>#N/A</v>
      </c>
      <c r="U30" s="855" t="str">
        <f>Q30</f>
        <v>Ano 4</v>
      </c>
      <c r="Y30" s="855" t="s">
        <v>797</v>
      </c>
      <c r="Z30" s="856" t="e">
        <f>HLOOKUP(Dash_Viab!Y30,[11]Rel_Viab!$M$4:$O$6,3,FALSE)</f>
        <v>#N/A</v>
      </c>
      <c r="AA30" s="855">
        <f>AA29+$S$27</f>
        <v>3.9999999999999998E-6</v>
      </c>
      <c r="AB30" s="856" t="e">
        <f>SUM(Z30:AA30)</f>
        <v>#N/A</v>
      </c>
      <c r="AC30" s="855" t="str">
        <f>Y30</f>
        <v>Ano 4</v>
      </c>
      <c r="AG30" s="855" t="s">
        <v>797</v>
      </c>
      <c r="AH30" s="856" t="e">
        <f>HLOOKUP(AG30,[11]Rel_Viab!$M$4:$O$7,3,FALSE)</f>
        <v>#N/A</v>
      </c>
      <c r="AI30" s="855">
        <f>AI29+$S$27</f>
        <v>3.9999999999999998E-6</v>
      </c>
      <c r="AJ30" s="869" t="e">
        <f>SUM(AH30:AI30)</f>
        <v>#N/A</v>
      </c>
      <c r="AK30" s="870" t="str">
        <f>AG30</f>
        <v>Ano 4</v>
      </c>
      <c r="AL30" s="870"/>
      <c r="AM30" s="870"/>
    </row>
    <row r="31" spans="3:39" ht="30" customHeight="1">
      <c r="O31" s="853"/>
      <c r="Q31" s="855" t="s">
        <v>798</v>
      </c>
      <c r="R31" s="856" t="e">
        <f>HLOOKUP(Q31,[11]Rel_Viab!$G$4:$I$5,2,FALSE)</f>
        <v>#N/A</v>
      </c>
      <c r="S31" s="855">
        <f>S30+$S$27</f>
        <v>4.9999999999999996E-6</v>
      </c>
      <c r="T31" s="856" t="e">
        <f>SUM(R31:S31)</f>
        <v>#N/A</v>
      </c>
      <c r="U31" s="855" t="str">
        <f>Q31</f>
        <v>Ano 5</v>
      </c>
      <c r="Y31" s="855" t="s">
        <v>798</v>
      </c>
      <c r="Z31" s="856" t="e">
        <f>HLOOKUP(Dash_Viab!Y31,[11]Rel_Viab!$M$4:$O$6,3,FALSE)</f>
        <v>#N/A</v>
      </c>
      <c r="AA31" s="855">
        <f>AA30+$S$27</f>
        <v>4.9999999999999996E-6</v>
      </c>
      <c r="AB31" s="856" t="e">
        <f>SUM(Z31:AA31)</f>
        <v>#N/A</v>
      </c>
      <c r="AC31" s="855" t="str">
        <f>Y31</f>
        <v>Ano 5</v>
      </c>
      <c r="AG31" s="855" t="s">
        <v>798</v>
      </c>
      <c r="AH31" s="856" t="e">
        <f>HLOOKUP(AG31,[11]Rel_Viab!$M$4:$O$7,3,FALSE)</f>
        <v>#N/A</v>
      </c>
      <c r="AI31" s="855">
        <f>AI30+$S$27</f>
        <v>4.9999999999999996E-6</v>
      </c>
      <c r="AJ31" s="869" t="e">
        <f>SUM(AH31:AI31)</f>
        <v>#N/A</v>
      </c>
      <c r="AK31" s="870" t="str">
        <f>AG31</f>
        <v>Ano 5</v>
      </c>
      <c r="AL31" s="870"/>
      <c r="AM31" s="870"/>
    </row>
    <row r="32" spans="3:39" ht="30" customHeight="1">
      <c r="O32" s="853"/>
    </row>
    <row r="33" spans="15:15" ht="30" customHeight="1">
      <c r="O33" s="853"/>
    </row>
    <row r="34" spans="15:15" ht="30" customHeight="1">
      <c r="O34" s="853"/>
    </row>
    <row r="35" spans="15:15" ht="30" customHeight="1">
      <c r="O35" s="853"/>
    </row>
    <row r="36" spans="15:15" ht="30" customHeight="1">
      <c r="O36" s="853"/>
    </row>
    <row r="37" spans="15:15" ht="30" customHeight="1">
      <c r="O37" s="853"/>
    </row>
    <row r="38" spans="15:15" ht="30" customHeight="1">
      <c r="O38" s="853"/>
    </row>
    <row r="39" spans="15:15" ht="30" customHeight="1">
      <c r="O39" s="853"/>
    </row>
    <row r="40" spans="15:15" ht="30" customHeight="1">
      <c r="O40" s="853"/>
    </row>
    <row r="41" spans="15:15" ht="30" customHeight="1">
      <c r="O41" s="853"/>
    </row>
    <row r="42" spans="15:15" ht="30" customHeight="1">
      <c r="O42" s="853"/>
    </row>
    <row r="43" spans="15:15" ht="30" customHeight="1">
      <c r="O43" s="853"/>
    </row>
    <row r="44" spans="15:15" ht="30" customHeight="1">
      <c r="O44" s="853"/>
    </row>
    <row r="45" spans="15:15" ht="30" customHeight="1">
      <c r="O45" s="853"/>
    </row>
    <row r="46" spans="15:15" ht="30" customHeight="1">
      <c r="O46" s="853"/>
    </row>
    <row r="47" spans="15:15" ht="30" customHeight="1">
      <c r="O47" s="853"/>
    </row>
    <row r="48" spans="15:15" ht="30" customHeight="1">
      <c r="O48" s="853"/>
    </row>
    <row r="49" spans="15:15" ht="30" customHeight="1">
      <c r="O49" s="853"/>
    </row>
    <row r="50" spans="15:15" ht="30" customHeight="1">
      <c r="O50" s="853"/>
    </row>
    <row r="51" spans="15:15" ht="30" customHeight="1">
      <c r="O51" s="853"/>
    </row>
    <row r="52" spans="15:15" ht="30" customHeight="1">
      <c r="O52" s="853"/>
    </row>
    <row r="53" spans="15:15" ht="30" customHeight="1">
      <c r="O53" s="853"/>
    </row>
    <row r="54" spans="15:15" ht="30" customHeight="1">
      <c r="O54" s="853"/>
    </row>
    <row r="55" spans="15:15" ht="30" customHeight="1">
      <c r="O55" s="853"/>
    </row>
    <row r="56" spans="15:15" ht="30" customHeight="1">
      <c r="O56" s="853"/>
    </row>
    <row r="57" spans="15:15" ht="30" customHeight="1">
      <c r="O57" s="853"/>
    </row>
    <row r="58" spans="15:15" ht="30" customHeight="1">
      <c r="O58" s="853"/>
    </row>
    <row r="59" spans="15:15" ht="30" customHeight="1">
      <c r="O59" s="853"/>
    </row>
    <row r="60" spans="15:15" ht="30" customHeight="1">
      <c r="O60" s="853"/>
    </row>
    <row r="61" spans="15:15" ht="30" customHeight="1">
      <c r="O61" s="853"/>
    </row>
    <row r="62" spans="15:15" ht="30" customHeight="1">
      <c r="O62" s="853"/>
    </row>
    <row r="63" spans="15:15" ht="30" customHeight="1">
      <c r="O63" s="853"/>
    </row>
    <row r="64" spans="15:15" ht="30" customHeight="1">
      <c r="O64" s="853"/>
    </row>
    <row r="65" spans="15:15" ht="30" customHeight="1">
      <c r="O65" s="853"/>
    </row>
    <row r="66" spans="15:15" ht="30" customHeight="1"/>
    <row r="67" spans="15:15" ht="30" customHeight="1"/>
    <row r="68" spans="15:15" ht="30" customHeight="1"/>
    <row r="69" spans="15:15" ht="30" customHeight="1"/>
    <row r="70" spans="15:15" ht="30" customHeight="1"/>
    <row r="71" spans="15:15" ht="30" customHeight="1"/>
    <row r="72" spans="15:15" ht="30" customHeight="1"/>
    <row r="73" spans="15:15" ht="30" customHeight="1"/>
    <row r="74" spans="15:15" ht="30" customHeight="1"/>
    <row r="75" spans="15:15" ht="30" customHeight="1"/>
    <row r="76" spans="15:15" ht="30" customHeight="1"/>
    <row r="77" spans="15:15" ht="30" customHeight="1"/>
    <row r="78" spans="15:15" ht="30" customHeight="1"/>
    <row r="79" spans="15:15" ht="30" customHeight="1"/>
    <row r="80" spans="15:15" ht="30" customHeight="1"/>
    <row r="81" ht="30" customHeight="1"/>
    <row r="82" ht="30" customHeight="1"/>
    <row r="83" ht="30" customHeight="1"/>
    <row r="84" ht="30" customHeight="1"/>
    <row r="85" ht="30" customHeight="1"/>
    <row r="86" ht="30" customHeight="1"/>
    <row r="87" ht="30" customHeight="1"/>
    <row r="88" ht="30" customHeight="1"/>
    <row r="89" ht="30" customHeight="1"/>
    <row r="90" ht="30" customHeight="1"/>
    <row r="91" ht="30" customHeight="1"/>
    <row r="92" ht="30" customHeight="1"/>
    <row r="93" ht="30" customHeight="1"/>
    <row r="94" ht="30" customHeight="1"/>
    <row r="95" ht="30" customHeight="1"/>
    <row r="96" ht="30" customHeight="1"/>
    <row r="97" ht="30" customHeight="1"/>
    <row r="98" ht="30" customHeight="1"/>
    <row r="99" ht="30" customHeight="1"/>
    <row r="100" ht="30" customHeight="1"/>
    <row r="101" ht="30" customHeight="1"/>
    <row r="102" ht="30" customHeight="1"/>
    <row r="103" ht="30" customHeight="1"/>
    <row r="104" ht="30" customHeight="1"/>
    <row r="105" ht="30" customHeight="1"/>
    <row r="106" ht="30" customHeight="1"/>
    <row r="107" ht="30" customHeight="1"/>
    <row r="108" ht="30" customHeight="1"/>
    <row r="109" ht="30" customHeight="1"/>
  </sheetData>
  <sheetProtection formatColumns="0" formatRows="0" insertColumns="0" insertRows="0" insertHyperlinks="0" deleteColumns="0" deleteRows="0" selectLockedCells="1" sort="0" autoFilter="0" pivotTables="0"/>
  <mergeCells count="10">
    <mergeCell ref="C11:D11"/>
    <mergeCell ref="C13:D13"/>
    <mergeCell ref="C14:D14"/>
    <mergeCell ref="C4:D4"/>
    <mergeCell ref="C5:D5"/>
    <mergeCell ref="F5:O8"/>
    <mergeCell ref="C7:D7"/>
    <mergeCell ref="C8:D8"/>
    <mergeCell ref="C10:D10"/>
    <mergeCell ref="F10:G10"/>
  </mergeCells>
  <conditionalFormatting sqref="C5:D5">
    <cfRule type="cellIs" dxfId="19" priority="1" operator="greaterThan">
      <formula>0</formula>
    </cfRule>
    <cfRule type="cellIs" dxfId="18" priority="2" operator="lessThanOrEqual">
      <formula>0</formula>
    </cfRule>
  </conditionalFormatting>
  <printOptions horizontalCentered="1" verticalCentered="1"/>
  <pageMargins left="0.70000000000000007" right="0.70000000000000007" top="0.75000000000000011" bottom="0.75000000000000011" header="0.30000000000000004" footer="0.30000000000000004"/>
  <pageSetup paperSize="9" scale="67" fitToHeight="0" orientation="landscape" r:id="rId1"/>
  <headerFooter>
    <oddFooter>&amp;L&amp;1#&amp;"Calibri"&amp;10&amp;K000000Internal Use Only</oddFooter>
  </headerFooter>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81EF4E-A544-4E94-A0E3-A743CBD1E5BF}">
  <sheetPr codeName="Planilha18">
    <pageSetUpPr fitToPage="1"/>
  </sheetPr>
  <dimension ref="C1:AX109"/>
  <sheetViews>
    <sheetView showGridLines="0" zoomScale="90" zoomScaleNormal="90" zoomScalePageLayoutView="80" workbookViewId="0">
      <pane ySplit="2" topLeftCell="A3" activePane="bottomLeft" state="frozen"/>
      <selection pane="bottomLeft"/>
    </sheetView>
  </sheetViews>
  <sheetFormatPr baseColWidth="10" defaultColWidth="12.33203125" defaultRowHeight="16"/>
  <cols>
    <col min="1" max="1" width="2.33203125" style="851" customWidth="1"/>
    <col min="2" max="2" width="1.5" style="851" customWidth="1"/>
    <col min="3" max="3" width="24" style="851" customWidth="1"/>
    <col min="4" max="4" width="22.1640625" style="851" customWidth="1"/>
    <col min="5" max="5" width="3.33203125" style="851" customWidth="1"/>
    <col min="6" max="6" width="24" style="851" customWidth="1"/>
    <col min="7" max="7" width="22.1640625" style="851" customWidth="1"/>
    <col min="8" max="8" width="3.33203125" style="851" customWidth="1"/>
    <col min="9" max="9" width="24" style="851" customWidth="1"/>
    <col min="10" max="10" width="22.1640625" style="851" customWidth="1"/>
    <col min="11" max="11" width="3.33203125" style="851" customWidth="1"/>
    <col min="12" max="12" width="24" style="851" customWidth="1"/>
    <col min="13" max="13" width="22.1640625" style="851" customWidth="1"/>
    <col min="14" max="15" width="12.33203125" style="853"/>
    <col min="16" max="18" width="15.1640625" style="853" bestFit="1" customWidth="1"/>
    <col min="19" max="20" width="16.6640625" style="853" bestFit="1" customWidth="1"/>
    <col min="21" max="50" width="12.33203125" style="853"/>
    <col min="51" max="16384" width="12.33203125" style="851"/>
  </cols>
  <sheetData>
    <row r="1" spans="3:50" s="838" customFormat="1" ht="39" customHeight="1">
      <c r="N1" s="840"/>
      <c r="O1" s="840"/>
      <c r="P1" s="840"/>
      <c r="Q1" s="840"/>
      <c r="R1" s="840"/>
      <c r="S1" s="840"/>
      <c r="T1" s="840"/>
      <c r="U1" s="840"/>
      <c r="V1" s="840"/>
      <c r="W1" s="840"/>
      <c r="X1" s="840"/>
      <c r="Y1" s="840"/>
      <c r="Z1" s="840"/>
      <c r="AA1" s="840"/>
      <c r="AB1" s="840"/>
      <c r="AC1" s="840"/>
      <c r="AD1" s="840"/>
      <c r="AE1" s="840"/>
      <c r="AF1" s="840"/>
      <c r="AG1" s="840"/>
      <c r="AH1" s="840"/>
      <c r="AI1" s="840"/>
      <c r="AJ1" s="840"/>
      <c r="AK1" s="840"/>
      <c r="AL1" s="840"/>
      <c r="AM1" s="840"/>
      <c r="AN1" s="840"/>
      <c r="AO1" s="840"/>
      <c r="AP1" s="840"/>
      <c r="AQ1" s="840"/>
      <c r="AR1" s="840"/>
      <c r="AS1" s="840"/>
      <c r="AT1" s="840"/>
      <c r="AU1" s="840"/>
      <c r="AV1" s="840"/>
      <c r="AW1" s="840"/>
      <c r="AX1" s="840"/>
    </row>
    <row r="2" spans="3:50" s="844" customFormat="1" ht="30" customHeight="1">
      <c r="N2" s="848"/>
      <c r="O2" s="848"/>
      <c r="P2" s="848"/>
      <c r="Q2" s="848"/>
      <c r="R2" s="848"/>
      <c r="S2" s="848"/>
      <c r="T2" s="848"/>
      <c r="U2" s="848"/>
      <c r="V2" s="848"/>
      <c r="W2" s="848"/>
      <c r="X2" s="848"/>
      <c r="Y2" s="848"/>
      <c r="Z2" s="848"/>
      <c r="AA2" s="848"/>
      <c r="AB2" s="848"/>
      <c r="AC2" s="848"/>
      <c r="AD2" s="848"/>
      <c r="AE2" s="848"/>
      <c r="AF2" s="848"/>
      <c r="AG2" s="848"/>
      <c r="AH2" s="848"/>
      <c r="AI2" s="848"/>
      <c r="AJ2" s="848"/>
      <c r="AK2" s="848"/>
      <c r="AL2" s="848"/>
      <c r="AM2" s="848"/>
      <c r="AN2" s="848"/>
      <c r="AO2" s="848"/>
      <c r="AP2" s="848"/>
      <c r="AQ2" s="848"/>
      <c r="AR2" s="848"/>
      <c r="AS2" s="848"/>
      <c r="AT2" s="848"/>
      <c r="AU2" s="848"/>
      <c r="AV2" s="848"/>
      <c r="AW2" s="848"/>
      <c r="AX2" s="848"/>
    </row>
    <row r="3" spans="3:50" ht="15" customHeight="1">
      <c r="O3" s="853" t="str">
        <f>LEFT([11]Rel_Mês!D6,1)</f>
        <v>J</v>
      </c>
      <c r="P3" s="853" t="str">
        <f>LEFT([11]Rel_Mês!E6,1)</f>
        <v>J</v>
      </c>
      <c r="Q3" s="853" t="str">
        <f>LEFT([11]Rel_Mês!F6,1)</f>
        <v>A</v>
      </c>
      <c r="R3" s="853" t="str">
        <f>LEFT([11]Rel_Mês!G6,1)</f>
        <v>S</v>
      </c>
      <c r="S3" s="853" t="str">
        <f>LEFT([11]Rel_Mês!H6,1)</f>
        <v>O</v>
      </c>
      <c r="T3" s="853" t="str">
        <f>LEFT([11]Rel_Mês!I6,1)</f>
        <v>N</v>
      </c>
      <c r="U3" s="853" t="str">
        <f>LEFT([11]Rel_Mês!J6,1)</f>
        <v>D</v>
      </c>
      <c r="V3" s="853" t="str">
        <f>LEFT([11]Rel_Mês!K6,1)</f>
        <v>J</v>
      </c>
      <c r="W3" s="853" t="str">
        <f>LEFT([11]Rel_Mês!L6,1)</f>
        <v>F</v>
      </c>
      <c r="X3" s="853" t="str">
        <f>LEFT([11]Rel_Mês!M6,1)</f>
        <v>M</v>
      </c>
      <c r="Y3" s="853" t="str">
        <f>LEFT([11]Rel_Mês!N6,1)</f>
        <v>A</v>
      </c>
      <c r="Z3" s="853" t="str">
        <f>LEFT([11]Rel_Mês!O6,1)</f>
        <v>M</v>
      </c>
      <c r="AA3" s="853" t="str">
        <f>LEFT([11]Rel_Mês!D6,1)</f>
        <v>J</v>
      </c>
      <c r="AB3" s="853" t="str">
        <f>LEFT([11]Rel_Mês!E6,1)</f>
        <v>J</v>
      </c>
      <c r="AC3" s="853" t="str">
        <f>LEFT([11]Rel_Mês!F6,1)</f>
        <v>A</v>
      </c>
      <c r="AD3" s="853" t="str">
        <f>LEFT([11]Rel_Mês!G6,1)</f>
        <v>S</v>
      </c>
      <c r="AE3" s="853" t="str">
        <f>LEFT([11]Rel_Mês!H6,1)</f>
        <v>O</v>
      </c>
      <c r="AF3" s="853" t="str">
        <f>LEFT([11]Rel_Mês!I6,1)</f>
        <v>N</v>
      </c>
      <c r="AG3" s="853" t="str">
        <f>LEFT([11]Rel_Mês!J6,1)</f>
        <v>D</v>
      </c>
      <c r="AH3" s="853" t="str">
        <f>LEFT([11]Rel_Mês!K6,1)</f>
        <v>J</v>
      </c>
      <c r="AI3" s="853" t="str">
        <f>LEFT([11]Rel_Mês!L6,1)</f>
        <v>F</v>
      </c>
      <c r="AJ3" s="853" t="str">
        <f>LEFT([11]Rel_Mês!M6,1)</f>
        <v>M</v>
      </c>
      <c r="AK3" s="853" t="str">
        <f>LEFT([11]Rel_Mês!N6,1)</f>
        <v>A</v>
      </c>
      <c r="AL3" s="853" t="str">
        <f>LEFT([11]Rel_Mês!O6,1)</f>
        <v>M</v>
      </c>
      <c r="AM3" s="853" t="str">
        <f>LEFT([11]Rel_Mês!D6,1)</f>
        <v>J</v>
      </c>
      <c r="AN3" s="853" t="str">
        <f>LEFT([11]Rel_Mês!E6,1)</f>
        <v>J</v>
      </c>
      <c r="AO3" s="853" t="str">
        <f>LEFT([11]Rel_Mês!F6,1)</f>
        <v>A</v>
      </c>
      <c r="AP3" s="853" t="str">
        <f>LEFT([11]Rel_Mês!G6,1)</f>
        <v>S</v>
      </c>
      <c r="AQ3" s="853" t="str">
        <f>LEFT([11]Rel_Mês!H6,1)</f>
        <v>O</v>
      </c>
      <c r="AR3" s="853" t="str">
        <f>LEFT([11]Rel_Mês!I6,1)</f>
        <v>N</v>
      </c>
      <c r="AS3" s="853" t="str">
        <f>LEFT([11]Rel_Mês!J6,1)</f>
        <v>D</v>
      </c>
      <c r="AT3" s="853" t="str">
        <f>LEFT([11]Rel_Mês!K6,1)</f>
        <v>J</v>
      </c>
      <c r="AU3" s="853" t="str">
        <f>LEFT([11]Rel_Mês!L6,1)</f>
        <v>F</v>
      </c>
      <c r="AV3" s="853" t="str">
        <f>LEFT([11]Rel_Mês!M6,1)</f>
        <v>M</v>
      </c>
      <c r="AW3" s="853" t="str">
        <f>LEFT([11]Rel_Mês!N6,1)</f>
        <v>A</v>
      </c>
      <c r="AX3" s="853" t="str">
        <f>LEFT([11]Rel_Mês!O6,1)</f>
        <v>M</v>
      </c>
    </row>
    <row r="4" spans="3:50" s="857" customFormat="1" ht="28.5" customHeight="1">
      <c r="C4" s="1206" t="s">
        <v>799</v>
      </c>
      <c r="D4" s="1206"/>
      <c r="F4" s="1206" t="s">
        <v>800</v>
      </c>
      <c r="G4" s="1206"/>
      <c r="I4" s="1206" t="s">
        <v>801</v>
      </c>
      <c r="J4" s="1206"/>
      <c r="L4" s="1206" t="s">
        <v>802</v>
      </c>
      <c r="M4" s="1206"/>
      <c r="N4" s="858"/>
      <c r="O4" s="858" t="str">
        <f>RIGHT([11]Rel_Mês!$C$7,1)</f>
        <v>1</v>
      </c>
      <c r="P4" s="858" t="str">
        <f>RIGHT([11]Rel_Mês!$C$7,1)</f>
        <v>1</v>
      </c>
      <c r="Q4" s="858" t="str">
        <f>RIGHT([11]Rel_Mês!$C$7,1)</f>
        <v>1</v>
      </c>
      <c r="R4" s="858" t="str">
        <f>RIGHT([11]Rel_Mês!$C$7,1)</f>
        <v>1</v>
      </c>
      <c r="S4" s="858" t="str">
        <f>RIGHT([11]Rel_Mês!$C$7,1)</f>
        <v>1</v>
      </c>
      <c r="T4" s="858" t="str">
        <f>RIGHT([11]Rel_Mês!$C$7,1)</f>
        <v>1</v>
      </c>
      <c r="U4" s="858" t="str">
        <f>RIGHT([11]Rel_Mês!$C$7,1)</f>
        <v>1</v>
      </c>
      <c r="V4" s="858" t="str">
        <f>RIGHT([11]Rel_Mês!$C$7,1)</f>
        <v>1</v>
      </c>
      <c r="W4" s="858" t="str">
        <f>RIGHT([11]Rel_Mês!$C$7,1)</f>
        <v>1</v>
      </c>
      <c r="X4" s="858" t="str">
        <f>RIGHT([11]Rel_Mês!$C$7,1)</f>
        <v>1</v>
      </c>
      <c r="Y4" s="858" t="str">
        <f>RIGHT([11]Rel_Mês!$C$7,1)</f>
        <v>1</v>
      </c>
      <c r="Z4" s="858" t="str">
        <f>RIGHT([11]Rel_Mês!$C$7,1)</f>
        <v>1</v>
      </c>
      <c r="AA4" s="858" t="str">
        <f>RIGHT([11]Rel_Mês!$C$10,1)</f>
        <v>2</v>
      </c>
      <c r="AB4" s="858" t="str">
        <f>RIGHT([11]Rel_Mês!$C$10,1)</f>
        <v>2</v>
      </c>
      <c r="AC4" s="858" t="str">
        <f>RIGHT([11]Rel_Mês!$C$10,1)</f>
        <v>2</v>
      </c>
      <c r="AD4" s="858" t="str">
        <f>RIGHT([11]Rel_Mês!$C$10,1)</f>
        <v>2</v>
      </c>
      <c r="AE4" s="858" t="str">
        <f>RIGHT([11]Rel_Mês!$C$10,1)</f>
        <v>2</v>
      </c>
      <c r="AF4" s="858" t="str">
        <f>RIGHT([11]Rel_Mês!$C$10,1)</f>
        <v>2</v>
      </c>
      <c r="AG4" s="858" t="str">
        <f>RIGHT([11]Rel_Mês!$C$10,1)</f>
        <v>2</v>
      </c>
      <c r="AH4" s="858" t="str">
        <f>RIGHT([11]Rel_Mês!$C$10,1)</f>
        <v>2</v>
      </c>
      <c r="AI4" s="858" t="str">
        <f>RIGHT([11]Rel_Mês!$C$10,1)</f>
        <v>2</v>
      </c>
      <c r="AJ4" s="858" t="str">
        <f>RIGHT([11]Rel_Mês!$C$10,1)</f>
        <v>2</v>
      </c>
      <c r="AK4" s="858" t="str">
        <f>RIGHT([11]Rel_Mês!$C$10,1)</f>
        <v>2</v>
      </c>
      <c r="AL4" s="858" t="str">
        <f>RIGHT([11]Rel_Mês!$C$10,1)</f>
        <v>2</v>
      </c>
      <c r="AM4" s="858" t="str">
        <f>RIGHT([11]Rel_Mês!$C$13,1)</f>
        <v>3</v>
      </c>
      <c r="AN4" s="858" t="str">
        <f>RIGHT([11]Rel_Mês!$C$13,1)</f>
        <v>3</v>
      </c>
      <c r="AO4" s="858" t="str">
        <f>RIGHT([11]Rel_Mês!$C$13,1)</f>
        <v>3</v>
      </c>
      <c r="AP4" s="858" t="str">
        <f>RIGHT([11]Rel_Mês!$C$13,1)</f>
        <v>3</v>
      </c>
      <c r="AQ4" s="858" t="str">
        <f>RIGHT([11]Rel_Mês!$C$13,1)</f>
        <v>3</v>
      </c>
      <c r="AR4" s="858" t="str">
        <f>RIGHT([11]Rel_Mês!$C$13,1)</f>
        <v>3</v>
      </c>
      <c r="AS4" s="858" t="str">
        <f>RIGHT([11]Rel_Mês!$C$13,1)</f>
        <v>3</v>
      </c>
      <c r="AT4" s="858" t="str">
        <f>RIGHT([11]Rel_Mês!$C$13,1)</f>
        <v>3</v>
      </c>
      <c r="AU4" s="858" t="str">
        <f>RIGHT([11]Rel_Mês!$C$13,1)</f>
        <v>3</v>
      </c>
      <c r="AV4" s="858" t="str">
        <f>RIGHT([11]Rel_Mês!$C$13,1)</f>
        <v>3</v>
      </c>
      <c r="AW4" s="858" t="str">
        <f>RIGHT([11]Rel_Mês!$C$13,1)</f>
        <v>3</v>
      </c>
      <c r="AX4" s="858" t="str">
        <f>RIGHT([11]Rel_Mês!$C$13,1)</f>
        <v>3</v>
      </c>
    </row>
    <row r="5" spans="3:50" s="865" customFormat="1" ht="56.25" customHeight="1">
      <c r="C5" s="1210">
        <f>[11]Rel_Mês!D4</f>
        <v>62655849.999999993</v>
      </c>
      <c r="D5" s="1210"/>
      <c r="E5" s="866"/>
      <c r="F5" s="1211">
        <f>[11]Rel_Mês!G4-18980625</f>
        <v>25219375</v>
      </c>
      <c r="G5" s="1211"/>
      <c r="I5" s="1209">
        <f>SMALL(O7:AX7,1)</f>
        <v>15205849.999999993</v>
      </c>
      <c r="J5" s="1209"/>
      <c r="L5" s="1212">
        <f>SUM([11]Rel_Mês!R6:R10)</f>
        <v>0</v>
      </c>
      <c r="M5" s="1212"/>
      <c r="N5" s="867"/>
      <c r="O5" s="867" t="str">
        <f>CONCATENATE(O3,"/",O4)</f>
        <v>J/1</v>
      </c>
      <c r="P5" s="867" t="str">
        <f t="shared" ref="P5:AX5" si="0">CONCATENATE(P3,"/",P4)</f>
        <v>J/1</v>
      </c>
      <c r="Q5" s="867" t="str">
        <f t="shared" si="0"/>
        <v>A/1</v>
      </c>
      <c r="R5" s="867" t="str">
        <f t="shared" si="0"/>
        <v>S/1</v>
      </c>
      <c r="S5" s="867" t="str">
        <f t="shared" si="0"/>
        <v>O/1</v>
      </c>
      <c r="T5" s="867" t="str">
        <f t="shared" si="0"/>
        <v>N/1</v>
      </c>
      <c r="U5" s="867" t="str">
        <f t="shared" si="0"/>
        <v>D/1</v>
      </c>
      <c r="V5" s="867" t="str">
        <f t="shared" si="0"/>
        <v>J/1</v>
      </c>
      <c r="W5" s="867" t="str">
        <f t="shared" si="0"/>
        <v>F/1</v>
      </c>
      <c r="X5" s="867" t="str">
        <f t="shared" si="0"/>
        <v>M/1</v>
      </c>
      <c r="Y5" s="867" t="str">
        <f t="shared" si="0"/>
        <v>A/1</v>
      </c>
      <c r="Z5" s="867" t="str">
        <f t="shared" si="0"/>
        <v>M/1</v>
      </c>
      <c r="AA5" s="867" t="str">
        <f t="shared" si="0"/>
        <v>J/2</v>
      </c>
      <c r="AB5" s="867" t="str">
        <f t="shared" si="0"/>
        <v>J/2</v>
      </c>
      <c r="AC5" s="867" t="str">
        <f t="shared" si="0"/>
        <v>A/2</v>
      </c>
      <c r="AD5" s="867" t="str">
        <f t="shared" si="0"/>
        <v>S/2</v>
      </c>
      <c r="AE5" s="867" t="str">
        <f t="shared" si="0"/>
        <v>O/2</v>
      </c>
      <c r="AF5" s="867" t="str">
        <f t="shared" si="0"/>
        <v>N/2</v>
      </c>
      <c r="AG5" s="867" t="str">
        <f t="shared" si="0"/>
        <v>D/2</v>
      </c>
      <c r="AH5" s="867" t="str">
        <f t="shared" si="0"/>
        <v>J/2</v>
      </c>
      <c r="AI5" s="867" t="str">
        <f t="shared" si="0"/>
        <v>F/2</v>
      </c>
      <c r="AJ5" s="867" t="str">
        <f t="shared" si="0"/>
        <v>M/2</v>
      </c>
      <c r="AK5" s="867" t="str">
        <f t="shared" si="0"/>
        <v>A/2</v>
      </c>
      <c r="AL5" s="867" t="str">
        <f t="shared" si="0"/>
        <v>M/2</v>
      </c>
      <c r="AM5" s="867" t="str">
        <f t="shared" si="0"/>
        <v>J/3</v>
      </c>
      <c r="AN5" s="867" t="str">
        <f t="shared" si="0"/>
        <v>J/3</v>
      </c>
      <c r="AO5" s="867" t="str">
        <f t="shared" si="0"/>
        <v>A/3</v>
      </c>
      <c r="AP5" s="867" t="str">
        <f t="shared" si="0"/>
        <v>S/3</v>
      </c>
      <c r="AQ5" s="867" t="str">
        <f t="shared" si="0"/>
        <v>O/3</v>
      </c>
      <c r="AR5" s="867" t="str">
        <f t="shared" si="0"/>
        <v>N/3</v>
      </c>
      <c r="AS5" s="867" t="str">
        <f t="shared" si="0"/>
        <v>D/3</v>
      </c>
      <c r="AT5" s="867" t="str">
        <f t="shared" si="0"/>
        <v>J/3</v>
      </c>
      <c r="AU5" s="867" t="str">
        <f t="shared" si="0"/>
        <v>F/3</v>
      </c>
      <c r="AV5" s="867" t="str">
        <f t="shared" si="0"/>
        <v>M/3</v>
      </c>
      <c r="AW5" s="867" t="str">
        <f t="shared" si="0"/>
        <v>A/3</v>
      </c>
      <c r="AX5" s="867" t="str">
        <f t="shared" si="0"/>
        <v>M/3</v>
      </c>
    </row>
    <row r="6" spans="3:50" s="865" customFormat="1" ht="7" customHeight="1">
      <c r="D6" s="866"/>
      <c r="E6" s="866"/>
      <c r="N6" s="867"/>
      <c r="O6" s="867"/>
      <c r="P6" s="867"/>
      <c r="Q6" s="855"/>
      <c r="R6" s="855"/>
      <c r="S6" s="855"/>
      <c r="T6" s="855"/>
      <c r="U6" s="855"/>
      <c r="V6" s="855"/>
      <c r="W6" s="855"/>
      <c r="X6" s="855"/>
      <c r="Y6" s="855"/>
      <c r="Z6" s="856"/>
      <c r="AA6" s="855"/>
      <c r="AB6" s="855"/>
      <c r="AC6" s="855"/>
      <c r="AD6" s="855"/>
      <c r="AE6" s="855"/>
      <c r="AF6" s="867"/>
      <c r="AG6" s="867"/>
      <c r="AH6" s="867"/>
      <c r="AI6" s="867"/>
      <c r="AJ6" s="867"/>
      <c r="AK6" s="867"/>
      <c r="AL6" s="867"/>
      <c r="AM6" s="867"/>
      <c r="AN6" s="867"/>
      <c r="AO6" s="867"/>
      <c r="AP6" s="867"/>
      <c r="AQ6" s="867"/>
      <c r="AR6" s="867"/>
      <c r="AS6" s="867"/>
      <c r="AT6" s="867"/>
      <c r="AU6" s="867"/>
      <c r="AV6" s="867"/>
      <c r="AW6" s="867"/>
      <c r="AX6" s="867"/>
    </row>
    <row r="7" spans="3:50" s="857" customFormat="1" ht="27.75" customHeight="1">
      <c r="C7" s="1206" t="s">
        <v>803</v>
      </c>
      <c r="D7" s="1206"/>
      <c r="I7" s="1206"/>
      <c r="J7" s="1206"/>
      <c r="N7" s="858"/>
      <c r="O7" s="858">
        <f>[11]Rel_Mês!D8</f>
        <v>15205849.999999993</v>
      </c>
      <c r="P7" s="858">
        <f>[11]Rel_Mês!E8</f>
        <v>15205849.999999993</v>
      </c>
      <c r="Q7" s="858">
        <f>[11]Rel_Mês!F8</f>
        <v>15205849.999999993</v>
      </c>
      <c r="R7" s="858">
        <f>[11]Rel_Mês!G8</f>
        <v>15205849.999999993</v>
      </c>
      <c r="S7" s="858">
        <f>[11]Rel_Mês!H8</f>
        <v>21358992.857142843</v>
      </c>
      <c r="T7" s="858">
        <f>[11]Rel_Mês!I8</f>
        <v>21358992.857142843</v>
      </c>
      <c r="U7" s="858">
        <f>[11]Rel_Mês!J8</f>
        <v>27512135.714285694</v>
      </c>
      <c r="V7" s="858">
        <f>[11]Rel_Mês!K8</f>
        <v>27512135.714285694</v>
      </c>
      <c r="W7" s="858">
        <f>[11]Rel_Mês!L8</f>
        <v>33665278.571428545</v>
      </c>
      <c r="X7" s="858">
        <f>[11]Rel_Mês!M8</f>
        <v>39818421.428571396</v>
      </c>
      <c r="Y7" s="858">
        <f>[11]Rel_Mês!N8</f>
        <v>39818421.428571396</v>
      </c>
      <c r="Z7" s="858">
        <f>[11]Rel_Mês!O8</f>
        <v>39818421.428571396</v>
      </c>
      <c r="AA7" s="858">
        <f>[11]Rel_Mês!D11</f>
        <v>24612571.428571396</v>
      </c>
      <c r="AB7" s="858">
        <f>[11]Rel_Mês!E11</f>
        <v>24612571.428571396</v>
      </c>
      <c r="AC7" s="858">
        <f>[11]Rel_Mês!F11</f>
        <v>30765714.285714246</v>
      </c>
      <c r="AD7" s="858">
        <f>[11]Rel_Mês!G11</f>
        <v>30765714.285714246</v>
      </c>
      <c r="AE7" s="858">
        <f>[11]Rel_Mês!H11</f>
        <v>43071999.999999955</v>
      </c>
      <c r="AF7" s="858">
        <f>[11]Rel_Mês!I11</f>
        <v>55378285.714285657</v>
      </c>
      <c r="AG7" s="858">
        <f>[11]Rel_Mês!J11</f>
        <v>73837714.285714209</v>
      </c>
      <c r="AH7" s="858">
        <f>[11]Rel_Mês!K11</f>
        <v>79990857.14285706</v>
      </c>
      <c r="AI7" s="858">
        <f>[11]Rel_Mês!L11</f>
        <v>79990857.14285706</v>
      </c>
      <c r="AJ7" s="858">
        <f>[11]Rel_Mês!M11</f>
        <v>79990857.14285706</v>
      </c>
      <c r="AK7" s="858">
        <f>[11]Rel_Mês!N11</f>
        <v>79990857.14285706</v>
      </c>
      <c r="AL7" s="858">
        <f>[11]Rel_Mês!O11</f>
        <v>86143999.999999911</v>
      </c>
      <c r="AM7" s="858">
        <f>[11]Rel_Mês!D14</f>
        <v>86138999.999999911</v>
      </c>
      <c r="AN7" s="858">
        <f>[11]Rel_Mês!E14</f>
        <v>86138999.999999911</v>
      </c>
      <c r="AO7" s="858">
        <f>[11]Rel_Mês!F14</f>
        <v>86138999.999999911</v>
      </c>
      <c r="AP7" s="858">
        <f>[11]Rel_Mês!G14</f>
        <v>86138999.999999911</v>
      </c>
      <c r="AQ7" s="858">
        <f>[11]Rel_Mês!H14</f>
        <v>86138999.999999911</v>
      </c>
      <c r="AR7" s="858">
        <f>[11]Rel_Mês!I14</f>
        <v>86138999.999999911</v>
      </c>
      <c r="AS7" s="858">
        <f>[11]Rel_Mês!J14</f>
        <v>86138999.999999911</v>
      </c>
      <c r="AT7" s="858">
        <f>[11]Rel_Mês!K14</f>
        <v>86138999.999999911</v>
      </c>
      <c r="AU7" s="858">
        <f>[11]Rel_Mês!L14</f>
        <v>86138999.999999911</v>
      </c>
      <c r="AV7" s="858">
        <f>[11]Rel_Mês!M14</f>
        <v>86138999.999999911</v>
      </c>
      <c r="AW7" s="858">
        <f>[11]Rel_Mês!N14</f>
        <v>86138999.999999911</v>
      </c>
      <c r="AX7" s="858">
        <f>[11]Rel_Mês!O14</f>
        <v>86138999.999999911</v>
      </c>
    </row>
    <row r="8" spans="3:50" s="865" customFormat="1" ht="32.25" customHeight="1">
      <c r="C8" s="851"/>
      <c r="D8" s="851"/>
      <c r="E8" s="851"/>
      <c r="F8" s="851"/>
      <c r="G8" s="851"/>
      <c r="I8" s="851"/>
      <c r="J8" s="851"/>
      <c r="K8" s="851"/>
      <c r="L8" s="851"/>
      <c r="M8" s="851"/>
      <c r="N8" s="867"/>
      <c r="O8" s="867"/>
      <c r="P8" s="867"/>
      <c r="Q8" s="867"/>
      <c r="R8" s="867"/>
      <c r="S8" s="867"/>
      <c r="T8" s="867"/>
      <c r="U8" s="867"/>
      <c r="V8" s="867"/>
      <c r="W8" s="867"/>
      <c r="X8" s="867"/>
      <c r="Y8" s="867"/>
      <c r="Z8" s="867"/>
      <c r="AA8" s="867"/>
      <c r="AB8" s="867"/>
      <c r="AC8" s="867"/>
      <c r="AD8" s="867"/>
      <c r="AE8" s="867"/>
      <c r="AF8" s="867"/>
      <c r="AG8" s="867"/>
      <c r="AH8" s="867"/>
      <c r="AI8" s="867"/>
      <c r="AJ8" s="867"/>
      <c r="AK8" s="867"/>
      <c r="AL8" s="867"/>
      <c r="AM8" s="867"/>
      <c r="AN8" s="867"/>
      <c r="AO8" s="867"/>
      <c r="AP8" s="867"/>
      <c r="AQ8" s="867"/>
      <c r="AR8" s="867"/>
      <c r="AS8" s="867"/>
      <c r="AT8" s="867"/>
      <c r="AU8" s="867"/>
      <c r="AV8" s="867"/>
      <c r="AW8" s="867"/>
      <c r="AX8" s="867"/>
    </row>
    <row r="9" spans="3:50" s="865" customFormat="1" ht="30.75" customHeight="1">
      <c r="C9" s="851"/>
      <c r="D9" s="851"/>
      <c r="E9" s="851"/>
      <c r="F9" s="851"/>
      <c r="G9" s="851"/>
      <c r="I9" s="851"/>
      <c r="J9" s="851"/>
      <c r="K9" s="851"/>
      <c r="L9" s="851"/>
      <c r="M9" s="851"/>
      <c r="N9" s="867"/>
      <c r="O9" s="867"/>
      <c r="P9" s="871"/>
      <c r="Q9" s="871"/>
      <c r="R9" s="871"/>
      <c r="S9" s="871"/>
      <c r="T9" s="871"/>
      <c r="U9" s="867"/>
      <c r="V9" s="867"/>
      <c r="W9" s="867"/>
      <c r="X9" s="867"/>
      <c r="Y9" s="867"/>
      <c r="Z9" s="867"/>
      <c r="AA9" s="867"/>
      <c r="AB9" s="867"/>
      <c r="AC9" s="867"/>
      <c r="AD9" s="867"/>
      <c r="AE9" s="867"/>
      <c r="AF9" s="867"/>
      <c r="AG9" s="867"/>
      <c r="AH9" s="867"/>
      <c r="AI9" s="867"/>
      <c r="AJ9" s="867"/>
      <c r="AK9" s="867"/>
      <c r="AL9" s="867"/>
      <c r="AM9" s="867"/>
      <c r="AN9" s="867"/>
      <c r="AO9" s="867"/>
      <c r="AP9" s="867"/>
      <c r="AQ9" s="867"/>
      <c r="AR9" s="867"/>
      <c r="AS9" s="867"/>
      <c r="AT9" s="867"/>
      <c r="AU9" s="867"/>
      <c r="AV9" s="867"/>
      <c r="AW9" s="867"/>
      <c r="AX9" s="867"/>
    </row>
    <row r="10" spans="3:50" s="857" customFormat="1" ht="30.75" customHeight="1">
      <c r="C10" s="851"/>
      <c r="D10" s="851"/>
      <c r="E10" s="851"/>
      <c r="F10" s="851"/>
      <c r="G10" s="851"/>
      <c r="I10" s="851"/>
      <c r="J10" s="851"/>
      <c r="K10" s="851"/>
      <c r="L10" s="851"/>
      <c r="M10" s="851"/>
      <c r="N10" s="858"/>
      <c r="O10" s="867"/>
      <c r="P10" s="871"/>
      <c r="Q10" s="871"/>
      <c r="R10" s="871"/>
      <c r="S10" s="871"/>
      <c r="T10" s="871"/>
      <c r="U10" s="858"/>
      <c r="V10" s="858"/>
      <c r="W10" s="858"/>
      <c r="X10" s="858"/>
      <c r="Y10" s="858"/>
      <c r="Z10" s="858"/>
      <c r="AA10" s="858"/>
      <c r="AB10" s="858"/>
      <c r="AC10" s="858"/>
      <c r="AD10" s="858"/>
      <c r="AE10" s="858"/>
      <c r="AF10" s="858"/>
      <c r="AG10" s="858"/>
      <c r="AH10" s="858"/>
      <c r="AI10" s="858"/>
      <c r="AJ10" s="858"/>
      <c r="AK10" s="858"/>
      <c r="AL10" s="858"/>
      <c r="AM10" s="858"/>
      <c r="AN10" s="858"/>
      <c r="AO10" s="858"/>
      <c r="AP10" s="858"/>
      <c r="AQ10" s="858"/>
      <c r="AR10" s="858"/>
      <c r="AS10" s="858"/>
      <c r="AT10" s="858"/>
      <c r="AU10" s="858"/>
      <c r="AV10" s="858"/>
      <c r="AW10" s="858"/>
      <c r="AX10" s="858"/>
    </row>
    <row r="11" spans="3:50" s="865" customFormat="1" ht="30.75" customHeight="1">
      <c r="C11" s="851"/>
      <c r="D11" s="851"/>
      <c r="E11" s="851"/>
      <c r="F11" s="851"/>
      <c r="G11" s="851"/>
      <c r="I11" s="851"/>
      <c r="J11" s="851"/>
      <c r="K11" s="851"/>
      <c r="L11" s="851"/>
      <c r="M11" s="851"/>
      <c r="N11" s="867"/>
      <c r="O11" s="867"/>
      <c r="P11" s="871"/>
      <c r="Q11" s="871"/>
      <c r="R11" s="871"/>
      <c r="S11" s="871"/>
      <c r="T11" s="871"/>
      <c r="U11" s="867"/>
      <c r="V11" s="867"/>
      <c r="W11" s="867"/>
      <c r="X11" s="867"/>
      <c r="Y11" s="867"/>
      <c r="Z11" s="867"/>
      <c r="AA11" s="867"/>
      <c r="AB11" s="867"/>
      <c r="AC11" s="867"/>
      <c r="AD11" s="867"/>
      <c r="AE11" s="867"/>
      <c r="AF11" s="867"/>
      <c r="AG11" s="867"/>
      <c r="AH11" s="867"/>
      <c r="AI11" s="867"/>
      <c r="AJ11" s="867"/>
      <c r="AK11" s="867"/>
      <c r="AL11" s="867"/>
      <c r="AM11" s="867"/>
      <c r="AN11" s="867"/>
      <c r="AO11" s="867"/>
      <c r="AP11" s="867"/>
      <c r="AQ11" s="867"/>
      <c r="AR11" s="867"/>
      <c r="AS11" s="867"/>
      <c r="AT11" s="867"/>
      <c r="AU11" s="867"/>
      <c r="AV11" s="867"/>
      <c r="AW11" s="867"/>
      <c r="AX11" s="867"/>
    </row>
    <row r="12" spans="3:50" s="865" customFormat="1" ht="30.75" customHeight="1">
      <c r="C12" s="851"/>
      <c r="D12" s="851"/>
      <c r="E12" s="851"/>
      <c r="F12" s="851"/>
      <c r="G12" s="851"/>
      <c r="I12" s="851"/>
      <c r="J12" s="851"/>
      <c r="K12" s="851"/>
      <c r="L12" s="851"/>
      <c r="M12" s="851"/>
      <c r="N12" s="867"/>
      <c r="O12" s="867"/>
      <c r="P12" s="867"/>
      <c r="Q12" s="867"/>
      <c r="R12" s="867"/>
      <c r="S12" s="867"/>
      <c r="T12" s="867"/>
      <c r="U12" s="867"/>
      <c r="V12" s="867"/>
      <c r="W12" s="867"/>
      <c r="X12" s="867"/>
      <c r="Y12" s="867"/>
      <c r="Z12" s="867"/>
      <c r="AA12" s="867"/>
      <c r="AB12" s="867"/>
      <c r="AC12" s="867"/>
      <c r="AD12" s="867"/>
      <c r="AE12" s="867"/>
      <c r="AF12" s="867"/>
      <c r="AG12" s="867"/>
      <c r="AH12" s="867"/>
      <c r="AI12" s="867"/>
      <c r="AJ12" s="867"/>
      <c r="AK12" s="867"/>
      <c r="AL12" s="867"/>
      <c r="AM12" s="867"/>
      <c r="AN12" s="867"/>
      <c r="AO12" s="867"/>
      <c r="AP12" s="867"/>
      <c r="AQ12" s="867"/>
      <c r="AR12" s="867"/>
      <c r="AS12" s="867"/>
      <c r="AT12" s="867"/>
      <c r="AU12" s="867"/>
      <c r="AV12" s="867"/>
      <c r="AW12" s="867"/>
      <c r="AX12" s="867"/>
    </row>
    <row r="13" spans="3:50" s="865" customFormat="1" ht="45" customHeight="1">
      <c r="C13" s="851"/>
      <c r="D13" s="851"/>
      <c r="E13" s="851"/>
      <c r="F13" s="851"/>
      <c r="G13" s="851"/>
      <c r="I13" s="851"/>
      <c r="J13" s="851"/>
      <c r="K13" s="851"/>
      <c r="L13" s="851"/>
      <c r="M13" s="851"/>
      <c r="N13" s="867"/>
      <c r="O13" s="867"/>
      <c r="P13" s="867"/>
      <c r="Q13" s="867"/>
      <c r="R13" s="867"/>
      <c r="S13" s="867"/>
      <c r="T13" s="867"/>
      <c r="U13" s="867"/>
      <c r="V13" s="867"/>
      <c r="W13" s="867"/>
      <c r="X13" s="867"/>
      <c r="Y13" s="867"/>
      <c r="Z13" s="867"/>
      <c r="AA13" s="867"/>
      <c r="AB13" s="867"/>
      <c r="AC13" s="867"/>
      <c r="AD13" s="867"/>
      <c r="AE13" s="867"/>
      <c r="AF13" s="867"/>
      <c r="AG13" s="867"/>
      <c r="AH13" s="867"/>
      <c r="AI13" s="867"/>
      <c r="AJ13" s="867"/>
      <c r="AK13" s="867"/>
      <c r="AL13" s="867"/>
      <c r="AM13" s="867"/>
      <c r="AN13" s="867"/>
      <c r="AO13" s="867"/>
      <c r="AP13" s="867"/>
      <c r="AQ13" s="867"/>
      <c r="AR13" s="867"/>
      <c r="AS13" s="867"/>
      <c r="AT13" s="867"/>
      <c r="AU13" s="867"/>
      <c r="AV13" s="867"/>
      <c r="AW13" s="867"/>
      <c r="AX13" s="867"/>
    </row>
    <row r="14" spans="3:50" s="865" customFormat="1" ht="30" customHeight="1">
      <c r="N14" s="867"/>
      <c r="O14" s="867"/>
      <c r="P14" s="867"/>
      <c r="Q14" s="867"/>
      <c r="R14" s="867"/>
      <c r="S14" s="867"/>
      <c r="T14" s="867"/>
      <c r="U14" s="867"/>
      <c r="V14" s="867"/>
      <c r="W14" s="867"/>
      <c r="X14" s="867"/>
      <c r="Y14" s="867"/>
      <c r="Z14" s="867"/>
      <c r="AA14" s="867"/>
      <c r="AB14" s="867"/>
      <c r="AC14" s="867"/>
      <c r="AD14" s="867"/>
      <c r="AE14" s="867"/>
      <c r="AF14" s="867"/>
      <c r="AG14" s="867"/>
      <c r="AH14" s="867"/>
      <c r="AI14" s="867"/>
      <c r="AJ14" s="867"/>
      <c r="AK14" s="867"/>
      <c r="AL14" s="867"/>
      <c r="AM14" s="867"/>
      <c r="AN14" s="867"/>
      <c r="AO14" s="867"/>
      <c r="AP14" s="867"/>
      <c r="AQ14" s="867"/>
      <c r="AR14" s="867"/>
      <c r="AS14" s="867"/>
      <c r="AT14" s="867"/>
      <c r="AU14" s="867"/>
      <c r="AV14" s="867"/>
      <c r="AW14" s="867"/>
      <c r="AX14" s="867"/>
    </row>
    <row r="15" spans="3:50" s="865" customFormat="1" ht="30" customHeight="1">
      <c r="N15" s="867"/>
      <c r="O15" s="867"/>
      <c r="P15" s="867"/>
      <c r="Q15" s="867"/>
      <c r="R15" s="867"/>
      <c r="S15" s="867"/>
      <c r="T15" s="867"/>
      <c r="U15" s="867"/>
      <c r="V15" s="867"/>
      <c r="W15" s="867"/>
      <c r="X15" s="867"/>
      <c r="Y15" s="867"/>
      <c r="Z15" s="867"/>
      <c r="AA15" s="867"/>
      <c r="AB15" s="867"/>
      <c r="AC15" s="867"/>
      <c r="AD15" s="867"/>
      <c r="AE15" s="867"/>
      <c r="AF15" s="867"/>
      <c r="AG15" s="867"/>
      <c r="AH15" s="867"/>
      <c r="AI15" s="867"/>
      <c r="AJ15" s="867"/>
      <c r="AK15" s="867"/>
      <c r="AL15" s="867"/>
      <c r="AM15" s="867"/>
      <c r="AN15" s="867"/>
      <c r="AO15" s="867"/>
      <c r="AP15" s="867"/>
      <c r="AQ15" s="867"/>
      <c r="AR15" s="867"/>
      <c r="AS15" s="867"/>
      <c r="AT15" s="867"/>
      <c r="AU15" s="867"/>
      <c r="AV15" s="867"/>
      <c r="AW15" s="867"/>
      <c r="AX15" s="867"/>
    </row>
    <row r="16" spans="3:50" s="865" customFormat="1" ht="30" customHeight="1">
      <c r="N16" s="867"/>
      <c r="O16" s="867"/>
      <c r="P16" s="867"/>
      <c r="Q16" s="867"/>
      <c r="R16" s="867"/>
      <c r="S16" s="867"/>
      <c r="T16" s="867"/>
      <c r="U16" s="867"/>
      <c r="V16" s="867"/>
      <c r="W16" s="867"/>
      <c r="X16" s="867"/>
      <c r="Y16" s="867"/>
      <c r="Z16" s="867"/>
      <c r="AA16" s="867"/>
      <c r="AB16" s="867"/>
      <c r="AC16" s="867"/>
      <c r="AD16" s="867"/>
      <c r="AE16" s="867"/>
      <c r="AF16" s="867"/>
      <c r="AG16" s="867"/>
      <c r="AH16" s="867"/>
      <c r="AI16" s="867"/>
      <c r="AJ16" s="867"/>
      <c r="AK16" s="867"/>
      <c r="AL16" s="867"/>
      <c r="AM16" s="867"/>
      <c r="AN16" s="867"/>
      <c r="AO16" s="867"/>
      <c r="AP16" s="867"/>
      <c r="AQ16" s="867"/>
      <c r="AR16" s="867"/>
      <c r="AS16" s="867"/>
      <c r="AT16" s="867"/>
      <c r="AU16" s="867"/>
      <c r="AV16" s="867"/>
      <c r="AW16" s="867"/>
      <c r="AX16" s="867"/>
    </row>
    <row r="17" spans="14:50" s="865" customFormat="1" ht="30" customHeight="1">
      <c r="N17" s="867"/>
      <c r="O17" s="867"/>
      <c r="P17" s="867"/>
      <c r="Q17" s="867"/>
      <c r="R17" s="867"/>
      <c r="S17" s="867"/>
      <c r="T17" s="867"/>
      <c r="U17" s="867"/>
      <c r="V17" s="867"/>
      <c r="W17" s="867"/>
      <c r="X17" s="867"/>
      <c r="Y17" s="867"/>
      <c r="Z17" s="867"/>
      <c r="AA17" s="867"/>
      <c r="AB17" s="867"/>
      <c r="AC17" s="867"/>
      <c r="AD17" s="867"/>
      <c r="AE17" s="867"/>
      <c r="AF17" s="867"/>
      <c r="AG17" s="867"/>
      <c r="AH17" s="867"/>
      <c r="AI17" s="867"/>
      <c r="AJ17" s="867"/>
      <c r="AK17" s="867"/>
      <c r="AL17" s="867"/>
      <c r="AM17" s="867"/>
      <c r="AN17" s="867"/>
      <c r="AO17" s="867"/>
      <c r="AP17" s="867"/>
      <c r="AQ17" s="867"/>
      <c r="AR17" s="867"/>
      <c r="AS17" s="867"/>
      <c r="AT17" s="867"/>
      <c r="AU17" s="867"/>
      <c r="AV17" s="867"/>
      <c r="AW17" s="867"/>
      <c r="AX17" s="867"/>
    </row>
    <row r="18" spans="14:50" s="865" customFormat="1" ht="30" customHeight="1">
      <c r="N18" s="867"/>
      <c r="O18" s="867"/>
      <c r="P18" s="867"/>
      <c r="Q18" s="867"/>
      <c r="R18" s="867"/>
      <c r="S18" s="867"/>
      <c r="T18" s="867"/>
      <c r="U18" s="867"/>
      <c r="V18" s="867"/>
      <c r="W18" s="867"/>
      <c r="X18" s="867"/>
      <c r="Y18" s="867"/>
      <c r="Z18" s="867"/>
      <c r="AA18" s="867"/>
      <c r="AB18" s="867"/>
      <c r="AC18" s="867"/>
      <c r="AD18" s="867"/>
      <c r="AE18" s="867"/>
      <c r="AF18" s="867"/>
      <c r="AG18" s="867"/>
      <c r="AH18" s="867"/>
      <c r="AI18" s="867"/>
      <c r="AJ18" s="867"/>
      <c r="AK18" s="867"/>
      <c r="AL18" s="867"/>
      <c r="AM18" s="867"/>
      <c r="AN18" s="867"/>
      <c r="AO18" s="867"/>
      <c r="AP18" s="867"/>
      <c r="AQ18" s="867"/>
      <c r="AR18" s="867"/>
      <c r="AS18" s="867"/>
      <c r="AT18" s="867"/>
      <c r="AU18" s="867"/>
      <c r="AV18" s="867"/>
      <c r="AW18" s="867"/>
      <c r="AX18" s="867"/>
    </row>
    <row r="19" spans="14:50" s="865" customFormat="1" ht="30" customHeight="1">
      <c r="N19" s="867"/>
      <c r="O19" s="867"/>
      <c r="P19" s="867"/>
      <c r="Q19" s="867"/>
      <c r="R19" s="867"/>
      <c r="S19" s="867"/>
      <c r="T19" s="867"/>
      <c r="U19" s="867"/>
      <c r="V19" s="867"/>
      <c r="W19" s="867"/>
      <c r="X19" s="867"/>
      <c r="Y19" s="867"/>
      <c r="Z19" s="867"/>
      <c r="AA19" s="867"/>
      <c r="AB19" s="867"/>
      <c r="AC19" s="867"/>
      <c r="AD19" s="867"/>
      <c r="AE19" s="867"/>
      <c r="AF19" s="867"/>
      <c r="AG19" s="867"/>
      <c r="AH19" s="867"/>
      <c r="AI19" s="867"/>
      <c r="AJ19" s="867"/>
      <c r="AK19" s="867"/>
      <c r="AL19" s="867"/>
      <c r="AM19" s="867"/>
      <c r="AN19" s="867"/>
      <c r="AO19" s="867"/>
      <c r="AP19" s="867"/>
      <c r="AQ19" s="867"/>
      <c r="AR19" s="867"/>
      <c r="AS19" s="867"/>
      <c r="AT19" s="867"/>
      <c r="AU19" s="867"/>
      <c r="AV19" s="867"/>
      <c r="AW19" s="867"/>
      <c r="AX19" s="867"/>
    </row>
    <row r="20" spans="14:50" ht="30" customHeight="1"/>
    <row r="21" spans="14:50" ht="30" customHeight="1"/>
    <row r="22" spans="14:50" ht="30" customHeight="1"/>
    <row r="23" spans="14:50" ht="30" customHeight="1"/>
    <row r="24" spans="14:50" ht="30" customHeight="1"/>
    <row r="25" spans="14:50" ht="30" customHeight="1"/>
    <row r="26" spans="14:50" ht="30" customHeight="1"/>
    <row r="27" spans="14:50" ht="30" customHeight="1"/>
    <row r="28" spans="14:50" ht="30" customHeight="1"/>
    <row r="29" spans="14:50" ht="30" customHeight="1"/>
    <row r="30" spans="14:50" ht="30" customHeight="1"/>
    <row r="31" spans="14:50" ht="30" customHeight="1"/>
    <row r="32" spans="14:50" ht="30" customHeight="1"/>
    <row r="33" ht="30" customHeight="1"/>
    <row r="34" ht="30" customHeight="1"/>
    <row r="35" ht="30" customHeight="1"/>
    <row r="36" ht="30" customHeight="1"/>
    <row r="37" ht="30" customHeight="1"/>
    <row r="38" ht="30" customHeight="1"/>
    <row r="39" ht="30" customHeight="1"/>
    <row r="40" ht="30" customHeight="1"/>
    <row r="41" ht="30" customHeight="1"/>
    <row r="42" ht="30" customHeight="1"/>
    <row r="43" ht="30" customHeight="1"/>
    <row r="44" ht="30" customHeight="1"/>
    <row r="45" ht="30" customHeight="1"/>
    <row r="46" ht="30" customHeight="1"/>
    <row r="47" ht="30" customHeight="1"/>
    <row r="48" ht="30" customHeight="1"/>
    <row r="49" ht="30" customHeight="1"/>
    <row r="50" ht="30" customHeight="1"/>
    <row r="51" ht="30" customHeight="1"/>
    <row r="52" ht="30" customHeight="1"/>
    <row r="53" ht="30" customHeight="1"/>
    <row r="54" ht="30" customHeight="1"/>
    <row r="55" ht="30" customHeight="1"/>
    <row r="56" ht="30" customHeight="1"/>
    <row r="57" ht="30" customHeight="1"/>
    <row r="58" ht="30" customHeight="1"/>
    <row r="59" ht="30" customHeight="1"/>
    <row r="60" ht="30" customHeight="1"/>
    <row r="61" ht="30" customHeight="1"/>
    <row r="62" ht="30" customHeight="1"/>
    <row r="63" ht="30" customHeight="1"/>
    <row r="64" ht="30" customHeight="1"/>
    <row r="65" ht="30" customHeight="1"/>
    <row r="66" ht="30" customHeight="1"/>
    <row r="67" ht="30" customHeight="1"/>
    <row r="68" ht="30" customHeight="1"/>
    <row r="69" ht="30" customHeight="1"/>
    <row r="70" ht="30" customHeight="1"/>
    <row r="71" ht="30" customHeight="1"/>
    <row r="72" ht="30" customHeight="1"/>
    <row r="73" ht="30" customHeight="1"/>
    <row r="74" ht="30" customHeight="1"/>
    <row r="75" ht="30" customHeight="1"/>
    <row r="76" ht="30" customHeight="1"/>
    <row r="77" ht="30" customHeight="1"/>
    <row r="78" ht="30" customHeight="1"/>
    <row r="79" ht="30" customHeight="1"/>
    <row r="80" ht="30" customHeight="1"/>
    <row r="81" ht="30" customHeight="1"/>
    <row r="82" ht="30" customHeight="1"/>
    <row r="83" ht="30" customHeight="1"/>
    <row r="84" ht="30" customHeight="1"/>
    <row r="85" ht="30" customHeight="1"/>
    <row r="86" ht="30" customHeight="1"/>
    <row r="87" ht="30" customHeight="1"/>
    <row r="88" ht="30" customHeight="1"/>
    <row r="89" ht="30" customHeight="1"/>
    <row r="90" ht="30" customHeight="1"/>
    <row r="91" ht="30" customHeight="1"/>
    <row r="92" ht="30" customHeight="1"/>
    <row r="93" ht="30" customHeight="1"/>
    <row r="94" ht="30" customHeight="1"/>
    <row r="95" ht="30" customHeight="1"/>
    <row r="96" ht="30" customHeight="1"/>
    <row r="97" ht="30" customHeight="1"/>
    <row r="98" ht="30" customHeight="1"/>
    <row r="99" ht="30" customHeight="1"/>
    <row r="100" ht="30" customHeight="1"/>
    <row r="101" ht="30" customHeight="1"/>
    <row r="102" ht="30" customHeight="1"/>
    <row r="103" ht="30" customHeight="1"/>
    <row r="104" ht="30" customHeight="1"/>
    <row r="105" ht="30" customHeight="1"/>
    <row r="106" ht="30" customHeight="1"/>
    <row r="107" ht="30" customHeight="1"/>
    <row r="108" ht="30" customHeight="1"/>
    <row r="109" ht="30" customHeight="1"/>
  </sheetData>
  <sheetProtection formatColumns="0" formatRows="0" insertColumns="0" insertRows="0" insertHyperlinks="0" deleteColumns="0" deleteRows="0" selectLockedCells="1" sort="0" autoFilter="0" pivotTables="0"/>
  <mergeCells count="10">
    <mergeCell ref="C7:D7"/>
    <mergeCell ref="I7:J7"/>
    <mergeCell ref="C4:D4"/>
    <mergeCell ref="F4:G4"/>
    <mergeCell ref="I4:J4"/>
    <mergeCell ref="L4:M4"/>
    <mergeCell ref="C5:D5"/>
    <mergeCell ref="F5:G5"/>
    <mergeCell ref="I5:J5"/>
    <mergeCell ref="L5:M5"/>
  </mergeCells>
  <conditionalFormatting sqref="I5:J5">
    <cfRule type="cellIs" dxfId="17" priority="3" operator="greaterThan">
      <formula>0</formula>
    </cfRule>
    <cfRule type="cellIs" dxfId="16" priority="4" operator="lessThanOrEqual">
      <formula>0</formula>
    </cfRule>
  </conditionalFormatting>
  <conditionalFormatting sqref="L5:M5">
    <cfRule type="cellIs" dxfId="15" priority="1" operator="equal">
      <formula>0</formula>
    </cfRule>
    <cfRule type="cellIs" dxfId="14" priority="2" operator="greaterThan">
      <formula>0</formula>
    </cfRule>
  </conditionalFormatting>
  <pageMargins left="0.7" right="0.7" top="0.75" bottom="0.75" header="0.3" footer="0.3"/>
  <pageSetup paperSize="9" scale="67" fitToHeight="0" orientation="landscape" r:id="rId1"/>
  <headerFooter>
    <oddFooter>&amp;L&amp;1#&amp;"Calibri"&amp;10&amp;K000000Internal Use Only</oddFooter>
  </headerFooter>
  <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59035-2D43-4474-BF41-A0EE3B3D3C47}">
  <sheetPr codeName="Planilha19">
    <pageSetUpPr fitToPage="1"/>
  </sheetPr>
  <dimension ref="C1:CK109"/>
  <sheetViews>
    <sheetView showGridLines="0" zoomScale="90" zoomScaleNormal="90" zoomScalePageLayoutView="80" workbookViewId="0">
      <pane ySplit="2" topLeftCell="A3" activePane="bottomLeft" state="frozen"/>
      <selection pane="bottomLeft"/>
    </sheetView>
  </sheetViews>
  <sheetFormatPr baseColWidth="10" defaultColWidth="12.33203125" defaultRowHeight="16"/>
  <cols>
    <col min="1" max="1" width="2.33203125" style="851" customWidth="1"/>
    <col min="2" max="2" width="1.5" style="851" customWidth="1"/>
    <col min="3" max="4" width="23.33203125" style="851" customWidth="1"/>
    <col min="5" max="5" width="3.33203125" style="851" customWidth="1"/>
    <col min="6" max="7" width="23.33203125" style="851" customWidth="1"/>
    <col min="8" max="8" width="3.33203125" style="851" customWidth="1"/>
    <col min="9" max="10" width="23.33203125" style="851" customWidth="1"/>
    <col min="11" max="11" width="3.33203125" style="851" customWidth="1"/>
    <col min="12" max="13" width="23.33203125" style="851" customWidth="1"/>
    <col min="14" max="16" width="12.33203125" style="853"/>
    <col min="17" max="17" width="12.33203125" style="853" bestFit="1" customWidth="1"/>
    <col min="18" max="18" width="18" style="855" customWidth="1"/>
    <col min="19" max="20" width="12.33203125" style="855"/>
    <col min="21" max="21" width="12.33203125" style="855" bestFit="1" customWidth="1"/>
    <col min="22" max="22" width="16.6640625" style="855" customWidth="1"/>
    <col min="23" max="32" width="16.6640625" style="853" customWidth="1"/>
    <col min="33" max="33" width="21" style="853" customWidth="1"/>
    <col min="34" max="35" width="16.6640625" style="876" customWidth="1"/>
    <col min="36" max="36" width="16.6640625" style="876" bestFit="1" customWidth="1"/>
    <col min="37" max="37" width="12.5" style="876" bestFit="1" customWidth="1"/>
    <col min="38" max="38" width="12.33203125" style="876"/>
    <col min="39" max="39" width="12.5" style="876" bestFit="1" customWidth="1"/>
    <col min="40" max="41" width="12.33203125" style="876"/>
    <col min="42" max="42" width="12.5" style="876" bestFit="1" customWidth="1"/>
    <col min="43" max="43" width="12.33203125" style="876"/>
    <col min="44" max="44" width="16.83203125" style="876" bestFit="1" customWidth="1"/>
    <col min="45" max="45" width="12.33203125" style="876"/>
    <col min="46" max="46" width="12.5" style="876" bestFit="1" customWidth="1"/>
    <col min="47" max="47" width="12.33203125" style="876"/>
    <col min="48" max="48" width="18" style="876" bestFit="1" customWidth="1"/>
    <col min="49" max="50" width="12.33203125" style="876"/>
    <col min="51" max="51" width="25.5" style="876" bestFit="1" customWidth="1"/>
    <col min="52" max="52" width="12.83203125" style="877" bestFit="1" customWidth="1"/>
    <col min="53" max="54" width="12.6640625" style="877" customWidth="1"/>
    <col min="55" max="55" width="14.1640625" style="877" bestFit="1" customWidth="1"/>
    <col min="56" max="57" width="13.83203125" style="877" customWidth="1"/>
    <col min="58" max="58" width="14" style="877" bestFit="1" customWidth="1"/>
    <col min="59" max="60" width="13.6640625" style="877" customWidth="1"/>
    <col min="61" max="61" width="12.6640625" style="877" bestFit="1" customWidth="1"/>
    <col min="62" max="63" width="12.33203125" style="877" customWidth="1"/>
    <col min="64" max="64" width="12.6640625" style="877" bestFit="1" customWidth="1"/>
    <col min="65" max="66" width="12.33203125" style="877" customWidth="1"/>
    <col min="67" max="67" width="12.5" style="877" bestFit="1" customWidth="1"/>
    <col min="68" max="72" width="12.33203125" style="876"/>
    <col min="73" max="73" width="12.5" style="876" bestFit="1" customWidth="1"/>
    <col min="74" max="74" width="12.33203125" style="876"/>
    <col min="75" max="75" width="13.83203125" style="876" bestFit="1" customWidth="1"/>
    <col min="76" max="76" width="12.33203125" style="876"/>
    <col min="77" max="77" width="18.83203125" style="876" customWidth="1"/>
    <col min="78" max="79" width="18.83203125" style="853" customWidth="1"/>
    <col min="80" max="89" width="12.33203125" style="853"/>
    <col min="90" max="16384" width="12.33203125" style="851"/>
  </cols>
  <sheetData>
    <row r="1" spans="3:89" s="838" customFormat="1" ht="39" customHeight="1">
      <c r="N1" s="840"/>
      <c r="O1" s="840"/>
      <c r="P1" s="840"/>
      <c r="Q1" s="840"/>
      <c r="R1" s="842"/>
      <c r="S1" s="842"/>
      <c r="T1" s="842"/>
      <c r="U1" s="842"/>
      <c r="V1" s="842"/>
      <c r="W1" s="840"/>
      <c r="X1" s="840"/>
      <c r="Y1" s="840"/>
      <c r="Z1" s="840"/>
      <c r="AA1" s="840"/>
      <c r="AB1" s="840"/>
      <c r="AC1" s="840"/>
      <c r="AD1" s="840"/>
      <c r="AE1" s="840"/>
      <c r="AF1" s="840"/>
      <c r="AG1" s="840"/>
      <c r="AH1" s="872"/>
      <c r="AI1" s="872"/>
      <c r="AJ1" s="872"/>
      <c r="AK1" s="872"/>
      <c r="AL1" s="872"/>
      <c r="AM1" s="872"/>
      <c r="AN1" s="872"/>
      <c r="AO1" s="872"/>
      <c r="AP1" s="872"/>
      <c r="AQ1" s="872"/>
      <c r="AR1" s="872"/>
      <c r="AS1" s="872"/>
      <c r="AT1" s="872"/>
      <c r="AU1" s="872"/>
      <c r="AV1" s="872"/>
      <c r="AW1" s="872"/>
      <c r="AX1" s="872"/>
      <c r="AY1" s="872"/>
      <c r="AZ1" s="873"/>
      <c r="BA1" s="873"/>
      <c r="BB1" s="873"/>
      <c r="BC1" s="873"/>
      <c r="BD1" s="873"/>
      <c r="BE1" s="873"/>
      <c r="BF1" s="873"/>
      <c r="BG1" s="873"/>
      <c r="BH1" s="873"/>
      <c r="BI1" s="873"/>
      <c r="BJ1" s="873"/>
      <c r="BK1" s="873"/>
      <c r="BL1" s="873"/>
      <c r="BM1" s="873"/>
      <c r="BN1" s="873"/>
      <c r="BO1" s="873"/>
      <c r="BP1" s="872"/>
      <c r="BQ1" s="872"/>
      <c r="BR1" s="872"/>
      <c r="BS1" s="872"/>
      <c r="BT1" s="872"/>
      <c r="BU1" s="872"/>
      <c r="BV1" s="872"/>
      <c r="BW1" s="872"/>
      <c r="BX1" s="872"/>
      <c r="BY1" s="872"/>
      <c r="BZ1" s="840"/>
      <c r="CA1" s="840"/>
      <c r="CB1" s="840"/>
      <c r="CC1" s="840"/>
      <c r="CD1" s="840"/>
      <c r="CE1" s="840"/>
      <c r="CF1" s="840"/>
      <c r="CG1" s="840"/>
      <c r="CH1" s="840"/>
      <c r="CI1" s="840"/>
      <c r="CJ1" s="840"/>
      <c r="CK1" s="840"/>
    </row>
    <row r="2" spans="3:89" s="844" customFormat="1" ht="30" customHeight="1">
      <c r="N2" s="848"/>
      <c r="O2" s="848"/>
      <c r="P2" s="848"/>
      <c r="Q2" s="848"/>
      <c r="R2" s="849"/>
      <c r="S2" s="849"/>
      <c r="T2" s="849"/>
      <c r="U2" s="849"/>
      <c r="V2" s="849"/>
      <c r="W2" s="848"/>
      <c r="X2" s="848"/>
      <c r="Y2" s="848"/>
      <c r="Z2" s="848"/>
      <c r="AA2" s="848"/>
      <c r="AB2" s="848"/>
      <c r="AC2" s="848"/>
      <c r="AD2" s="848"/>
      <c r="AE2" s="848"/>
      <c r="AF2" s="848"/>
      <c r="AG2" s="848"/>
      <c r="AH2" s="874"/>
      <c r="AI2" s="874"/>
      <c r="AJ2" s="874"/>
      <c r="AK2" s="874"/>
      <c r="AL2" s="874"/>
      <c r="AM2" s="874"/>
      <c r="AN2" s="874"/>
      <c r="AO2" s="874"/>
      <c r="AP2" s="874"/>
      <c r="AQ2" s="874"/>
      <c r="AR2" s="874"/>
      <c r="AS2" s="874"/>
      <c r="AT2" s="874"/>
      <c r="AU2" s="874"/>
      <c r="AV2" s="874"/>
      <c r="AW2" s="874"/>
      <c r="AX2" s="874"/>
      <c r="AY2" s="874"/>
      <c r="AZ2" s="875"/>
      <c r="BA2" s="875"/>
      <c r="BB2" s="875"/>
      <c r="BC2" s="875"/>
      <c r="BD2" s="875"/>
      <c r="BE2" s="875"/>
      <c r="BF2" s="875"/>
      <c r="BG2" s="875"/>
      <c r="BH2" s="875"/>
      <c r="BI2" s="875"/>
      <c r="BJ2" s="875"/>
      <c r="BK2" s="875"/>
      <c r="BL2" s="875"/>
      <c r="BM2" s="875"/>
      <c r="BN2" s="875"/>
      <c r="BO2" s="875"/>
      <c r="BP2" s="874"/>
      <c r="BQ2" s="874"/>
      <c r="BR2" s="874"/>
      <c r="BS2" s="874"/>
      <c r="BT2" s="874"/>
      <c r="BU2" s="874"/>
      <c r="BV2" s="874"/>
      <c r="BW2" s="874"/>
      <c r="BX2" s="874"/>
      <c r="BY2" s="874"/>
      <c r="BZ2" s="848"/>
      <c r="CA2" s="848"/>
      <c r="CB2" s="848"/>
      <c r="CC2" s="848"/>
      <c r="CD2" s="848"/>
      <c r="CE2" s="848"/>
      <c r="CF2" s="848"/>
      <c r="CG2" s="848"/>
      <c r="CH2" s="848"/>
      <c r="CI2" s="848"/>
      <c r="CJ2" s="848"/>
      <c r="CK2" s="848"/>
    </row>
    <row r="3" spans="3:89" ht="7.5" customHeight="1"/>
    <row r="4" spans="3:89" s="878" customFormat="1" ht="38" customHeight="1">
      <c r="C4" s="879"/>
      <c r="D4" s="879"/>
      <c r="E4" s="879"/>
      <c r="F4" s="879"/>
      <c r="G4" s="879"/>
      <c r="H4" s="879"/>
      <c r="I4" s="879"/>
      <c r="J4" s="879"/>
      <c r="K4" s="879"/>
      <c r="L4" s="879"/>
      <c r="M4" s="879"/>
      <c r="N4" s="858"/>
      <c r="O4" s="858"/>
      <c r="P4" s="858"/>
      <c r="Q4" s="863">
        <v>1</v>
      </c>
      <c r="R4" s="863" t="s">
        <v>789</v>
      </c>
      <c r="S4" s="858"/>
      <c r="T4" s="863" t="s">
        <v>804</v>
      </c>
      <c r="U4" s="858"/>
      <c r="V4" s="863" t="str">
        <f>VLOOKUP([11]Aux1!C2,Q4:R8,2,FALSE)</f>
        <v>Ano 3</v>
      </c>
      <c r="W4" s="858"/>
      <c r="X4" s="858"/>
      <c r="Y4" s="858"/>
      <c r="Z4" s="858"/>
      <c r="AA4" s="858"/>
      <c r="AB4" s="858"/>
      <c r="AC4" s="858"/>
      <c r="AD4" s="858"/>
      <c r="AE4" s="858"/>
      <c r="AF4" s="858"/>
      <c r="AG4" s="858"/>
      <c r="AH4" s="880"/>
      <c r="AI4" s="880"/>
      <c r="AJ4" s="880"/>
      <c r="AK4" s="880"/>
      <c r="AL4" s="880"/>
      <c r="AM4" s="880"/>
      <c r="AN4" s="880"/>
      <c r="AO4" s="880"/>
      <c r="AP4" s="880"/>
      <c r="AQ4" s="880"/>
      <c r="AR4" s="880"/>
      <c r="AS4" s="880"/>
      <c r="AT4" s="880"/>
      <c r="AU4" s="880"/>
      <c r="AV4" s="880"/>
      <c r="AW4" s="880"/>
      <c r="AX4" s="880"/>
      <c r="AY4" s="880"/>
      <c r="AZ4" s="881"/>
      <c r="BA4" s="881"/>
      <c r="BB4" s="881"/>
      <c r="BC4" s="881"/>
      <c r="BD4" s="881"/>
      <c r="BE4" s="881"/>
      <c r="BF4" s="881"/>
      <c r="BG4" s="881"/>
      <c r="BH4" s="881"/>
      <c r="BI4" s="881"/>
      <c r="BJ4" s="881"/>
      <c r="BK4" s="881"/>
      <c r="BL4" s="881"/>
      <c r="BM4" s="881"/>
      <c r="BN4" s="881"/>
      <c r="BO4" s="881"/>
      <c r="BP4" s="880"/>
      <c r="BQ4" s="880"/>
      <c r="BR4" s="880"/>
      <c r="BS4" s="880"/>
      <c r="BT4" s="880"/>
      <c r="BU4" s="880"/>
      <c r="BV4" s="880"/>
      <c r="BW4" s="880"/>
      <c r="BX4" s="880"/>
      <c r="BY4" s="880"/>
      <c r="BZ4" s="858"/>
      <c r="CA4" s="858"/>
      <c r="CB4" s="858"/>
      <c r="CC4" s="858"/>
      <c r="CD4" s="858"/>
      <c r="CE4" s="858"/>
      <c r="CF4" s="858"/>
      <c r="CG4" s="858"/>
      <c r="CH4" s="858"/>
      <c r="CI4" s="858"/>
      <c r="CJ4" s="858"/>
      <c r="CK4" s="858"/>
    </row>
    <row r="5" spans="3:89" s="865" customFormat="1" ht="6" customHeight="1">
      <c r="N5" s="867"/>
      <c r="O5" s="867"/>
      <c r="P5" s="867"/>
      <c r="Q5" s="855">
        <v>2</v>
      </c>
      <c r="R5" s="863" t="s">
        <v>790</v>
      </c>
      <c r="S5" s="867"/>
      <c r="T5" s="855"/>
      <c r="U5" s="855"/>
      <c r="V5" s="855"/>
      <c r="W5" s="867"/>
      <c r="X5" s="867"/>
      <c r="Y5" s="867"/>
      <c r="Z5" s="867"/>
      <c r="AA5" s="867"/>
      <c r="AB5" s="867"/>
      <c r="AC5" s="867"/>
      <c r="AD5" s="867"/>
      <c r="AE5" s="867"/>
      <c r="AF5" s="867"/>
      <c r="AG5" s="867"/>
      <c r="AH5" s="882"/>
      <c r="AI5" s="882"/>
      <c r="AJ5" s="882"/>
      <c r="AK5" s="882"/>
      <c r="AL5" s="882"/>
      <c r="AM5" s="882"/>
      <c r="AN5" s="882"/>
      <c r="AO5" s="882"/>
      <c r="AP5" s="882"/>
      <c r="AQ5" s="882"/>
      <c r="AR5" s="882"/>
      <c r="AS5" s="882"/>
      <c r="AT5" s="882"/>
      <c r="AU5" s="882"/>
      <c r="AV5" s="882"/>
      <c r="AW5" s="882"/>
      <c r="AX5" s="882"/>
      <c r="AY5" s="882"/>
      <c r="AZ5" s="877"/>
      <c r="BA5" s="877"/>
      <c r="BB5" s="877"/>
      <c r="BC5" s="877"/>
      <c r="BD5" s="877"/>
      <c r="BE5" s="877"/>
      <c r="BF5" s="877"/>
      <c r="BG5" s="877"/>
      <c r="BH5" s="877"/>
      <c r="BI5" s="877"/>
      <c r="BJ5" s="877"/>
      <c r="BK5" s="877"/>
      <c r="BL5" s="877"/>
      <c r="BM5" s="877"/>
      <c r="BN5" s="877"/>
      <c r="BO5" s="877"/>
      <c r="BP5" s="882"/>
      <c r="BQ5" s="882"/>
      <c r="BR5" s="882"/>
      <c r="BS5" s="882"/>
      <c r="BT5" s="882"/>
      <c r="BU5" s="882"/>
      <c r="BV5" s="882"/>
      <c r="BW5" s="882"/>
      <c r="BX5" s="882"/>
      <c r="BY5" s="882"/>
      <c r="BZ5" s="867"/>
      <c r="CA5" s="867"/>
      <c r="CB5" s="867"/>
      <c r="CC5" s="867"/>
      <c r="CD5" s="867"/>
      <c r="CE5" s="867"/>
      <c r="CF5" s="867"/>
      <c r="CG5" s="867"/>
      <c r="CH5" s="867"/>
      <c r="CI5" s="867"/>
      <c r="CJ5" s="867"/>
      <c r="CK5" s="867"/>
    </row>
    <row r="6" spans="3:89" s="865" customFormat="1" ht="21.75" customHeight="1">
      <c r="C6" s="1206" t="s">
        <v>188</v>
      </c>
      <c r="D6" s="1206"/>
      <c r="E6" s="857"/>
      <c r="F6" s="1206" t="s">
        <v>805</v>
      </c>
      <c r="G6" s="1206"/>
      <c r="H6" s="857"/>
      <c r="I6" s="1206" t="s">
        <v>806</v>
      </c>
      <c r="J6" s="1206"/>
      <c r="K6" s="857"/>
      <c r="L6" s="1206" t="s">
        <v>807</v>
      </c>
      <c r="M6" s="1206"/>
      <c r="N6" s="867"/>
      <c r="O6" s="867"/>
      <c r="P6" s="867"/>
      <c r="Q6" s="855">
        <v>3</v>
      </c>
      <c r="R6" s="863" t="s">
        <v>791</v>
      </c>
      <c r="S6" s="867"/>
      <c r="T6" s="855"/>
      <c r="U6" s="855"/>
      <c r="V6" s="855"/>
      <c r="W6" s="867"/>
      <c r="X6" s="867"/>
      <c r="Y6" s="867"/>
      <c r="Z6" s="867"/>
      <c r="AA6" s="867"/>
      <c r="AB6" s="867"/>
      <c r="AC6" s="867"/>
      <c r="AD6" s="867"/>
      <c r="AE6" s="867"/>
      <c r="AF6" s="867"/>
      <c r="AG6" s="867"/>
      <c r="AH6" s="882"/>
      <c r="AI6" s="882"/>
      <c r="AJ6" s="882"/>
      <c r="AK6" s="882"/>
      <c r="AL6" s="882"/>
      <c r="AM6" s="882"/>
      <c r="AN6" s="882"/>
      <c r="AO6" s="882"/>
      <c r="AP6" s="882"/>
      <c r="AQ6" s="882"/>
      <c r="AR6" s="882"/>
      <c r="AS6" s="882"/>
      <c r="AT6" s="882"/>
      <c r="AU6" s="882"/>
      <c r="AV6" s="882"/>
      <c r="AW6" s="882"/>
      <c r="AX6" s="882"/>
      <c r="AY6" s="882"/>
      <c r="AZ6" s="877"/>
      <c r="BA6" s="877"/>
      <c r="BB6" s="877"/>
      <c r="BC6" s="877"/>
      <c r="BD6" s="877"/>
      <c r="BE6" s="877"/>
      <c r="BF6" s="877"/>
      <c r="BG6" s="877"/>
      <c r="BH6" s="877"/>
      <c r="BI6" s="877"/>
      <c r="BJ6" s="877"/>
      <c r="BK6" s="877"/>
      <c r="BL6" s="877"/>
      <c r="BM6" s="877"/>
      <c r="BN6" s="877"/>
      <c r="BO6" s="877"/>
      <c r="BP6" s="882"/>
      <c r="BQ6" s="882"/>
      <c r="BR6" s="882"/>
      <c r="BS6" s="882"/>
      <c r="BT6" s="882"/>
      <c r="BU6" s="882"/>
      <c r="BV6" s="882"/>
      <c r="BW6" s="882"/>
      <c r="BX6" s="882"/>
      <c r="BY6" s="882"/>
      <c r="BZ6" s="867"/>
      <c r="CA6" s="867"/>
      <c r="CB6" s="867"/>
      <c r="CC6" s="867"/>
      <c r="CD6" s="867"/>
      <c r="CE6" s="867"/>
      <c r="CF6" s="867"/>
      <c r="CG6" s="867"/>
      <c r="CH6" s="867"/>
      <c r="CI6" s="867"/>
      <c r="CJ6" s="867"/>
      <c r="CK6" s="867"/>
    </row>
    <row r="7" spans="3:89" s="857" customFormat="1" ht="54.75" customHeight="1">
      <c r="C7" s="1210">
        <f>R11</f>
        <v>0</v>
      </c>
      <c r="D7" s="1210"/>
      <c r="E7" s="866"/>
      <c r="F7" s="1211">
        <f>R12</f>
        <v>5000</v>
      </c>
      <c r="G7" s="1211"/>
      <c r="H7" s="865"/>
      <c r="I7" s="1209">
        <f>R13</f>
        <v>-5000</v>
      </c>
      <c r="J7" s="1209"/>
      <c r="K7" s="865"/>
      <c r="L7" s="1214">
        <f>R14</f>
        <v>0</v>
      </c>
      <c r="M7" s="1214"/>
      <c r="N7" s="858"/>
      <c r="O7" s="858"/>
      <c r="P7" s="858"/>
      <c r="Q7" s="863">
        <v>4</v>
      </c>
      <c r="R7" s="863" t="s">
        <v>797</v>
      </c>
      <c r="S7" s="858"/>
      <c r="T7" s="863"/>
      <c r="U7" s="863"/>
      <c r="V7" s="863"/>
      <c r="W7" s="858"/>
      <c r="X7" s="858"/>
      <c r="Y7" s="858"/>
      <c r="Z7" s="858"/>
      <c r="AA7" s="858"/>
      <c r="AB7" s="858"/>
      <c r="AC7" s="858"/>
      <c r="AD7" s="858"/>
      <c r="AE7" s="858"/>
      <c r="AF7" s="858"/>
      <c r="AG7" s="858"/>
      <c r="AH7" s="880"/>
      <c r="AI7" s="880"/>
      <c r="AJ7" s="880"/>
      <c r="AK7" s="880"/>
      <c r="AL7" s="880"/>
      <c r="AM7" s="880"/>
      <c r="AN7" s="880"/>
      <c r="AO7" s="880"/>
      <c r="AP7" s="880"/>
      <c r="AQ7" s="880"/>
      <c r="AR7" s="880"/>
      <c r="AS7" s="880"/>
      <c r="AT7" s="880"/>
      <c r="AU7" s="880"/>
      <c r="AV7" s="880"/>
      <c r="AW7" s="880"/>
      <c r="AX7" s="880"/>
      <c r="AY7" s="880"/>
      <c r="AZ7" s="881"/>
      <c r="BA7" s="881"/>
      <c r="BB7" s="881"/>
      <c r="BC7" s="881"/>
      <c r="BD7" s="881"/>
      <c r="BE7" s="881"/>
      <c r="BF7" s="881"/>
      <c r="BG7" s="881"/>
      <c r="BH7" s="881"/>
      <c r="BI7" s="881"/>
      <c r="BJ7" s="881"/>
      <c r="BK7" s="881"/>
      <c r="BL7" s="881"/>
      <c r="BM7" s="881"/>
      <c r="BN7" s="881"/>
      <c r="BO7" s="881"/>
      <c r="BP7" s="880"/>
      <c r="BQ7" s="880"/>
      <c r="BR7" s="880"/>
      <c r="BS7" s="880"/>
      <c r="BT7" s="880"/>
      <c r="BU7" s="880"/>
      <c r="BV7" s="880"/>
      <c r="BW7" s="880"/>
      <c r="BX7" s="880"/>
      <c r="BY7" s="880"/>
      <c r="BZ7" s="858"/>
      <c r="CA7" s="858"/>
      <c r="CB7" s="858"/>
      <c r="CC7" s="858"/>
      <c r="CD7" s="858"/>
      <c r="CE7" s="858"/>
      <c r="CF7" s="858"/>
      <c r="CG7" s="858"/>
      <c r="CH7" s="858"/>
      <c r="CI7" s="858"/>
      <c r="CJ7" s="858"/>
      <c r="CK7" s="858"/>
    </row>
    <row r="8" spans="3:89" s="865" customFormat="1" ht="7" customHeight="1">
      <c r="N8" s="867"/>
      <c r="O8" s="867"/>
      <c r="P8" s="867"/>
      <c r="Q8" s="855">
        <v>5</v>
      </c>
      <c r="R8" s="863" t="s">
        <v>798</v>
      </c>
      <c r="S8" s="867"/>
      <c r="T8" s="855"/>
      <c r="U8" s="855"/>
      <c r="V8" s="855"/>
      <c r="W8" s="867"/>
      <c r="X8" s="867"/>
      <c r="Y8" s="867"/>
      <c r="Z8" s="867"/>
      <c r="AA8" s="867"/>
      <c r="AB8" s="867"/>
      <c r="AC8" s="867"/>
      <c r="AD8" s="867"/>
      <c r="AE8" s="867"/>
      <c r="AF8" s="867"/>
      <c r="AG8" s="867"/>
      <c r="AH8" s="882"/>
      <c r="AI8" s="882"/>
      <c r="AJ8" s="882"/>
      <c r="AK8" s="882"/>
      <c r="AL8" s="882"/>
      <c r="AM8" s="882"/>
      <c r="AN8" s="882"/>
      <c r="AO8" s="882"/>
      <c r="AP8" s="882"/>
      <c r="AQ8" s="882"/>
      <c r="AR8" s="882"/>
      <c r="AS8" s="882"/>
      <c r="AT8" s="882"/>
      <c r="AU8" s="882"/>
      <c r="AV8" s="882"/>
      <c r="AW8" s="882"/>
      <c r="AX8" s="882"/>
      <c r="AY8" s="882"/>
      <c r="AZ8" s="877"/>
      <c r="BA8" s="877"/>
      <c r="BB8" s="877"/>
      <c r="BC8" s="877"/>
      <c r="BD8" s="877"/>
      <c r="BE8" s="877"/>
      <c r="BF8" s="877"/>
      <c r="BG8" s="877"/>
      <c r="BH8" s="877"/>
      <c r="BI8" s="877"/>
      <c r="BJ8" s="877"/>
      <c r="BK8" s="877"/>
      <c r="BL8" s="877"/>
      <c r="BM8" s="877"/>
      <c r="BN8" s="877"/>
      <c r="BO8" s="877"/>
      <c r="BP8" s="882"/>
      <c r="BQ8" s="882"/>
      <c r="BR8" s="882"/>
      <c r="BS8" s="882"/>
      <c r="BT8" s="882"/>
      <c r="BU8" s="882"/>
      <c r="BV8" s="882"/>
      <c r="BW8" s="882"/>
      <c r="BX8" s="882"/>
      <c r="BY8" s="882"/>
      <c r="BZ8" s="867"/>
      <c r="CA8" s="867"/>
      <c r="CB8" s="867"/>
      <c r="CC8" s="867"/>
      <c r="CD8" s="867"/>
      <c r="CE8" s="867"/>
      <c r="CF8" s="867"/>
      <c r="CG8" s="867"/>
      <c r="CH8" s="867"/>
      <c r="CI8" s="867"/>
      <c r="CJ8" s="867"/>
      <c r="CK8" s="867"/>
    </row>
    <row r="9" spans="3:89" s="865" customFormat="1" ht="27" customHeight="1">
      <c r="C9" s="1206" t="s">
        <v>808</v>
      </c>
      <c r="D9" s="1206"/>
      <c r="E9" s="857"/>
      <c r="F9" s="883" t="s">
        <v>809</v>
      </c>
      <c r="G9" s="884"/>
      <c r="H9" s="885"/>
      <c r="I9" s="886"/>
      <c r="J9" s="887" t="s">
        <v>810</v>
      </c>
      <c r="L9" s="886"/>
      <c r="M9" s="886"/>
      <c r="N9" s="867"/>
      <c r="O9" s="867"/>
      <c r="P9" s="867"/>
      <c r="Q9" s="867"/>
      <c r="R9" s="855"/>
      <c r="S9" s="855"/>
      <c r="T9" s="855"/>
      <c r="U9" s="855"/>
      <c r="V9" s="855"/>
      <c r="W9" s="867"/>
      <c r="X9" s="867"/>
      <c r="Y9" s="867"/>
      <c r="Z9" s="867"/>
      <c r="AA9" s="867"/>
      <c r="AB9" s="867"/>
      <c r="AC9" s="867"/>
      <c r="AD9" s="867"/>
      <c r="AE9" s="867"/>
      <c r="AF9" s="867"/>
      <c r="AG9" s="867"/>
      <c r="AH9" s="882"/>
      <c r="AI9" s="882"/>
      <c r="AJ9" s="882"/>
      <c r="AK9" s="882"/>
      <c r="AL9" s="882"/>
      <c r="AM9" s="882"/>
      <c r="AN9" s="882"/>
      <c r="AO9" s="882"/>
      <c r="AP9" s="882"/>
      <c r="AQ9" s="882"/>
      <c r="AR9" s="882"/>
      <c r="AS9" s="882"/>
      <c r="AT9" s="882"/>
      <c r="AU9" s="882"/>
      <c r="AV9" s="882"/>
      <c r="AW9" s="882"/>
      <c r="AX9" s="882"/>
      <c r="AY9" s="882"/>
      <c r="AZ9" s="877"/>
      <c r="BA9" s="877"/>
      <c r="BB9" s="877"/>
      <c r="BC9" s="877"/>
      <c r="BD9" s="877"/>
      <c r="BE9" s="877"/>
      <c r="BF9" s="877"/>
      <c r="BG9" s="877"/>
      <c r="BH9" s="877"/>
      <c r="BI9" s="877"/>
      <c r="BJ9" s="877"/>
      <c r="BK9" s="877"/>
      <c r="BL9" s="877"/>
      <c r="BM9" s="877"/>
      <c r="BN9" s="877"/>
      <c r="BO9" s="877"/>
      <c r="BP9" s="882"/>
      <c r="BQ9" s="882"/>
      <c r="BR9" s="882"/>
      <c r="BS9" s="882"/>
      <c r="BT9" s="882"/>
      <c r="BU9" s="882"/>
      <c r="BV9" s="882"/>
      <c r="BW9" s="882"/>
      <c r="BX9" s="882"/>
      <c r="BY9" s="882"/>
      <c r="BZ9" s="867"/>
      <c r="CA9" s="867"/>
      <c r="CB9" s="867"/>
      <c r="CC9" s="867"/>
      <c r="CD9" s="867"/>
      <c r="CE9" s="867"/>
      <c r="CF9" s="867"/>
      <c r="CG9" s="867"/>
      <c r="CH9" s="867"/>
      <c r="CI9" s="867"/>
      <c r="CJ9" s="867"/>
      <c r="CK9" s="867"/>
    </row>
    <row r="10" spans="3:89" s="857" customFormat="1" ht="36" customHeight="1">
      <c r="N10" s="858"/>
      <c r="O10" s="858"/>
      <c r="P10" s="858"/>
      <c r="Q10" s="858" t="s">
        <v>793</v>
      </c>
      <c r="R10" s="863"/>
      <c r="S10" s="863"/>
      <c r="T10" s="863"/>
      <c r="U10" s="863"/>
      <c r="V10" s="863"/>
      <c r="W10" s="858"/>
      <c r="X10" s="858"/>
      <c r="Y10" s="858"/>
      <c r="Z10" s="858"/>
      <c r="AA10" s="858"/>
      <c r="AB10" s="858"/>
      <c r="AC10" s="858"/>
      <c r="AD10" s="858"/>
      <c r="AE10" s="858"/>
      <c r="AF10" s="858"/>
      <c r="AG10" s="858"/>
      <c r="AH10" s="880"/>
      <c r="AI10" s="880"/>
      <c r="AJ10" s="880"/>
      <c r="AK10" s="880"/>
      <c r="AL10" s="880"/>
      <c r="AM10" s="880"/>
      <c r="AN10" s="880"/>
      <c r="AO10" s="880"/>
      <c r="AP10" s="880"/>
      <c r="AQ10" s="880"/>
      <c r="AR10" s="880"/>
      <c r="AS10" s="880"/>
      <c r="AT10" s="880"/>
      <c r="AU10" s="880"/>
      <c r="AV10" s="880"/>
      <c r="AW10" s="880"/>
      <c r="AX10" s="880"/>
      <c r="AY10" s="880"/>
      <c r="AZ10" s="881"/>
      <c r="BA10" s="881"/>
      <c r="BB10" s="881"/>
      <c r="BC10" s="881"/>
      <c r="BD10" s="881"/>
      <c r="BE10" s="881"/>
      <c r="BF10" s="881"/>
      <c r="BG10" s="881"/>
      <c r="BH10" s="881"/>
      <c r="BI10" s="881"/>
      <c r="BJ10" s="881"/>
      <c r="BK10" s="881"/>
      <c r="BL10" s="881"/>
      <c r="BM10" s="881"/>
      <c r="BN10" s="881"/>
      <c r="BO10" s="881"/>
      <c r="BP10" s="880"/>
      <c r="BQ10" s="880"/>
      <c r="BR10" s="880"/>
      <c r="BS10" s="880"/>
      <c r="BT10" s="880"/>
      <c r="BU10" s="880"/>
      <c r="BV10" s="880"/>
      <c r="BW10" s="880"/>
      <c r="BX10" s="880"/>
      <c r="BY10" s="880"/>
      <c r="BZ10" s="858"/>
      <c r="CA10" s="858"/>
      <c r="CB10" s="858"/>
      <c r="CC10" s="858"/>
      <c r="CD10" s="858"/>
      <c r="CE10" s="858"/>
      <c r="CF10" s="858"/>
      <c r="CG10" s="858"/>
      <c r="CH10" s="858"/>
      <c r="CI10" s="858"/>
      <c r="CJ10" s="858"/>
      <c r="CK10" s="858"/>
    </row>
    <row r="11" spans="3:89" s="865" customFormat="1" ht="30" customHeight="1">
      <c r="C11" s="857"/>
      <c r="D11" s="857"/>
      <c r="E11" s="857"/>
      <c r="F11" s="857"/>
      <c r="G11" s="857"/>
      <c r="H11" s="857"/>
      <c r="I11" s="857"/>
      <c r="J11" s="857"/>
      <c r="K11" s="857"/>
      <c r="L11" s="857"/>
      <c r="M11" s="857"/>
      <c r="N11" s="867"/>
      <c r="O11" s="867"/>
      <c r="P11" s="867"/>
      <c r="Q11" s="867" t="s">
        <v>188</v>
      </c>
      <c r="R11" s="856">
        <f>HLOOKUP($V$4,[11]Rel_Viab!$G$4:$J$14,2,FALSE)</f>
        <v>0</v>
      </c>
      <c r="S11" s="855"/>
      <c r="T11" s="855"/>
      <c r="U11" s="855"/>
      <c r="V11" s="1215"/>
      <c r="W11" s="1215"/>
      <c r="X11" s="1215"/>
      <c r="Y11" s="1215"/>
      <c r="Z11" s="1215"/>
      <c r="AA11" s="1215"/>
      <c r="AB11" s="1215"/>
      <c r="AC11" s="1215"/>
      <c r="AD11" s="1215"/>
      <c r="AE11" s="1215"/>
      <c r="AF11" s="1215"/>
      <c r="AG11" s="1215"/>
      <c r="AH11" s="1213"/>
      <c r="AI11" s="1213"/>
      <c r="AJ11" s="1213"/>
      <c r="AK11" s="877"/>
      <c r="AL11" s="882"/>
      <c r="AM11" s="882"/>
      <c r="AN11" s="882"/>
      <c r="AO11" s="882"/>
      <c r="AP11" s="882"/>
      <c r="AQ11" s="882"/>
      <c r="AR11" s="882"/>
      <c r="AS11" s="882"/>
      <c r="AT11" s="882"/>
      <c r="AU11" s="882"/>
      <c r="AV11" s="882"/>
      <c r="AW11" s="882"/>
      <c r="AX11" s="882"/>
      <c r="AY11" s="882"/>
      <c r="AZ11" s="1213"/>
      <c r="BA11" s="1213"/>
      <c r="BB11" s="1213"/>
      <c r="BC11" s="1213"/>
      <c r="BD11" s="1213"/>
      <c r="BE11" s="1213"/>
      <c r="BF11" s="1213"/>
      <c r="BG11" s="1213"/>
      <c r="BH11" s="1213"/>
      <c r="BI11" s="1213"/>
      <c r="BJ11" s="1213"/>
      <c r="BK11" s="1213"/>
      <c r="BL11" s="1213"/>
      <c r="BM11" s="1213"/>
      <c r="BN11" s="1213"/>
      <c r="BO11" s="877"/>
      <c r="BP11" s="882"/>
      <c r="BQ11" s="882"/>
      <c r="BR11" s="882"/>
      <c r="BS11" s="882"/>
      <c r="BT11" s="882"/>
      <c r="BU11" s="882"/>
      <c r="BV11" s="882"/>
      <c r="BW11" s="882"/>
      <c r="BX11" s="882"/>
      <c r="BY11" s="882"/>
      <c r="BZ11" s="867"/>
      <c r="CA11" s="867"/>
      <c r="CB11" s="867"/>
      <c r="CC11" s="867"/>
      <c r="CD11" s="867"/>
      <c r="CE11" s="867"/>
      <c r="CF11" s="867"/>
      <c r="CG11" s="867"/>
      <c r="CH11" s="867"/>
      <c r="CI11" s="867"/>
      <c r="CJ11" s="867"/>
      <c r="CK11" s="867"/>
    </row>
    <row r="12" spans="3:89" s="865" customFormat="1" ht="30" customHeight="1">
      <c r="C12" s="857"/>
      <c r="D12" s="857"/>
      <c r="E12" s="857"/>
      <c r="F12" s="857"/>
      <c r="G12" s="857"/>
      <c r="H12" s="857"/>
      <c r="I12" s="857"/>
      <c r="J12" s="857"/>
      <c r="L12" s="857"/>
      <c r="M12" s="857"/>
      <c r="N12" s="867"/>
      <c r="O12" s="867"/>
      <c r="P12" s="867"/>
      <c r="Q12" s="867" t="s">
        <v>811</v>
      </c>
      <c r="R12" s="856">
        <f>HLOOKUP($V$4,[11]Rel_Viab!$M$4:$O$7,3,FALSE)</f>
        <v>5000</v>
      </c>
      <c r="S12" s="855"/>
      <c r="T12" s="855"/>
      <c r="U12" s="855"/>
      <c r="V12" s="856"/>
      <c r="W12" s="867"/>
      <c r="X12" s="871"/>
      <c r="Y12" s="856"/>
      <c r="Z12" s="867"/>
      <c r="AA12" s="871"/>
      <c r="AB12" s="856"/>
      <c r="AC12" s="867"/>
      <c r="AD12" s="871"/>
      <c r="AE12" s="856"/>
      <c r="AF12" s="867"/>
      <c r="AG12" s="871"/>
      <c r="AH12" s="888"/>
      <c r="AI12" s="882"/>
      <c r="AJ12" s="889"/>
      <c r="AK12" s="877"/>
      <c r="AL12" s="882"/>
      <c r="AM12" s="882"/>
      <c r="AN12" s="882"/>
      <c r="AO12" s="882"/>
      <c r="AP12" s="882"/>
      <c r="AQ12" s="882"/>
      <c r="AR12" s="889"/>
      <c r="AS12" s="882"/>
      <c r="AT12" s="882"/>
      <c r="AU12" s="882"/>
      <c r="AV12" s="889"/>
      <c r="AW12" s="882"/>
      <c r="AX12" s="882"/>
      <c r="AY12" s="882"/>
      <c r="AZ12" s="888"/>
      <c r="BA12" s="888"/>
      <c r="BB12" s="888"/>
      <c r="BC12" s="888"/>
      <c r="BD12" s="888"/>
      <c r="BE12" s="888"/>
      <c r="BF12" s="888"/>
      <c r="BG12" s="888"/>
      <c r="BH12" s="888"/>
      <c r="BI12" s="888"/>
      <c r="BJ12" s="888"/>
      <c r="BK12" s="888"/>
      <c r="BL12" s="888"/>
      <c r="BM12" s="888"/>
      <c r="BN12" s="888"/>
      <c r="BO12" s="877"/>
      <c r="BP12" s="882"/>
      <c r="BQ12" s="882"/>
      <c r="BR12" s="882"/>
      <c r="BS12" s="882"/>
      <c r="BT12" s="882"/>
      <c r="BU12" s="882"/>
      <c r="BV12" s="882"/>
      <c r="BW12" s="889"/>
      <c r="BX12" s="882"/>
      <c r="BY12" s="882"/>
      <c r="BZ12" s="871"/>
      <c r="CA12" s="867"/>
      <c r="CB12" s="867"/>
      <c r="CC12" s="867"/>
      <c r="CD12" s="867"/>
      <c r="CE12" s="867"/>
      <c r="CF12" s="867"/>
      <c r="CG12" s="867"/>
      <c r="CH12" s="867"/>
      <c r="CI12" s="867"/>
      <c r="CJ12" s="867"/>
      <c r="CK12" s="867"/>
    </row>
    <row r="13" spans="3:89" s="865" customFormat="1" ht="30" customHeight="1">
      <c r="C13" s="857"/>
      <c r="D13" s="857"/>
      <c r="E13" s="857"/>
      <c r="F13" s="857"/>
      <c r="G13" s="857"/>
      <c r="H13" s="857"/>
      <c r="I13" s="857"/>
      <c r="J13" s="857"/>
      <c r="K13" s="857"/>
      <c r="L13" s="857"/>
      <c r="M13" s="857"/>
      <c r="N13" s="867"/>
      <c r="O13" s="867"/>
      <c r="P13" s="867"/>
      <c r="Q13" s="867" t="s">
        <v>806</v>
      </c>
      <c r="R13" s="856">
        <f>HLOOKUP($V$4,[11]Rel_Viab!$M$4:$O$7,4,FALSE)</f>
        <v>-5000</v>
      </c>
      <c r="S13" s="855"/>
      <c r="T13" s="855"/>
      <c r="U13" s="855"/>
      <c r="V13" s="856"/>
      <c r="W13" s="867"/>
      <c r="X13" s="871"/>
      <c r="Y13" s="856"/>
      <c r="Z13" s="867"/>
      <c r="AA13" s="871"/>
      <c r="AB13" s="856"/>
      <c r="AC13" s="867"/>
      <c r="AD13" s="871"/>
      <c r="AE13" s="856"/>
      <c r="AF13" s="867"/>
      <c r="AG13" s="871"/>
      <c r="AH13" s="888"/>
      <c r="AI13" s="882"/>
      <c r="AJ13" s="889"/>
      <c r="AK13" s="877"/>
      <c r="AL13" s="882"/>
      <c r="AM13" s="882"/>
      <c r="AN13" s="882"/>
      <c r="AO13" s="882"/>
      <c r="AP13" s="882"/>
      <c r="AQ13" s="882"/>
      <c r="AR13" s="889"/>
      <c r="AS13" s="882"/>
      <c r="AT13" s="882"/>
      <c r="AU13" s="882"/>
      <c r="AV13" s="889"/>
      <c r="AW13" s="882"/>
      <c r="AX13" s="882"/>
      <c r="AY13" s="882"/>
      <c r="AZ13" s="888"/>
      <c r="BA13" s="888"/>
      <c r="BB13" s="888"/>
      <c r="BC13" s="888"/>
      <c r="BD13" s="888"/>
      <c r="BE13" s="888"/>
      <c r="BF13" s="888"/>
      <c r="BG13" s="888"/>
      <c r="BH13" s="888"/>
      <c r="BI13" s="888"/>
      <c r="BJ13" s="888"/>
      <c r="BK13" s="888"/>
      <c r="BL13" s="888"/>
      <c r="BM13" s="888"/>
      <c r="BN13" s="888"/>
      <c r="BO13" s="877"/>
      <c r="BP13" s="882"/>
      <c r="BQ13" s="882"/>
      <c r="BR13" s="882"/>
      <c r="BS13" s="882"/>
      <c r="BT13" s="882"/>
      <c r="BU13" s="882"/>
      <c r="BV13" s="882"/>
      <c r="BW13" s="889"/>
      <c r="BX13" s="882"/>
      <c r="BY13" s="882"/>
      <c r="BZ13" s="871"/>
      <c r="CA13" s="867"/>
      <c r="CB13" s="867"/>
      <c r="CC13" s="867"/>
      <c r="CD13" s="867"/>
      <c r="CE13" s="867"/>
      <c r="CF13" s="867"/>
      <c r="CG13" s="867"/>
      <c r="CH13" s="867"/>
      <c r="CI13" s="867"/>
      <c r="CJ13" s="867"/>
      <c r="CK13" s="867"/>
    </row>
    <row r="14" spans="3:89" s="865" customFormat="1" ht="22.5" customHeight="1">
      <c r="C14" s="857"/>
      <c r="D14" s="857"/>
      <c r="E14" s="857"/>
      <c r="F14" s="857"/>
      <c r="G14" s="857"/>
      <c r="H14" s="857"/>
      <c r="I14" s="857"/>
      <c r="J14" s="857"/>
      <c r="K14" s="857"/>
      <c r="L14" s="857"/>
      <c r="M14" s="857"/>
      <c r="N14" s="867"/>
      <c r="O14" s="867"/>
      <c r="P14" s="867"/>
      <c r="Q14" s="867" t="s">
        <v>807</v>
      </c>
      <c r="R14" s="890">
        <f>HLOOKUP($V$4,[11]Rel_Viab!$G$4:$J$16,12,FALSE)</f>
        <v>0</v>
      </c>
      <c r="S14" s="855"/>
      <c r="T14" s="855"/>
      <c r="U14" s="855"/>
      <c r="V14" s="856"/>
      <c r="W14" s="867"/>
      <c r="X14" s="871"/>
      <c r="Y14" s="856"/>
      <c r="Z14" s="867"/>
      <c r="AA14" s="871"/>
      <c r="AB14" s="856"/>
      <c r="AC14" s="867"/>
      <c r="AD14" s="871"/>
      <c r="AE14" s="856"/>
      <c r="AF14" s="867"/>
      <c r="AG14" s="871"/>
      <c r="AH14" s="888"/>
      <c r="AI14" s="882"/>
      <c r="AJ14" s="889"/>
      <c r="AK14" s="877"/>
      <c r="AL14" s="882"/>
      <c r="AM14" s="882"/>
      <c r="AN14" s="882"/>
      <c r="AO14" s="882"/>
      <c r="AP14" s="882"/>
      <c r="AQ14" s="882"/>
      <c r="AR14" s="889"/>
      <c r="AS14" s="882"/>
      <c r="AT14" s="882"/>
      <c r="AU14" s="882"/>
      <c r="AV14" s="889"/>
      <c r="AW14" s="882"/>
      <c r="AX14" s="882"/>
      <c r="AY14" s="882"/>
      <c r="AZ14" s="888"/>
      <c r="BA14" s="888"/>
      <c r="BB14" s="888"/>
      <c r="BC14" s="888"/>
      <c r="BD14" s="888"/>
      <c r="BE14" s="888"/>
      <c r="BF14" s="888"/>
      <c r="BG14" s="888"/>
      <c r="BH14" s="888"/>
      <c r="BI14" s="888"/>
      <c r="BJ14" s="888"/>
      <c r="BK14" s="888"/>
      <c r="BL14" s="888"/>
      <c r="BM14" s="888"/>
      <c r="BN14" s="888"/>
      <c r="BO14" s="877"/>
      <c r="BP14" s="882"/>
      <c r="BQ14" s="882"/>
      <c r="BR14" s="882"/>
      <c r="BS14" s="882"/>
      <c r="BT14" s="882"/>
      <c r="BU14" s="882"/>
      <c r="BV14" s="882"/>
      <c r="BW14" s="889"/>
      <c r="BX14" s="882"/>
      <c r="BY14" s="882"/>
      <c r="BZ14" s="871"/>
      <c r="CA14" s="867"/>
      <c r="CB14" s="867"/>
      <c r="CC14" s="867"/>
      <c r="CD14" s="867"/>
      <c r="CE14" s="867"/>
      <c r="CF14" s="867"/>
      <c r="CG14" s="867"/>
      <c r="CH14" s="867"/>
      <c r="CI14" s="867"/>
      <c r="CJ14" s="867"/>
      <c r="CK14" s="867"/>
    </row>
    <row r="15" spans="3:89" s="865" customFormat="1" ht="23.25" customHeight="1">
      <c r="C15" s="857"/>
      <c r="D15" s="857"/>
      <c r="E15" s="857"/>
      <c r="F15" s="857"/>
      <c r="G15" s="857"/>
      <c r="H15" s="857"/>
      <c r="I15" s="857"/>
      <c r="J15" s="857"/>
      <c r="K15" s="857"/>
      <c r="L15" s="857"/>
      <c r="M15" s="857"/>
      <c r="N15" s="867"/>
      <c r="O15" s="867"/>
      <c r="P15" s="867"/>
      <c r="Q15" s="867"/>
      <c r="R15" s="855"/>
      <c r="S15" s="855"/>
      <c r="T15" s="855"/>
      <c r="U15" s="855"/>
      <c r="V15" s="856"/>
      <c r="W15" s="867"/>
      <c r="X15" s="871"/>
      <c r="Y15" s="856"/>
      <c r="Z15" s="867"/>
      <c r="AA15" s="871"/>
      <c r="AB15" s="856"/>
      <c r="AC15" s="867"/>
      <c r="AD15" s="871"/>
      <c r="AE15" s="856"/>
      <c r="AF15" s="867"/>
      <c r="AG15" s="871"/>
      <c r="AH15" s="888"/>
      <c r="AI15" s="882"/>
      <c r="AJ15" s="889"/>
      <c r="AK15" s="877"/>
      <c r="AL15" s="882"/>
      <c r="AM15" s="882"/>
      <c r="AN15" s="882"/>
      <c r="AO15" s="882"/>
      <c r="AP15" s="882"/>
      <c r="AQ15" s="882"/>
      <c r="AR15" s="889"/>
      <c r="AS15" s="882"/>
      <c r="AT15" s="882"/>
      <c r="AU15" s="882"/>
      <c r="AV15" s="889"/>
      <c r="AW15" s="882"/>
      <c r="AX15" s="882"/>
      <c r="AY15" s="882"/>
      <c r="AZ15" s="888"/>
      <c r="BA15" s="888"/>
      <c r="BB15" s="888"/>
      <c r="BC15" s="888"/>
      <c r="BD15" s="888"/>
      <c r="BE15" s="888"/>
      <c r="BF15" s="888"/>
      <c r="BG15" s="888"/>
      <c r="BH15" s="888"/>
      <c r="BI15" s="888"/>
      <c r="BJ15" s="888"/>
      <c r="BK15" s="888"/>
      <c r="BL15" s="888"/>
      <c r="BM15" s="888"/>
      <c r="BN15" s="888"/>
      <c r="BO15" s="877"/>
      <c r="BP15" s="882"/>
      <c r="BQ15" s="882"/>
      <c r="BR15" s="882"/>
      <c r="BS15" s="882"/>
      <c r="BT15" s="882"/>
      <c r="BU15" s="882"/>
      <c r="BV15" s="882"/>
      <c r="BW15" s="889"/>
      <c r="BX15" s="882"/>
      <c r="BY15" s="882"/>
      <c r="BZ15" s="871"/>
      <c r="CA15" s="867"/>
      <c r="CB15" s="867"/>
      <c r="CC15" s="867"/>
      <c r="CD15" s="867"/>
      <c r="CE15" s="867"/>
      <c r="CF15" s="867"/>
      <c r="CG15" s="867"/>
      <c r="CH15" s="867"/>
      <c r="CI15" s="867"/>
      <c r="CJ15" s="867"/>
      <c r="CK15" s="867"/>
    </row>
    <row r="16" spans="3:89" s="865" customFormat="1" ht="30" customHeight="1">
      <c r="N16" s="867"/>
      <c r="O16" s="867"/>
      <c r="P16" s="867"/>
      <c r="Q16" s="867" t="s">
        <v>313</v>
      </c>
      <c r="R16" s="855">
        <f>HLOOKUP($V$4,[11]Rel_Viab!$G$4:$J$14,11,FALSE)</f>
        <v>-5000</v>
      </c>
      <c r="S16" s="855"/>
      <c r="T16" s="855"/>
      <c r="U16" s="855"/>
      <c r="V16" s="856"/>
      <c r="W16" s="867"/>
      <c r="X16" s="871"/>
      <c r="Y16" s="856"/>
      <c r="Z16" s="867"/>
      <c r="AA16" s="871"/>
      <c r="AB16" s="856"/>
      <c r="AC16" s="867"/>
      <c r="AD16" s="871"/>
      <c r="AE16" s="856"/>
      <c r="AF16" s="867"/>
      <c r="AG16" s="871"/>
      <c r="AH16" s="888"/>
      <c r="AI16" s="882"/>
      <c r="AJ16" s="889"/>
      <c r="AK16" s="877"/>
      <c r="AL16" s="882"/>
      <c r="AM16" s="882"/>
      <c r="AN16" s="882"/>
      <c r="AO16" s="882"/>
      <c r="AP16" s="882"/>
      <c r="AQ16" s="882"/>
      <c r="AR16" s="889"/>
      <c r="AS16" s="882"/>
      <c r="AT16" s="882"/>
      <c r="AU16" s="882"/>
      <c r="AV16" s="889"/>
      <c r="AW16" s="882"/>
      <c r="AX16" s="882"/>
      <c r="AY16" s="882"/>
      <c r="AZ16" s="888"/>
      <c r="BA16" s="888"/>
      <c r="BB16" s="888"/>
      <c r="BC16" s="888"/>
      <c r="BD16" s="888"/>
      <c r="BE16" s="888"/>
      <c r="BF16" s="888"/>
      <c r="BG16" s="888"/>
      <c r="BH16" s="888"/>
      <c r="BI16" s="888"/>
      <c r="BJ16" s="888"/>
      <c r="BK16" s="888"/>
      <c r="BL16" s="888"/>
      <c r="BM16" s="888"/>
      <c r="BN16" s="888"/>
      <c r="BO16" s="877"/>
      <c r="BP16" s="882"/>
      <c r="BQ16" s="882"/>
      <c r="BR16" s="882"/>
      <c r="BS16" s="882"/>
      <c r="BT16" s="882"/>
      <c r="BU16" s="882"/>
      <c r="BV16" s="882"/>
      <c r="BW16" s="889"/>
      <c r="BX16" s="882"/>
      <c r="BY16" s="882"/>
      <c r="BZ16" s="871"/>
      <c r="CA16" s="867"/>
      <c r="CB16" s="867"/>
      <c r="CC16" s="867"/>
      <c r="CD16" s="867"/>
      <c r="CE16" s="867"/>
      <c r="CF16" s="867"/>
      <c r="CG16" s="867"/>
      <c r="CH16" s="867"/>
      <c r="CI16" s="867"/>
      <c r="CJ16" s="867"/>
      <c r="CK16" s="867"/>
    </row>
    <row r="17" spans="14:89" s="865" customFormat="1" ht="30" customHeight="1">
      <c r="N17" s="867"/>
      <c r="O17" s="867"/>
      <c r="P17" s="867"/>
      <c r="Q17" s="867"/>
      <c r="R17" s="855"/>
      <c r="S17" s="855"/>
      <c r="T17" s="855"/>
      <c r="U17" s="855"/>
      <c r="V17" s="856"/>
      <c r="W17" s="867"/>
      <c r="X17" s="871"/>
      <c r="Y17" s="856"/>
      <c r="Z17" s="867"/>
      <c r="AA17" s="871"/>
      <c r="AB17" s="856"/>
      <c r="AC17" s="867"/>
      <c r="AD17" s="871"/>
      <c r="AE17" s="856"/>
      <c r="AF17" s="867"/>
      <c r="AG17" s="871"/>
      <c r="AH17" s="888"/>
      <c r="AI17" s="882"/>
      <c r="AJ17" s="889"/>
      <c r="AK17" s="877"/>
      <c r="AL17" s="882"/>
      <c r="AM17" s="882"/>
      <c r="AN17" s="882"/>
      <c r="AO17" s="882"/>
      <c r="AP17" s="882"/>
      <c r="AQ17" s="882"/>
      <c r="AR17" s="889"/>
      <c r="AS17" s="882"/>
      <c r="AT17" s="882"/>
      <c r="AU17" s="882"/>
      <c r="AV17" s="889"/>
      <c r="AW17" s="882"/>
      <c r="AX17" s="882"/>
      <c r="AY17" s="882"/>
      <c r="AZ17" s="888"/>
      <c r="BA17" s="888"/>
      <c r="BB17" s="888"/>
      <c r="BC17" s="888"/>
      <c r="BD17" s="888"/>
      <c r="BE17" s="888"/>
      <c r="BF17" s="888"/>
      <c r="BG17" s="888"/>
      <c r="BH17" s="888"/>
      <c r="BI17" s="888"/>
      <c r="BJ17" s="888"/>
      <c r="BK17" s="888"/>
      <c r="BL17" s="888"/>
      <c r="BM17" s="888"/>
      <c r="BN17" s="888"/>
      <c r="BO17" s="877"/>
      <c r="BP17" s="882"/>
      <c r="BQ17" s="882"/>
      <c r="BR17" s="882"/>
      <c r="BS17" s="882"/>
      <c r="BT17" s="882"/>
      <c r="BU17" s="882"/>
      <c r="BV17" s="882"/>
      <c r="BW17" s="889"/>
      <c r="BX17" s="882"/>
      <c r="BY17" s="882"/>
      <c r="BZ17" s="871"/>
      <c r="CA17" s="867"/>
      <c r="CB17" s="867"/>
      <c r="CC17" s="867"/>
      <c r="CD17" s="867"/>
      <c r="CE17" s="867"/>
      <c r="CF17" s="867"/>
      <c r="CG17" s="867"/>
      <c r="CH17" s="867"/>
      <c r="CI17" s="867"/>
      <c r="CJ17" s="867"/>
      <c r="CK17" s="867"/>
    </row>
    <row r="18" spans="14:89" s="865" customFormat="1" ht="30" customHeight="1">
      <c r="N18" s="867"/>
      <c r="O18" s="867"/>
      <c r="P18" s="867"/>
      <c r="Q18" s="867" t="str">
        <f>[11]Rel_Viab!F6</f>
        <v>Custos Variáveis</v>
      </c>
      <c r="R18" s="855">
        <f>HLOOKUP($V$4,[11]Rel_Viab!$G$4:$J$14,3,FALSE)</f>
        <v>0</v>
      </c>
      <c r="S18" s="855"/>
      <c r="T18" s="855"/>
      <c r="U18" s="855"/>
      <c r="V18" s="856"/>
      <c r="W18" s="867"/>
      <c r="X18" s="871"/>
      <c r="Y18" s="856"/>
      <c r="Z18" s="867"/>
      <c r="AA18" s="871"/>
      <c r="AB18" s="856"/>
      <c r="AC18" s="867"/>
      <c r="AD18" s="871"/>
      <c r="AE18" s="856"/>
      <c r="AF18" s="867"/>
      <c r="AG18" s="871"/>
      <c r="AH18" s="888"/>
      <c r="AI18" s="882"/>
      <c r="AJ18" s="889"/>
      <c r="AK18" s="877"/>
      <c r="AL18" s="882"/>
      <c r="AM18" s="882"/>
      <c r="AN18" s="882"/>
      <c r="AO18" s="882"/>
      <c r="AP18" s="882"/>
      <c r="AQ18" s="882"/>
      <c r="AR18" s="889"/>
      <c r="AS18" s="882"/>
      <c r="AT18" s="882"/>
      <c r="AU18" s="882"/>
      <c r="AV18" s="889"/>
      <c r="AW18" s="882"/>
      <c r="AX18" s="882"/>
      <c r="AY18" s="882"/>
      <c r="AZ18" s="888"/>
      <c r="BA18" s="888"/>
      <c r="BB18" s="888"/>
      <c r="BC18" s="888"/>
      <c r="BD18" s="888"/>
      <c r="BE18" s="888"/>
      <c r="BF18" s="888"/>
      <c r="BG18" s="888"/>
      <c r="BH18" s="888"/>
      <c r="BI18" s="888"/>
      <c r="BJ18" s="888"/>
      <c r="BK18" s="888"/>
      <c r="BL18" s="888"/>
      <c r="BM18" s="888"/>
      <c r="BN18" s="888"/>
      <c r="BO18" s="877"/>
      <c r="BP18" s="882"/>
      <c r="BQ18" s="882"/>
      <c r="BR18" s="882"/>
      <c r="BS18" s="882"/>
      <c r="BT18" s="882"/>
      <c r="BU18" s="882"/>
      <c r="BV18" s="882"/>
      <c r="BW18" s="889"/>
      <c r="BX18" s="882"/>
      <c r="BY18" s="882"/>
      <c r="BZ18" s="867"/>
      <c r="CA18" s="867"/>
      <c r="CB18" s="867"/>
      <c r="CC18" s="867"/>
      <c r="CD18" s="867"/>
      <c r="CE18" s="867"/>
      <c r="CF18" s="867"/>
      <c r="CG18" s="867"/>
      <c r="CH18" s="867"/>
      <c r="CI18" s="867"/>
      <c r="CJ18" s="867"/>
      <c r="CK18" s="867"/>
    </row>
    <row r="19" spans="14:89" s="865" customFormat="1" ht="30" customHeight="1">
      <c r="N19" s="867"/>
      <c r="O19" s="867"/>
      <c r="P19" s="867"/>
      <c r="Q19" s="867" t="str">
        <f>[11]Rel_Viab!F7</f>
        <v>Impostos Diretos</v>
      </c>
      <c r="R19" s="855">
        <f>HLOOKUP($V$4,[11]Rel_Viab!$G$4:$J$14,4,FALSE)</f>
        <v>0</v>
      </c>
      <c r="S19" s="855"/>
      <c r="T19" s="855"/>
      <c r="U19" s="855"/>
      <c r="V19" s="856"/>
      <c r="W19" s="867"/>
      <c r="X19" s="871"/>
      <c r="Y19" s="856"/>
      <c r="Z19" s="867"/>
      <c r="AA19" s="871"/>
      <c r="AB19" s="856"/>
      <c r="AC19" s="867"/>
      <c r="AD19" s="871"/>
      <c r="AE19" s="856"/>
      <c r="AF19" s="867"/>
      <c r="AG19" s="871"/>
      <c r="AH19" s="888"/>
      <c r="AI19" s="882"/>
      <c r="AJ19" s="889"/>
      <c r="AK19" s="877"/>
      <c r="AL19" s="882"/>
      <c r="AM19" s="882"/>
      <c r="AN19" s="882"/>
      <c r="AO19" s="882"/>
      <c r="AP19" s="882"/>
      <c r="AQ19" s="882"/>
      <c r="AR19" s="889"/>
      <c r="AS19" s="882"/>
      <c r="AT19" s="882"/>
      <c r="AU19" s="882"/>
      <c r="AV19" s="889"/>
      <c r="AW19" s="882"/>
      <c r="AX19" s="882"/>
      <c r="AY19" s="882"/>
      <c r="AZ19" s="888"/>
      <c r="BA19" s="888"/>
      <c r="BB19" s="888"/>
      <c r="BC19" s="888"/>
      <c r="BD19" s="888"/>
      <c r="BE19" s="888"/>
      <c r="BF19" s="888"/>
      <c r="BG19" s="888"/>
      <c r="BH19" s="888"/>
      <c r="BI19" s="888"/>
      <c r="BJ19" s="888"/>
      <c r="BK19" s="888"/>
      <c r="BL19" s="888"/>
      <c r="BM19" s="888"/>
      <c r="BN19" s="888"/>
      <c r="BO19" s="877"/>
      <c r="BP19" s="882"/>
      <c r="BQ19" s="882"/>
      <c r="BR19" s="882"/>
      <c r="BS19" s="882"/>
      <c r="BT19" s="882"/>
      <c r="BU19" s="882"/>
      <c r="BV19" s="882"/>
      <c r="BW19" s="889"/>
      <c r="BX19" s="882"/>
      <c r="BY19" s="882"/>
      <c r="BZ19" s="867"/>
      <c r="CA19" s="867"/>
      <c r="CB19" s="867"/>
      <c r="CC19" s="867"/>
      <c r="CD19" s="867"/>
      <c r="CE19" s="867"/>
      <c r="CF19" s="867"/>
      <c r="CG19" s="867"/>
      <c r="CH19" s="867"/>
      <c r="CI19" s="867"/>
      <c r="CJ19" s="867"/>
      <c r="CK19" s="867"/>
    </row>
    <row r="20" spans="14:89" ht="30" customHeight="1">
      <c r="Q20" s="853" t="str">
        <f>[11]Rel_Viab!F9</f>
        <v>Despesas Fixas</v>
      </c>
      <c r="R20" s="855">
        <f>HLOOKUP($V$4,[11]Rel_Viab!$G$4:$J$14,6,FALSE)</f>
        <v>0</v>
      </c>
      <c r="V20" s="856"/>
      <c r="W20" s="867"/>
      <c r="X20" s="871"/>
      <c r="Y20" s="856"/>
      <c r="Z20" s="867"/>
      <c r="AA20" s="871"/>
      <c r="AB20" s="856"/>
      <c r="AC20" s="867"/>
      <c r="AD20" s="871"/>
      <c r="AE20" s="856"/>
      <c r="AF20" s="867"/>
      <c r="AG20" s="871"/>
      <c r="AH20" s="888"/>
      <c r="AI20" s="882"/>
      <c r="AJ20" s="889"/>
      <c r="AK20" s="877"/>
      <c r="AP20" s="882"/>
      <c r="AQ20" s="882"/>
      <c r="AR20" s="889"/>
      <c r="AT20" s="882"/>
      <c r="AU20" s="882"/>
      <c r="AV20" s="889"/>
      <c r="AY20" s="882"/>
      <c r="AZ20" s="888"/>
      <c r="BA20" s="888"/>
      <c r="BB20" s="888"/>
      <c r="BC20" s="888"/>
      <c r="BD20" s="888"/>
      <c r="BE20" s="888"/>
      <c r="BF20" s="888"/>
      <c r="BG20" s="888"/>
      <c r="BH20" s="888"/>
      <c r="BI20" s="888"/>
      <c r="BJ20" s="888"/>
      <c r="BK20" s="888"/>
      <c r="BL20" s="888"/>
      <c r="BM20" s="888"/>
      <c r="BN20" s="888"/>
      <c r="BR20" s="882"/>
      <c r="BU20" s="882"/>
      <c r="BV20" s="882"/>
      <c r="BW20" s="889"/>
    </row>
    <row r="21" spans="14:89" ht="30" customHeight="1">
      <c r="Q21" s="853" t="str">
        <f>[11]Rel_Viab!F12</f>
        <v>Investimento Bruto</v>
      </c>
      <c r="R21" s="855">
        <f>HLOOKUP($V$4,[11]Rel_Viab!$G$4:$J$14,9,FALSE)</f>
        <v>5000</v>
      </c>
      <c r="V21" s="856"/>
      <c r="W21" s="867"/>
      <c r="X21" s="871"/>
      <c r="Y21" s="856"/>
      <c r="Z21" s="867"/>
      <c r="AA21" s="871"/>
      <c r="AB21" s="856"/>
      <c r="AC21" s="867"/>
      <c r="AD21" s="871"/>
      <c r="AE21" s="856"/>
      <c r="AF21" s="867"/>
      <c r="AG21" s="871"/>
      <c r="AH21" s="888"/>
      <c r="AI21" s="882"/>
      <c r="AJ21" s="889"/>
      <c r="AK21" s="877"/>
      <c r="AP21" s="882"/>
      <c r="AQ21" s="882"/>
      <c r="AR21" s="889"/>
      <c r="AT21" s="882"/>
      <c r="AU21" s="882"/>
      <c r="AV21" s="889"/>
      <c r="AY21" s="882"/>
      <c r="AZ21" s="888"/>
      <c r="BA21" s="888"/>
      <c r="BB21" s="888"/>
      <c r="BC21" s="888"/>
      <c r="BD21" s="888"/>
      <c r="BE21" s="888"/>
      <c r="BF21" s="888"/>
      <c r="BG21" s="888"/>
      <c r="BH21" s="888"/>
      <c r="BI21" s="888"/>
      <c r="BJ21" s="888"/>
      <c r="BK21" s="888"/>
      <c r="BL21" s="888"/>
      <c r="BM21" s="888"/>
      <c r="BN21" s="888"/>
      <c r="BU21" s="882"/>
      <c r="BV21" s="882"/>
      <c r="BW21" s="889"/>
    </row>
    <row r="22" spans="14:89" ht="30" customHeight="1">
      <c r="V22" s="856"/>
      <c r="W22" s="867"/>
      <c r="X22" s="871"/>
      <c r="Y22" s="856"/>
      <c r="Z22" s="867"/>
      <c r="AA22" s="871"/>
      <c r="AB22" s="856"/>
      <c r="AC22" s="867"/>
      <c r="AD22" s="871"/>
      <c r="AE22" s="856"/>
      <c r="AF22" s="867"/>
      <c r="AG22" s="871"/>
      <c r="AH22" s="888"/>
      <c r="AI22" s="882"/>
      <c r="AJ22" s="889"/>
      <c r="AK22" s="877"/>
      <c r="AY22" s="882"/>
      <c r="AZ22" s="888"/>
      <c r="BA22" s="888"/>
      <c r="BB22" s="888"/>
      <c r="BC22" s="888"/>
      <c r="BD22" s="888"/>
      <c r="BE22" s="888"/>
      <c r="BF22" s="888"/>
      <c r="BG22" s="888"/>
      <c r="BH22" s="888"/>
      <c r="BI22" s="888"/>
      <c r="BJ22" s="888"/>
      <c r="BK22" s="888"/>
      <c r="BL22" s="888"/>
      <c r="BM22" s="888"/>
      <c r="BN22" s="888"/>
    </row>
    <row r="23" spans="14:89" ht="30" customHeight="1">
      <c r="V23" s="856"/>
      <c r="W23" s="867"/>
      <c r="X23" s="871"/>
      <c r="Y23" s="856"/>
      <c r="Z23" s="867"/>
      <c r="AA23" s="871"/>
      <c r="AB23" s="856"/>
      <c r="AC23" s="867"/>
      <c r="AD23" s="871"/>
      <c r="AE23" s="856"/>
      <c r="AF23" s="867"/>
      <c r="AG23" s="871"/>
      <c r="AH23" s="888"/>
      <c r="AI23" s="882"/>
      <c r="AJ23" s="889"/>
      <c r="AK23" s="877"/>
      <c r="AY23" s="882"/>
      <c r="AZ23" s="888"/>
      <c r="BA23" s="888"/>
      <c r="BB23" s="888"/>
      <c r="BC23" s="888"/>
      <c r="BD23" s="888"/>
      <c r="BE23" s="888"/>
      <c r="BF23" s="888"/>
      <c r="BG23" s="888"/>
      <c r="BH23" s="888"/>
      <c r="BI23" s="888"/>
      <c r="BJ23" s="888"/>
      <c r="BK23" s="888"/>
      <c r="BL23" s="888"/>
      <c r="BM23" s="888"/>
      <c r="BN23" s="888"/>
    </row>
    <row r="24" spans="14:89" ht="30" customHeight="1">
      <c r="V24" s="856"/>
      <c r="W24" s="867"/>
      <c r="X24" s="871"/>
      <c r="Y24" s="856"/>
      <c r="Z24" s="867"/>
      <c r="AA24" s="871"/>
      <c r="AB24" s="856"/>
      <c r="AC24" s="867"/>
      <c r="AD24" s="871"/>
      <c r="AE24" s="856"/>
      <c r="AF24" s="867"/>
      <c r="AG24" s="871"/>
      <c r="AH24" s="888"/>
      <c r="AI24" s="882"/>
      <c r="AJ24" s="889"/>
      <c r="AK24" s="877"/>
      <c r="AY24" s="882"/>
      <c r="AZ24" s="888"/>
      <c r="BA24" s="888"/>
      <c r="BB24" s="888"/>
      <c r="BC24" s="888"/>
      <c r="BD24" s="888"/>
      <c r="BE24" s="888"/>
      <c r="BF24" s="888"/>
      <c r="BG24" s="888"/>
      <c r="BH24" s="888"/>
      <c r="BI24" s="888"/>
      <c r="BJ24" s="888"/>
      <c r="BK24" s="888"/>
      <c r="BL24" s="888"/>
      <c r="BM24" s="888"/>
      <c r="BN24" s="888"/>
    </row>
    <row r="25" spans="14:89" ht="30" customHeight="1">
      <c r="V25" s="856"/>
      <c r="W25" s="867"/>
      <c r="X25" s="871"/>
      <c r="Y25" s="856"/>
      <c r="Z25" s="867"/>
      <c r="AA25" s="871"/>
      <c r="AB25" s="856"/>
      <c r="AC25" s="867"/>
      <c r="AD25" s="871"/>
      <c r="AE25" s="856"/>
      <c r="AF25" s="867"/>
      <c r="AG25" s="871"/>
      <c r="AH25" s="888"/>
      <c r="AI25" s="882"/>
      <c r="AJ25" s="889"/>
      <c r="AK25" s="877"/>
      <c r="AY25" s="882"/>
      <c r="AZ25" s="888"/>
      <c r="BA25" s="888"/>
      <c r="BB25" s="888"/>
      <c r="BC25" s="888"/>
      <c r="BD25" s="888"/>
      <c r="BE25" s="888"/>
      <c r="BF25" s="888"/>
      <c r="BG25" s="888"/>
      <c r="BH25" s="888"/>
      <c r="BI25" s="888"/>
      <c r="BJ25" s="888"/>
      <c r="BK25" s="888"/>
      <c r="BL25" s="888"/>
      <c r="BM25" s="888"/>
      <c r="BN25" s="888"/>
    </row>
    <row r="26" spans="14:89" ht="30" customHeight="1">
      <c r="V26" s="856"/>
      <c r="W26" s="867"/>
      <c r="X26" s="871"/>
      <c r="Y26" s="856"/>
      <c r="Z26" s="867"/>
      <c r="AA26" s="871"/>
      <c r="AB26" s="856"/>
      <c r="AC26" s="867"/>
      <c r="AD26" s="871"/>
      <c r="AE26" s="856"/>
      <c r="AF26" s="867"/>
      <c r="AG26" s="871"/>
      <c r="AH26" s="888"/>
      <c r="AI26" s="882"/>
      <c r="AJ26" s="889"/>
      <c r="AK26" s="877"/>
      <c r="AY26" s="882"/>
      <c r="AZ26" s="888"/>
      <c r="BA26" s="888"/>
      <c r="BB26" s="888"/>
      <c r="BC26" s="888"/>
      <c r="BD26" s="888"/>
      <c r="BE26" s="888"/>
      <c r="BF26" s="888"/>
      <c r="BG26" s="888"/>
      <c r="BH26" s="888"/>
      <c r="BI26" s="888"/>
      <c r="BJ26" s="888"/>
      <c r="BK26" s="888"/>
      <c r="BL26" s="888"/>
      <c r="BM26" s="888"/>
      <c r="BN26" s="888"/>
    </row>
    <row r="27" spans="14:89" ht="30" customHeight="1">
      <c r="V27" s="856"/>
      <c r="W27" s="867"/>
      <c r="X27" s="871"/>
      <c r="Y27" s="856"/>
      <c r="Z27" s="867"/>
      <c r="AA27" s="871"/>
      <c r="AB27" s="856"/>
      <c r="AC27" s="867"/>
      <c r="AD27" s="871"/>
      <c r="AE27" s="856"/>
      <c r="AF27" s="867"/>
      <c r="AG27" s="871"/>
      <c r="AH27" s="888"/>
      <c r="AI27" s="882"/>
      <c r="AJ27" s="889"/>
      <c r="AK27" s="877"/>
      <c r="AY27" s="882"/>
      <c r="AZ27" s="888"/>
      <c r="BA27" s="888"/>
      <c r="BB27" s="888"/>
      <c r="BC27" s="888"/>
      <c r="BD27" s="888"/>
      <c r="BE27" s="888"/>
      <c r="BF27" s="888"/>
      <c r="BG27" s="888"/>
      <c r="BH27" s="888"/>
      <c r="BI27" s="888"/>
      <c r="BJ27" s="888"/>
      <c r="BK27" s="888"/>
      <c r="BL27" s="888"/>
      <c r="BM27" s="888"/>
      <c r="BN27" s="888"/>
    </row>
    <row r="28" spans="14:89" ht="30" customHeight="1">
      <c r="V28" s="856"/>
      <c r="W28" s="867"/>
      <c r="X28" s="871"/>
      <c r="Y28" s="856"/>
      <c r="Z28" s="867"/>
      <c r="AA28" s="871"/>
      <c r="AB28" s="856"/>
      <c r="AC28" s="867"/>
      <c r="AD28" s="871"/>
      <c r="AE28" s="856"/>
      <c r="AF28" s="867"/>
      <c r="AG28" s="871"/>
      <c r="AH28" s="888"/>
      <c r="AI28" s="882"/>
      <c r="AJ28" s="889"/>
      <c r="AK28" s="877"/>
      <c r="AY28" s="882"/>
      <c r="AZ28" s="888"/>
      <c r="BA28" s="888"/>
      <c r="BB28" s="888"/>
      <c r="BC28" s="888"/>
      <c r="BD28" s="888"/>
      <c r="BE28" s="888"/>
      <c r="BF28" s="888"/>
      <c r="BG28" s="888"/>
      <c r="BH28" s="888"/>
      <c r="BI28" s="888"/>
      <c r="BJ28" s="888"/>
      <c r="BK28" s="888"/>
      <c r="BL28" s="888"/>
      <c r="BM28" s="888"/>
      <c r="BN28" s="888"/>
    </row>
    <row r="29" spans="14:89" ht="30" customHeight="1">
      <c r="V29" s="856"/>
      <c r="W29" s="867"/>
      <c r="X29" s="871"/>
      <c r="Y29" s="856"/>
      <c r="Z29" s="867"/>
      <c r="AA29" s="871"/>
      <c r="AB29" s="856"/>
      <c r="AC29" s="867"/>
      <c r="AD29" s="871"/>
      <c r="AE29" s="856"/>
      <c r="AF29" s="867"/>
      <c r="AG29" s="871"/>
      <c r="AH29" s="888"/>
      <c r="AI29" s="882"/>
      <c r="AJ29" s="889"/>
      <c r="AK29" s="877"/>
      <c r="AY29" s="882"/>
      <c r="AZ29" s="888"/>
      <c r="BA29" s="888"/>
      <c r="BB29" s="888"/>
      <c r="BC29" s="888"/>
      <c r="BD29" s="888"/>
      <c r="BE29" s="888"/>
      <c r="BF29" s="888"/>
      <c r="BG29" s="888"/>
      <c r="BH29" s="888"/>
      <c r="BI29" s="888"/>
      <c r="BJ29" s="888"/>
      <c r="BK29" s="888"/>
      <c r="BL29" s="888"/>
      <c r="BM29" s="888"/>
      <c r="BN29" s="888"/>
    </row>
    <row r="30" spans="14:89" ht="30" customHeight="1">
      <c r="V30" s="856"/>
      <c r="W30" s="867"/>
      <c r="X30" s="871"/>
      <c r="Y30" s="856"/>
      <c r="Z30" s="867"/>
      <c r="AA30" s="871"/>
      <c r="AB30" s="856"/>
      <c r="AC30" s="867"/>
      <c r="AD30" s="871"/>
      <c r="AE30" s="856"/>
      <c r="AF30" s="867"/>
      <c r="AG30" s="871"/>
      <c r="AH30" s="888"/>
      <c r="AI30" s="882"/>
      <c r="AJ30" s="889"/>
      <c r="AK30" s="877"/>
      <c r="AY30" s="882"/>
      <c r="AZ30" s="888"/>
      <c r="BA30" s="888"/>
      <c r="BB30" s="888"/>
      <c r="BC30" s="888"/>
      <c r="BD30" s="888"/>
      <c r="BE30" s="888"/>
      <c r="BF30" s="888"/>
      <c r="BG30" s="888"/>
      <c r="BH30" s="888"/>
      <c r="BI30" s="888"/>
      <c r="BJ30" s="888"/>
      <c r="BK30" s="888"/>
      <c r="BL30" s="888"/>
      <c r="BM30" s="888"/>
      <c r="BN30" s="888"/>
    </row>
    <row r="31" spans="14:89" ht="30" customHeight="1">
      <c r="V31" s="856"/>
      <c r="W31" s="867"/>
      <c r="X31" s="871"/>
      <c r="Y31" s="856"/>
      <c r="Z31" s="867"/>
      <c r="AA31" s="871"/>
      <c r="AB31" s="856"/>
      <c r="AC31" s="867"/>
      <c r="AD31" s="871"/>
      <c r="AE31" s="856"/>
      <c r="AF31" s="867"/>
      <c r="AG31" s="871"/>
      <c r="AH31" s="888"/>
      <c r="AI31" s="882"/>
      <c r="AJ31" s="889"/>
      <c r="AK31" s="877"/>
      <c r="AY31" s="882"/>
      <c r="AZ31" s="888"/>
      <c r="BA31" s="888"/>
      <c r="BB31" s="888"/>
      <c r="BC31" s="888"/>
      <c r="BD31" s="888"/>
      <c r="BE31" s="888"/>
      <c r="BF31" s="888"/>
      <c r="BG31" s="888"/>
      <c r="BH31" s="888"/>
      <c r="BI31" s="888"/>
      <c r="BJ31" s="888"/>
      <c r="BK31" s="888"/>
      <c r="BL31" s="888"/>
      <c r="BM31" s="888"/>
      <c r="BN31" s="888"/>
    </row>
    <row r="32" spans="14:89" ht="30" customHeight="1">
      <c r="V32" s="856"/>
      <c r="W32" s="867"/>
      <c r="X32" s="871"/>
      <c r="Y32" s="856"/>
      <c r="Z32" s="867"/>
      <c r="AA32" s="871"/>
      <c r="AB32" s="856"/>
      <c r="AC32" s="867"/>
      <c r="AD32" s="871"/>
      <c r="AE32" s="856"/>
      <c r="AF32" s="867"/>
      <c r="AG32" s="871"/>
      <c r="AH32" s="888"/>
      <c r="AI32" s="882"/>
      <c r="AJ32" s="889"/>
      <c r="AK32" s="877"/>
      <c r="AY32" s="882"/>
      <c r="BA32" s="888"/>
      <c r="BB32" s="888"/>
    </row>
    <row r="33" spans="21:51" ht="30" customHeight="1">
      <c r="V33" s="856"/>
      <c r="W33" s="867"/>
      <c r="X33" s="871"/>
      <c r="Y33" s="856"/>
      <c r="Z33" s="867"/>
      <c r="AA33" s="871"/>
      <c r="AB33" s="856"/>
      <c r="AC33" s="867"/>
      <c r="AD33" s="871"/>
      <c r="AE33" s="856"/>
      <c r="AF33" s="867"/>
      <c r="AG33" s="871"/>
      <c r="AH33" s="888"/>
      <c r="AI33" s="882"/>
      <c r="AJ33" s="889"/>
      <c r="AK33" s="877"/>
      <c r="AY33" s="882"/>
    </row>
    <row r="34" spans="21:51" ht="30" customHeight="1">
      <c r="V34" s="856"/>
      <c r="W34" s="867"/>
      <c r="X34" s="871"/>
      <c r="Y34" s="856"/>
      <c r="Z34" s="867"/>
      <c r="AA34" s="871"/>
      <c r="AB34" s="856"/>
      <c r="AC34" s="867"/>
      <c r="AD34" s="871"/>
      <c r="AE34" s="856"/>
      <c r="AF34" s="867"/>
      <c r="AG34" s="871"/>
      <c r="AH34" s="888"/>
      <c r="AI34" s="882"/>
      <c r="AJ34" s="889"/>
      <c r="AK34" s="877"/>
      <c r="AY34" s="882"/>
    </row>
    <row r="35" spans="21:51" ht="30" customHeight="1">
      <c r="V35" s="856"/>
      <c r="W35" s="867"/>
      <c r="X35" s="871"/>
      <c r="Y35" s="856"/>
      <c r="Z35" s="867"/>
      <c r="AA35" s="871"/>
      <c r="AB35" s="856"/>
      <c r="AC35" s="867"/>
      <c r="AD35" s="871"/>
      <c r="AE35" s="856"/>
      <c r="AF35" s="867"/>
      <c r="AG35" s="871"/>
      <c r="AH35" s="888"/>
      <c r="AI35" s="882"/>
      <c r="AJ35" s="889"/>
      <c r="AK35" s="877"/>
      <c r="AY35" s="882"/>
    </row>
    <row r="36" spans="21:51" ht="30" customHeight="1">
      <c r="V36" s="856"/>
      <c r="W36" s="867"/>
      <c r="X36" s="871"/>
      <c r="Y36" s="856"/>
      <c r="Z36" s="867"/>
      <c r="AA36" s="871"/>
      <c r="AB36" s="856"/>
      <c r="AC36" s="867"/>
      <c r="AD36" s="871"/>
      <c r="AE36" s="856"/>
      <c r="AF36" s="867"/>
      <c r="AG36" s="871"/>
      <c r="AH36" s="888"/>
      <c r="AI36" s="882"/>
      <c r="AJ36" s="889"/>
      <c r="AK36" s="877"/>
      <c r="AY36" s="882"/>
    </row>
    <row r="37" spans="21:51" ht="30" customHeight="1">
      <c r="V37" s="856"/>
      <c r="W37" s="867"/>
      <c r="X37" s="871"/>
      <c r="Y37" s="856"/>
      <c r="Z37" s="867"/>
      <c r="AA37" s="871"/>
      <c r="AB37" s="856"/>
      <c r="AC37" s="867"/>
      <c r="AD37" s="871"/>
      <c r="AE37" s="856"/>
      <c r="AF37" s="867"/>
      <c r="AG37" s="871"/>
      <c r="AH37" s="888"/>
      <c r="AI37" s="882"/>
      <c r="AJ37" s="889"/>
      <c r="AK37" s="877"/>
      <c r="AY37" s="882"/>
    </row>
    <row r="38" spans="21:51" ht="30" customHeight="1">
      <c r="V38" s="856"/>
      <c r="W38" s="867"/>
      <c r="X38" s="871"/>
      <c r="Y38" s="856"/>
      <c r="Z38" s="867"/>
      <c r="AA38" s="871"/>
      <c r="AB38" s="856"/>
      <c r="AC38" s="867"/>
      <c r="AD38" s="871"/>
      <c r="AE38" s="856"/>
      <c r="AF38" s="867"/>
      <c r="AG38" s="871"/>
      <c r="AH38" s="888"/>
      <c r="AI38" s="882"/>
      <c r="AJ38" s="889"/>
      <c r="AK38" s="877"/>
      <c r="AY38" s="882"/>
    </row>
    <row r="39" spans="21:51" ht="30" customHeight="1">
      <c r="V39" s="856"/>
      <c r="W39" s="867"/>
      <c r="X39" s="871"/>
      <c r="Y39" s="856"/>
      <c r="Z39" s="867"/>
      <c r="AA39" s="871"/>
      <c r="AB39" s="856"/>
      <c r="AC39" s="867"/>
      <c r="AD39" s="871"/>
      <c r="AE39" s="856"/>
      <c r="AF39" s="867"/>
      <c r="AG39" s="871"/>
      <c r="AH39" s="888"/>
      <c r="AI39" s="882"/>
      <c r="AJ39" s="889"/>
      <c r="AK39" s="877"/>
      <c r="AY39" s="882"/>
    </row>
    <row r="40" spans="21:51" ht="30" customHeight="1">
      <c r="V40" s="856"/>
      <c r="W40" s="867"/>
      <c r="X40" s="871"/>
      <c r="Y40" s="856"/>
      <c r="Z40" s="867"/>
      <c r="AA40" s="871"/>
      <c r="AB40" s="856"/>
      <c r="AC40" s="867"/>
      <c r="AD40" s="871"/>
      <c r="AE40" s="856"/>
      <c r="AF40" s="867"/>
      <c r="AG40" s="871"/>
      <c r="AH40" s="888"/>
      <c r="AI40" s="882"/>
      <c r="AJ40" s="889"/>
      <c r="AK40" s="877"/>
      <c r="AY40" s="882"/>
    </row>
    <row r="41" spans="21:51" ht="30" customHeight="1">
      <c r="V41" s="856"/>
      <c r="W41" s="867"/>
      <c r="X41" s="871"/>
      <c r="Y41" s="856"/>
      <c r="Z41" s="867"/>
      <c r="AA41" s="871"/>
      <c r="AB41" s="856"/>
      <c r="AC41" s="867"/>
      <c r="AD41" s="871"/>
      <c r="AE41" s="856"/>
      <c r="AF41" s="867"/>
      <c r="AG41" s="871"/>
      <c r="AH41" s="888"/>
      <c r="AI41" s="882"/>
      <c r="AJ41" s="889"/>
      <c r="AK41" s="877"/>
      <c r="AY41" s="882"/>
    </row>
    <row r="42" spans="21:51" ht="30" customHeight="1">
      <c r="V42" s="856"/>
      <c r="W42" s="867"/>
      <c r="X42" s="871"/>
      <c r="Y42" s="856"/>
      <c r="Z42" s="867"/>
      <c r="AA42" s="871"/>
      <c r="AB42" s="856"/>
      <c r="AC42" s="867"/>
      <c r="AD42" s="871"/>
      <c r="AE42" s="856"/>
      <c r="AF42" s="867"/>
      <c r="AG42" s="871"/>
      <c r="AH42" s="888"/>
      <c r="AI42" s="882"/>
      <c r="AJ42" s="889"/>
      <c r="AK42" s="877"/>
      <c r="AY42" s="882"/>
    </row>
    <row r="43" spans="21:51" ht="30" customHeight="1">
      <c r="U43" s="855" t="s">
        <v>812</v>
      </c>
      <c r="V43" s="853" t="s">
        <v>812</v>
      </c>
      <c r="W43" s="853" t="s">
        <v>812</v>
      </c>
      <c r="Y43" s="855" t="s">
        <v>812</v>
      </c>
      <c r="Z43" s="853" t="s">
        <v>812</v>
      </c>
      <c r="AB43" s="855" t="s">
        <v>812</v>
      </c>
      <c r="AC43" s="853" t="s">
        <v>812</v>
      </c>
      <c r="AE43" s="855" t="s">
        <v>812</v>
      </c>
      <c r="AF43" s="853" t="s">
        <v>812</v>
      </c>
      <c r="AH43" s="877" t="s">
        <v>812</v>
      </c>
      <c r="AI43" s="876" t="s">
        <v>812</v>
      </c>
      <c r="AJ43" s="889" t="str">
        <f t="shared" ref="AJ43" si="0">AH43</f>
        <v>a</v>
      </c>
      <c r="AK43" s="877" t="s">
        <v>812</v>
      </c>
      <c r="AL43" s="877" t="s">
        <v>812</v>
      </c>
      <c r="AM43" s="877" t="s">
        <v>812</v>
      </c>
      <c r="AY43" s="882"/>
    </row>
    <row r="44" spans="21:51" ht="30" customHeight="1">
      <c r="AY44" s="882"/>
    </row>
    <row r="45" spans="21:51" ht="30" customHeight="1">
      <c r="AY45" s="882"/>
    </row>
    <row r="46" spans="21:51" ht="30" customHeight="1">
      <c r="AY46" s="882"/>
    </row>
    <row r="47" spans="21:51" ht="30" customHeight="1">
      <c r="AY47" s="882"/>
    </row>
    <row r="48" spans="21:51" ht="30" customHeight="1">
      <c r="AY48" s="882"/>
    </row>
    <row r="49" spans="51:51" ht="30" customHeight="1">
      <c r="AY49" s="882"/>
    </row>
    <row r="50" spans="51:51" ht="30" customHeight="1">
      <c r="AY50" s="882"/>
    </row>
    <row r="51" spans="51:51" ht="30" customHeight="1">
      <c r="AY51" s="882"/>
    </row>
    <row r="52" spans="51:51" ht="30" customHeight="1">
      <c r="AY52" s="882"/>
    </row>
    <row r="53" spans="51:51" ht="30" customHeight="1">
      <c r="AY53" s="882"/>
    </row>
    <row r="54" spans="51:51" ht="30" customHeight="1">
      <c r="AY54" s="882"/>
    </row>
    <row r="55" spans="51:51" ht="30" customHeight="1">
      <c r="AY55" s="882"/>
    </row>
    <row r="56" spans="51:51" ht="30" customHeight="1">
      <c r="AY56" s="882"/>
    </row>
    <row r="57" spans="51:51" ht="30" customHeight="1">
      <c r="AY57" s="882"/>
    </row>
    <row r="58" spans="51:51" ht="30" customHeight="1">
      <c r="AY58" s="882"/>
    </row>
    <row r="59" spans="51:51" ht="30" customHeight="1">
      <c r="AY59" s="882"/>
    </row>
    <row r="60" spans="51:51" ht="30" customHeight="1">
      <c r="AY60" s="882"/>
    </row>
    <row r="61" spans="51:51" ht="30" customHeight="1">
      <c r="AY61" s="882"/>
    </row>
    <row r="62" spans="51:51" ht="30" customHeight="1">
      <c r="AY62" s="882"/>
    </row>
    <row r="63" spans="51:51" ht="30" customHeight="1">
      <c r="AY63" s="882"/>
    </row>
    <row r="64" spans="51:51" ht="30" customHeight="1">
      <c r="AY64" s="882"/>
    </row>
    <row r="65" spans="51:51" ht="30" customHeight="1">
      <c r="AY65" s="882"/>
    </row>
    <row r="66" spans="51:51" ht="30" customHeight="1">
      <c r="AY66" s="882"/>
    </row>
    <row r="67" spans="51:51" ht="30" customHeight="1">
      <c r="AY67" s="882"/>
    </row>
    <row r="68" spans="51:51" ht="30" customHeight="1">
      <c r="AY68" s="882"/>
    </row>
    <row r="69" spans="51:51" ht="30" customHeight="1">
      <c r="AY69" s="882"/>
    </row>
    <row r="70" spans="51:51" ht="30" customHeight="1">
      <c r="AY70" s="882"/>
    </row>
    <row r="71" spans="51:51" ht="30" customHeight="1">
      <c r="AY71" s="882"/>
    </row>
    <row r="72" spans="51:51" ht="30" customHeight="1"/>
    <row r="73" spans="51:51" ht="30" customHeight="1"/>
    <row r="74" spans="51:51" ht="30" customHeight="1"/>
    <row r="75" spans="51:51" ht="30" customHeight="1"/>
    <row r="76" spans="51:51" ht="30" customHeight="1"/>
    <row r="77" spans="51:51" ht="30" customHeight="1"/>
    <row r="78" spans="51:51" ht="30" customHeight="1"/>
    <row r="79" spans="51:51" ht="30" customHeight="1"/>
    <row r="80" spans="51:51" ht="30" customHeight="1"/>
    <row r="81" ht="30" customHeight="1"/>
    <row r="82" ht="30" customHeight="1"/>
    <row r="83" ht="30" customHeight="1"/>
    <row r="84" ht="30" customHeight="1"/>
    <row r="85" ht="30" customHeight="1"/>
    <row r="86" ht="30" customHeight="1"/>
    <row r="87" ht="30" customHeight="1"/>
    <row r="88" ht="30" customHeight="1"/>
    <row r="89" ht="30" customHeight="1"/>
    <row r="90" ht="30" customHeight="1"/>
    <row r="91" ht="30" customHeight="1"/>
    <row r="92" ht="30" customHeight="1"/>
    <row r="93" ht="30" customHeight="1"/>
    <row r="94" ht="30" customHeight="1"/>
    <row r="95" ht="30" customHeight="1"/>
    <row r="96" ht="30" customHeight="1"/>
    <row r="97" ht="30" customHeight="1"/>
    <row r="98" ht="30" customHeight="1"/>
    <row r="99" ht="30" customHeight="1"/>
    <row r="100" ht="30" customHeight="1"/>
    <row r="101" ht="30" customHeight="1"/>
    <row r="102" ht="30" customHeight="1"/>
    <row r="103" ht="30" customHeight="1"/>
    <row r="104" ht="30" customHeight="1"/>
    <row r="105" ht="30" customHeight="1"/>
    <row r="106" ht="30" customHeight="1"/>
    <row r="107" ht="30" customHeight="1"/>
    <row r="108" ht="30" customHeight="1"/>
    <row r="109" ht="30" customHeight="1"/>
  </sheetData>
  <sheetProtection formatColumns="0" formatRows="0" insertColumns="0" insertRows="0" insertHyperlinks="0" deleteColumns="0" deleteRows="0" selectLockedCells="1" sort="0" autoFilter="0" pivotTables="0"/>
  <mergeCells count="19">
    <mergeCell ref="AZ11:BB11"/>
    <mergeCell ref="BC11:BE11"/>
    <mergeCell ref="BF11:BH11"/>
    <mergeCell ref="BI11:BK11"/>
    <mergeCell ref="BL11:BN11"/>
    <mergeCell ref="AH11:AJ11"/>
    <mergeCell ref="C6:D6"/>
    <mergeCell ref="F6:G6"/>
    <mergeCell ref="I6:J6"/>
    <mergeCell ref="L6:M6"/>
    <mergeCell ref="C7:D7"/>
    <mergeCell ref="F7:G7"/>
    <mergeCell ref="I7:J7"/>
    <mergeCell ref="L7:M7"/>
    <mergeCell ref="C9:D9"/>
    <mergeCell ref="V11:X11"/>
    <mergeCell ref="Y11:AA11"/>
    <mergeCell ref="AB11:AD11"/>
    <mergeCell ref="AE11:AG11"/>
  </mergeCells>
  <conditionalFormatting sqref="I7:J7">
    <cfRule type="cellIs" dxfId="13" priority="3" operator="greaterThan">
      <formula>0</formula>
    </cfRule>
    <cfRule type="cellIs" dxfId="12" priority="4" operator="lessThanOrEqual">
      <formula>0</formula>
    </cfRule>
  </conditionalFormatting>
  <conditionalFormatting sqref="L7:M7">
    <cfRule type="cellIs" dxfId="11" priority="1" operator="greaterThan">
      <formula>0</formula>
    </cfRule>
    <cfRule type="cellIs" dxfId="10" priority="2" operator="lessThanOrEqual">
      <formula>0</formula>
    </cfRule>
  </conditionalFormatting>
  <pageMargins left="0.7" right="0.7" top="0.75" bottom="0.75" header="0.3" footer="0.3"/>
  <pageSetup paperSize="9" scale="62" fitToHeight="0" orientation="landscape" r:id="rId1"/>
  <headerFooter>
    <oddFooter>&amp;L&amp;1#&amp;"Calibri"&amp;10&amp;K000000Internal Use Only</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81" r:id="rId4" name="Drop Down 1">
              <controlPr defaultSize="0" autoLine="0" autoPict="0">
                <anchor>
                  <from>
                    <xdr:col>2</xdr:col>
                    <xdr:colOff>165100</xdr:colOff>
                    <xdr:row>3</xdr:row>
                    <xdr:rowOff>63500</xdr:rowOff>
                  </from>
                  <to>
                    <xdr:col>3</xdr:col>
                    <xdr:colOff>215900</xdr:colOff>
                    <xdr:row>3</xdr:row>
                    <xdr:rowOff>368300</xdr:rowOff>
                  </to>
                </anchor>
              </controlPr>
            </control>
          </mc:Choice>
        </mc:AlternateContent>
      </controls>
    </mc:Choice>
  </mc:AlternateConten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8E847-8A5E-448F-9C59-9B629FADB760}">
  <sheetPr codeName="Planilha20">
    <pageSetUpPr fitToPage="1"/>
  </sheetPr>
  <dimension ref="C1:AE109"/>
  <sheetViews>
    <sheetView showGridLines="0" zoomScale="90" zoomScaleNormal="90" zoomScalePageLayoutView="80" workbookViewId="0">
      <pane ySplit="2" topLeftCell="A3" activePane="bottomLeft" state="frozen"/>
      <selection pane="bottomLeft"/>
    </sheetView>
  </sheetViews>
  <sheetFormatPr baseColWidth="10" defaultColWidth="12.33203125" defaultRowHeight="16"/>
  <cols>
    <col min="1" max="1" width="2.33203125" style="851" customWidth="1"/>
    <col min="2" max="2" width="1.5" style="851" customWidth="1"/>
    <col min="3" max="3" width="24" style="851" customWidth="1"/>
    <col min="4" max="4" width="22.1640625" style="851" customWidth="1"/>
    <col min="5" max="5" width="3.33203125" style="851" customWidth="1"/>
    <col min="6" max="6" width="24" style="851" customWidth="1"/>
    <col min="7" max="7" width="22.1640625" style="851" customWidth="1"/>
    <col min="8" max="8" width="3.33203125" style="851" customWidth="1"/>
    <col min="9" max="9" width="24" style="851" customWidth="1"/>
    <col min="10" max="10" width="22.1640625" style="851" customWidth="1"/>
    <col min="11" max="11" width="3.33203125" style="851" customWidth="1"/>
    <col min="12" max="12" width="24" style="851" customWidth="1"/>
    <col min="13" max="13" width="22.1640625" style="851" customWidth="1"/>
    <col min="14" max="15" width="12.33203125" style="853"/>
    <col min="16" max="18" width="15.1640625" style="853" bestFit="1" customWidth="1"/>
    <col min="19" max="20" width="16.6640625" style="853" bestFit="1" customWidth="1"/>
    <col min="21" max="21" width="12.33203125" style="853"/>
    <col min="22" max="25" width="12.33203125" style="876"/>
    <col min="26" max="31" width="12.33203125" style="853"/>
    <col min="32" max="16384" width="12.33203125" style="851"/>
  </cols>
  <sheetData>
    <row r="1" spans="3:31" s="838" customFormat="1" ht="39" customHeight="1">
      <c r="N1" s="840"/>
      <c r="O1" s="840"/>
      <c r="P1" s="840"/>
      <c r="Q1" s="840"/>
      <c r="R1" s="840"/>
      <c r="S1" s="840"/>
      <c r="T1" s="840"/>
      <c r="U1" s="840"/>
      <c r="V1" s="872"/>
      <c r="W1" s="872"/>
      <c r="X1" s="872"/>
      <c r="Y1" s="872"/>
      <c r="Z1" s="840"/>
      <c r="AA1" s="840"/>
      <c r="AB1" s="840"/>
      <c r="AC1" s="840"/>
      <c r="AD1" s="840"/>
      <c r="AE1" s="840"/>
    </row>
    <row r="2" spans="3:31" s="844" customFormat="1" ht="30" customHeight="1">
      <c r="N2" s="848"/>
      <c r="O2" s="848"/>
      <c r="P2" s="848"/>
      <c r="Q2" s="848"/>
      <c r="R2" s="848"/>
      <c r="S2" s="848"/>
      <c r="T2" s="848"/>
      <c r="U2" s="848"/>
      <c r="V2" s="874"/>
      <c r="W2" s="874"/>
      <c r="X2" s="874"/>
      <c r="Y2" s="874"/>
      <c r="Z2" s="848"/>
      <c r="AA2" s="848"/>
      <c r="AB2" s="848"/>
      <c r="AC2" s="848"/>
      <c r="AD2" s="848"/>
      <c r="AE2" s="848"/>
    </row>
    <row r="3" spans="3:31" ht="15" customHeight="1"/>
    <row r="4" spans="3:31" s="857" customFormat="1" ht="26.25" customHeight="1">
      <c r="C4" s="1206" t="s">
        <v>825</v>
      </c>
      <c r="D4" s="1206"/>
      <c r="F4" s="1206" t="s">
        <v>826</v>
      </c>
      <c r="G4" s="1206"/>
      <c r="I4" s="1206" t="s">
        <v>827</v>
      </c>
      <c r="J4" s="1206"/>
      <c r="L4" s="1206" t="s">
        <v>828</v>
      </c>
      <c r="M4" s="1206"/>
      <c r="N4" s="858"/>
      <c r="O4" s="858"/>
      <c r="P4" s="858"/>
      <c r="Q4" s="858"/>
      <c r="R4" s="858"/>
      <c r="S4" s="858"/>
      <c r="T4" s="858"/>
      <c r="U4" s="858"/>
      <c r="V4" s="880"/>
      <c r="W4" s="880"/>
      <c r="X4" s="880"/>
      <c r="Y4" s="880"/>
      <c r="Z4" s="858"/>
      <c r="AA4" s="858"/>
      <c r="AB4" s="858"/>
      <c r="AC4" s="858"/>
      <c r="AD4" s="858"/>
      <c r="AE4" s="858"/>
    </row>
    <row r="5" spans="3:31" s="865" customFormat="1" ht="56.25" customHeight="1">
      <c r="C5" s="1210">
        <f>[11]Rel_Viab!J5</f>
        <v>251999999.99999994</v>
      </c>
      <c r="D5" s="1210"/>
      <c r="E5" s="866"/>
      <c r="F5" s="1211">
        <f>[11]Rel_Viab!J6+[11]Rel_Viab!J7+[11]Rel_Viab!J9+[11]Rel_Viab!J12+[11]Rel_Viab!D8</f>
        <v>228516850.00000003</v>
      </c>
      <c r="G5" s="1211"/>
      <c r="I5" s="1209">
        <f>C5-F5</f>
        <v>23483149.999999911</v>
      </c>
      <c r="J5" s="1209"/>
      <c r="L5" s="1214">
        <f>[11]Rel_Viab!J15</f>
        <v>9.3187103174602839E-2</v>
      </c>
      <c r="M5" s="1214"/>
      <c r="N5" s="867"/>
      <c r="O5" s="867"/>
      <c r="P5" s="867"/>
      <c r="Q5" s="855"/>
      <c r="R5" s="855"/>
      <c r="S5" s="855"/>
      <c r="T5" s="855"/>
      <c r="U5" s="855"/>
      <c r="V5" s="877"/>
      <c r="W5" s="877"/>
      <c r="X5" s="877"/>
      <c r="Y5" s="877"/>
      <c r="Z5" s="856"/>
      <c r="AA5" s="855"/>
      <c r="AB5" s="855"/>
      <c r="AC5" s="855"/>
      <c r="AD5" s="855"/>
      <c r="AE5" s="855"/>
    </row>
    <row r="6" spans="3:31" s="865" customFormat="1" ht="7" customHeight="1">
      <c r="D6" s="866"/>
      <c r="E6" s="866"/>
      <c r="N6" s="867"/>
      <c r="O6" s="867"/>
      <c r="P6" s="867"/>
      <c r="Q6" s="855"/>
      <c r="R6" s="855"/>
      <c r="S6" s="855"/>
      <c r="T6" s="855"/>
      <c r="U6" s="855"/>
      <c r="V6" s="877"/>
      <c r="W6" s="877"/>
      <c r="X6" s="877"/>
      <c r="Y6" s="877"/>
      <c r="Z6" s="856"/>
      <c r="AA6" s="855"/>
      <c r="AB6" s="855"/>
      <c r="AC6" s="855"/>
      <c r="AD6" s="855"/>
      <c r="AE6" s="855"/>
    </row>
    <row r="7" spans="3:31" s="857" customFormat="1" ht="30" customHeight="1">
      <c r="C7" s="1206" t="s">
        <v>829</v>
      </c>
      <c r="D7" s="1206"/>
      <c r="I7" s="1206" t="s">
        <v>830</v>
      </c>
      <c r="J7" s="1206"/>
      <c r="N7" s="858"/>
      <c r="O7" s="858"/>
      <c r="P7" s="858"/>
      <c r="Q7" s="858"/>
      <c r="R7" s="858"/>
      <c r="S7" s="858"/>
      <c r="T7" s="858"/>
      <c r="U7" s="858"/>
      <c r="V7" s="880"/>
      <c r="W7" s="880"/>
      <c r="X7" s="880"/>
      <c r="Y7" s="880"/>
      <c r="Z7" s="858"/>
      <c r="AA7" s="858"/>
      <c r="AB7" s="858"/>
      <c r="AC7" s="858"/>
      <c r="AD7" s="858"/>
      <c r="AE7" s="858"/>
    </row>
    <row r="8" spans="3:31" s="865" customFormat="1" ht="32.25" customHeight="1">
      <c r="C8" s="851"/>
      <c r="D8" s="851"/>
      <c r="E8" s="851"/>
      <c r="F8" s="851"/>
      <c r="G8" s="851"/>
      <c r="I8" s="851"/>
      <c r="J8" s="851"/>
      <c r="K8" s="851"/>
      <c r="L8" s="851"/>
      <c r="M8" s="851"/>
      <c r="N8" s="867"/>
      <c r="O8" s="867"/>
      <c r="P8" s="867" t="s">
        <v>789</v>
      </c>
      <c r="Q8" s="867" t="s">
        <v>790</v>
      </c>
      <c r="R8" s="867" t="s">
        <v>791</v>
      </c>
      <c r="S8" s="867" t="s">
        <v>797</v>
      </c>
      <c r="T8" s="867" t="s">
        <v>798</v>
      </c>
      <c r="U8" s="867"/>
      <c r="V8" s="882"/>
      <c r="W8" s="882"/>
      <c r="X8" s="882"/>
      <c r="Y8" s="882"/>
      <c r="Z8" s="867"/>
      <c r="AA8" s="867"/>
      <c r="AB8" s="867"/>
      <c r="AC8" s="867"/>
      <c r="AD8" s="867"/>
      <c r="AE8" s="867"/>
    </row>
    <row r="9" spans="3:31" s="865" customFormat="1" ht="30.75" customHeight="1">
      <c r="C9" s="851"/>
      <c r="D9" s="851"/>
      <c r="E9" s="851"/>
      <c r="F9" s="851"/>
      <c r="G9" s="851"/>
      <c r="I9" s="851"/>
      <c r="J9" s="851"/>
      <c r="K9" s="851"/>
      <c r="L9" s="851"/>
      <c r="M9" s="851"/>
      <c r="N9" s="867"/>
      <c r="O9" s="867" t="s">
        <v>831</v>
      </c>
      <c r="P9" s="871">
        <f>[11]Rel_Viab!G8</f>
        <v>24612571.42857141</v>
      </c>
      <c r="Q9" s="871">
        <f>[11]Rel_Viab!H8</f>
        <v>61531428.571428493</v>
      </c>
      <c r="R9" s="871">
        <f>[11]Rel_Viab!I8</f>
        <v>0</v>
      </c>
      <c r="S9" s="871" t="e">
        <f>[11]Rel_Viab!#REF!</f>
        <v>#REF!</v>
      </c>
      <c r="T9" s="871" t="e">
        <f>[11]Rel_Viab!#REF!</f>
        <v>#REF!</v>
      </c>
      <c r="U9" s="867"/>
      <c r="V9" s="882"/>
      <c r="W9" s="882"/>
      <c r="X9" s="882"/>
      <c r="Y9" s="882"/>
      <c r="Z9" s="867"/>
      <c r="AA9" s="867"/>
      <c r="AB9" s="867"/>
      <c r="AC9" s="867"/>
      <c r="AD9" s="867"/>
      <c r="AE9" s="867"/>
    </row>
    <row r="10" spans="3:31" s="857" customFormat="1" ht="30.75" customHeight="1">
      <c r="C10" s="851"/>
      <c r="D10" s="851"/>
      <c r="E10" s="851"/>
      <c r="F10" s="851"/>
      <c r="G10" s="851"/>
      <c r="I10" s="851"/>
      <c r="J10" s="851"/>
      <c r="K10" s="851"/>
      <c r="L10" s="851"/>
      <c r="M10" s="851"/>
      <c r="N10" s="858"/>
      <c r="O10" s="867" t="s">
        <v>832</v>
      </c>
      <c r="P10" s="871">
        <f>[11]Rel_Viab!G9</f>
        <v>0</v>
      </c>
      <c r="Q10" s="871">
        <f>[11]Rel_Viab!H9</f>
        <v>0</v>
      </c>
      <c r="R10" s="871">
        <f>[11]Rel_Viab!I9</f>
        <v>0</v>
      </c>
      <c r="S10" s="871" t="e">
        <f>[11]Rel_Viab!#REF!</f>
        <v>#REF!</v>
      </c>
      <c r="T10" s="871" t="e">
        <f>[11]Rel_Viab!#REF!</f>
        <v>#REF!</v>
      </c>
      <c r="U10" s="858"/>
      <c r="V10" s="880"/>
      <c r="W10" s="880"/>
      <c r="X10" s="880"/>
      <c r="Y10" s="880"/>
      <c r="Z10" s="858"/>
      <c r="AA10" s="858"/>
      <c r="AB10" s="858"/>
      <c r="AC10" s="858"/>
      <c r="AD10" s="858"/>
      <c r="AE10" s="858"/>
    </row>
    <row r="11" spans="3:31" s="865" customFormat="1" ht="30.75" customHeight="1">
      <c r="C11" s="851"/>
      <c r="D11" s="851"/>
      <c r="E11" s="851"/>
      <c r="F11" s="851"/>
      <c r="G11" s="851"/>
      <c r="I11" s="851"/>
      <c r="J11" s="851"/>
      <c r="K11" s="851"/>
      <c r="L11" s="851"/>
      <c r="M11" s="851"/>
      <c r="N11" s="867"/>
      <c r="O11" s="867" t="s">
        <v>97</v>
      </c>
      <c r="P11" s="871">
        <f>P9-P10</f>
        <v>24612571.42857141</v>
      </c>
      <c r="Q11" s="871">
        <f>Q9-Q10</f>
        <v>61531428.571428493</v>
      </c>
      <c r="R11" s="871">
        <f>R9-R10</f>
        <v>0</v>
      </c>
      <c r="S11" s="871" t="e">
        <f>S9-S10</f>
        <v>#REF!</v>
      </c>
      <c r="T11" s="871" t="e">
        <f>T9-T10</f>
        <v>#REF!</v>
      </c>
      <c r="U11" s="867"/>
      <c r="V11" s="882"/>
      <c r="W11" s="882"/>
      <c r="X11" s="882"/>
      <c r="Y11" s="882"/>
      <c r="Z11" s="867"/>
      <c r="AA11" s="867"/>
      <c r="AB11" s="867"/>
      <c r="AC11" s="867"/>
      <c r="AD11" s="867"/>
      <c r="AE11" s="867"/>
    </row>
    <row r="12" spans="3:31" s="865" customFormat="1" ht="30.75" customHeight="1">
      <c r="C12" s="851"/>
      <c r="D12" s="851"/>
      <c r="E12" s="851"/>
      <c r="F12" s="851"/>
      <c r="G12" s="851"/>
      <c r="I12" s="851"/>
      <c r="J12" s="851"/>
      <c r="K12" s="851"/>
      <c r="L12" s="851"/>
      <c r="M12" s="851"/>
      <c r="N12" s="867"/>
      <c r="O12" s="867"/>
      <c r="P12" s="867"/>
      <c r="Q12" s="867"/>
      <c r="R12" s="867"/>
      <c r="S12" s="867"/>
      <c r="T12" s="867"/>
      <c r="U12" s="867"/>
      <c r="V12" s="882"/>
      <c r="W12" s="882"/>
      <c r="X12" s="882"/>
      <c r="Y12" s="882"/>
      <c r="Z12" s="867"/>
      <c r="AA12" s="867"/>
      <c r="AB12" s="867"/>
      <c r="AC12" s="867"/>
      <c r="AD12" s="867"/>
      <c r="AE12" s="867"/>
    </row>
    <row r="13" spans="3:31" s="865" customFormat="1" ht="45" customHeight="1">
      <c r="C13" s="851"/>
      <c r="D13" s="851"/>
      <c r="E13" s="851"/>
      <c r="F13" s="851"/>
      <c r="G13" s="851"/>
      <c r="I13" s="851"/>
      <c r="J13" s="851"/>
      <c r="K13" s="851"/>
      <c r="L13" s="851"/>
      <c r="M13" s="851"/>
      <c r="N13" s="867"/>
      <c r="O13" s="867"/>
      <c r="P13" s="867"/>
      <c r="Q13" s="867"/>
      <c r="R13" s="867"/>
      <c r="S13" s="867"/>
      <c r="T13" s="867"/>
      <c r="U13" s="867"/>
      <c r="V13" s="882"/>
      <c r="W13" s="882"/>
      <c r="X13" s="882"/>
      <c r="Y13" s="882"/>
      <c r="Z13" s="867"/>
      <c r="AA13" s="867"/>
      <c r="AB13" s="867"/>
      <c r="AC13" s="867"/>
      <c r="AD13" s="867"/>
      <c r="AE13" s="867"/>
    </row>
    <row r="14" spans="3:31" s="865" customFormat="1" ht="30" customHeight="1">
      <c r="N14" s="867"/>
      <c r="O14" s="867"/>
      <c r="P14" s="867"/>
      <c r="Q14" s="867"/>
      <c r="R14" s="867"/>
      <c r="S14" s="867"/>
      <c r="T14" s="867"/>
      <c r="U14" s="867"/>
      <c r="V14" s="882"/>
      <c r="W14" s="882"/>
      <c r="X14" s="882"/>
      <c r="Y14" s="882"/>
      <c r="Z14" s="867"/>
      <c r="AA14" s="867"/>
      <c r="AB14" s="867"/>
      <c r="AC14" s="867"/>
      <c r="AD14" s="867"/>
      <c r="AE14" s="867"/>
    </row>
    <row r="15" spans="3:31" s="865" customFormat="1" ht="30" customHeight="1">
      <c r="N15" s="867"/>
      <c r="O15" s="867"/>
      <c r="P15" s="867"/>
      <c r="Q15" s="867"/>
      <c r="R15" s="867"/>
      <c r="S15" s="867"/>
      <c r="T15" s="867"/>
      <c r="U15" s="867"/>
      <c r="V15" s="882"/>
      <c r="W15" s="882"/>
      <c r="X15" s="882"/>
      <c r="Y15" s="882"/>
      <c r="Z15" s="867"/>
      <c r="AA15" s="867"/>
      <c r="AB15" s="867"/>
      <c r="AC15" s="867"/>
      <c r="AD15" s="867"/>
      <c r="AE15" s="867"/>
    </row>
    <row r="16" spans="3:31" s="865" customFormat="1" ht="30" customHeight="1">
      <c r="N16" s="867"/>
      <c r="O16" s="867"/>
      <c r="P16" s="867"/>
      <c r="Q16" s="867"/>
      <c r="R16" s="867"/>
      <c r="S16" s="867"/>
      <c r="T16" s="867"/>
      <c r="U16" s="867"/>
      <c r="V16" s="882"/>
      <c r="W16" s="882"/>
      <c r="X16" s="882"/>
      <c r="Y16" s="882"/>
      <c r="Z16" s="867"/>
      <c r="AA16" s="867"/>
      <c r="AB16" s="867"/>
      <c r="AC16" s="867"/>
      <c r="AD16" s="867"/>
      <c r="AE16" s="867"/>
    </row>
    <row r="17" spans="14:31" s="865" customFormat="1" ht="30" customHeight="1">
      <c r="N17" s="867"/>
      <c r="O17" s="867"/>
      <c r="P17" s="867"/>
      <c r="Q17" s="867"/>
      <c r="R17" s="867"/>
      <c r="S17" s="867"/>
      <c r="T17" s="867"/>
      <c r="U17" s="867"/>
      <c r="V17" s="882"/>
      <c r="W17" s="882"/>
      <c r="X17" s="882"/>
      <c r="Y17" s="882"/>
      <c r="Z17" s="867"/>
      <c r="AA17" s="867"/>
      <c r="AB17" s="867"/>
      <c r="AC17" s="867"/>
      <c r="AD17" s="867"/>
      <c r="AE17" s="867"/>
    </row>
    <row r="18" spans="14:31" s="865" customFormat="1" ht="30" customHeight="1">
      <c r="N18" s="867"/>
      <c r="O18" s="867"/>
      <c r="P18" s="867"/>
      <c r="Q18" s="867"/>
      <c r="R18" s="867"/>
      <c r="S18" s="867"/>
      <c r="T18" s="867"/>
      <c r="U18" s="867"/>
      <c r="V18" s="882"/>
      <c r="W18" s="882"/>
      <c r="X18" s="882"/>
      <c r="Y18" s="882"/>
      <c r="Z18" s="867"/>
      <c r="AA18" s="867"/>
      <c r="AB18" s="867"/>
      <c r="AC18" s="867"/>
      <c r="AD18" s="867"/>
      <c r="AE18" s="867"/>
    </row>
    <row r="19" spans="14:31" s="865" customFormat="1" ht="30" customHeight="1">
      <c r="N19" s="867"/>
      <c r="O19" s="867"/>
      <c r="P19" s="867"/>
      <c r="Q19" s="867"/>
      <c r="R19" s="867"/>
      <c r="S19" s="867"/>
      <c r="T19" s="867"/>
      <c r="U19" s="867"/>
      <c r="V19" s="882"/>
      <c r="W19" s="882"/>
      <c r="X19" s="882"/>
      <c r="Y19" s="882"/>
      <c r="Z19" s="867"/>
      <c r="AA19" s="867"/>
      <c r="AB19" s="867"/>
      <c r="AC19" s="867"/>
      <c r="AD19" s="867"/>
      <c r="AE19" s="867"/>
    </row>
    <row r="20" spans="14:31" ht="30" customHeight="1"/>
    <row r="21" spans="14:31" ht="30" customHeight="1"/>
    <row r="22" spans="14:31" ht="30" customHeight="1"/>
    <row r="23" spans="14:31" ht="30" customHeight="1"/>
    <row r="24" spans="14:31" ht="30" customHeight="1"/>
    <row r="25" spans="14:31" ht="30" customHeight="1"/>
    <row r="26" spans="14:31" ht="30" customHeight="1"/>
    <row r="27" spans="14:31" ht="30" customHeight="1"/>
    <row r="28" spans="14:31" ht="30" customHeight="1"/>
    <row r="29" spans="14:31" ht="30" customHeight="1"/>
    <row r="30" spans="14:31" ht="30" customHeight="1"/>
    <row r="31" spans="14:31" ht="30" customHeight="1"/>
    <row r="32" spans="14:31" ht="30" customHeight="1"/>
    <row r="33" ht="30" customHeight="1"/>
    <row r="34" ht="30" customHeight="1"/>
    <row r="35" ht="30" customHeight="1"/>
    <row r="36" ht="30" customHeight="1"/>
    <row r="37" ht="30" customHeight="1"/>
    <row r="38" ht="30" customHeight="1"/>
    <row r="39" ht="30" customHeight="1"/>
    <row r="40" ht="30" customHeight="1"/>
    <row r="41" ht="30" customHeight="1"/>
    <row r="42" ht="30" customHeight="1"/>
    <row r="43" ht="30" customHeight="1"/>
    <row r="44" ht="30" customHeight="1"/>
    <row r="45" ht="30" customHeight="1"/>
    <row r="46" ht="30" customHeight="1"/>
    <row r="47" ht="30" customHeight="1"/>
    <row r="48" ht="30" customHeight="1"/>
    <row r="49" ht="30" customHeight="1"/>
    <row r="50" ht="30" customHeight="1"/>
    <row r="51" ht="30" customHeight="1"/>
    <row r="52" ht="30" customHeight="1"/>
    <row r="53" ht="30" customHeight="1"/>
    <row r="54" ht="30" customHeight="1"/>
    <row r="55" ht="30" customHeight="1"/>
    <row r="56" ht="30" customHeight="1"/>
    <row r="57" ht="30" customHeight="1"/>
    <row r="58" ht="30" customHeight="1"/>
    <row r="59" ht="30" customHeight="1"/>
    <row r="60" ht="30" customHeight="1"/>
    <row r="61" ht="30" customHeight="1"/>
    <row r="62" ht="30" customHeight="1"/>
    <row r="63" ht="30" customHeight="1"/>
    <row r="64" ht="30" customHeight="1"/>
    <row r="65" ht="30" customHeight="1"/>
    <row r="66" ht="30" customHeight="1"/>
    <row r="67" ht="30" customHeight="1"/>
    <row r="68" ht="30" customHeight="1"/>
    <row r="69" ht="30" customHeight="1"/>
    <row r="70" ht="30" customHeight="1"/>
    <row r="71" ht="30" customHeight="1"/>
    <row r="72" ht="30" customHeight="1"/>
    <row r="73" ht="30" customHeight="1"/>
    <row r="74" ht="30" customHeight="1"/>
    <row r="75" ht="30" customHeight="1"/>
    <row r="76" ht="30" customHeight="1"/>
    <row r="77" ht="30" customHeight="1"/>
    <row r="78" ht="30" customHeight="1"/>
    <row r="79" ht="30" customHeight="1"/>
    <row r="80" ht="30" customHeight="1"/>
    <row r="81" ht="30" customHeight="1"/>
    <row r="82" ht="30" customHeight="1"/>
    <row r="83" ht="30" customHeight="1"/>
    <row r="84" ht="30" customHeight="1"/>
    <row r="85" ht="30" customHeight="1"/>
    <row r="86" ht="30" customHeight="1"/>
    <row r="87" ht="30" customHeight="1"/>
    <row r="88" ht="30" customHeight="1"/>
    <row r="89" ht="30" customHeight="1"/>
    <row r="90" ht="30" customHeight="1"/>
    <row r="91" ht="30" customHeight="1"/>
    <row r="92" ht="30" customHeight="1"/>
    <row r="93" ht="30" customHeight="1"/>
    <row r="94" ht="30" customHeight="1"/>
    <row r="95" ht="30" customHeight="1"/>
    <row r="96" ht="30" customHeight="1"/>
    <row r="97" ht="30" customHeight="1"/>
    <row r="98" ht="30" customHeight="1"/>
    <row r="99" ht="30" customHeight="1"/>
    <row r="100" ht="30" customHeight="1"/>
    <row r="101" ht="30" customHeight="1"/>
    <row r="102" ht="30" customHeight="1"/>
    <row r="103" ht="30" customHeight="1"/>
    <row r="104" ht="30" customHeight="1"/>
    <row r="105" ht="30" customHeight="1"/>
    <row r="106" ht="30" customHeight="1"/>
    <row r="107" ht="30" customHeight="1"/>
    <row r="108" ht="30" customHeight="1"/>
    <row r="109" ht="30" customHeight="1"/>
  </sheetData>
  <sheetProtection formatColumns="0" formatRows="0" insertColumns="0" insertRows="0" insertHyperlinks="0" deleteColumns="0" deleteRows="0" selectLockedCells="1" sort="0" autoFilter="0" pivotTables="0"/>
  <mergeCells count="10">
    <mergeCell ref="C7:D7"/>
    <mergeCell ref="I7:J7"/>
    <mergeCell ref="C4:D4"/>
    <mergeCell ref="F4:G4"/>
    <mergeCell ref="I4:J4"/>
    <mergeCell ref="L4:M4"/>
    <mergeCell ref="C5:D5"/>
    <mergeCell ref="F5:G5"/>
    <mergeCell ref="I5:J5"/>
    <mergeCell ref="L5:M5"/>
  </mergeCells>
  <conditionalFormatting sqref="I5:J5">
    <cfRule type="cellIs" dxfId="9" priority="3" operator="greaterThan">
      <formula>0</formula>
    </cfRule>
    <cfRule type="cellIs" dxfId="8" priority="4" operator="lessThanOrEqual">
      <formula>0</formula>
    </cfRule>
  </conditionalFormatting>
  <conditionalFormatting sqref="L5:M5">
    <cfRule type="cellIs" dxfId="7" priority="1" operator="greaterThan">
      <formula>0</formula>
    </cfRule>
    <cfRule type="cellIs" dxfId="6" priority="2" operator="lessThanOrEqual">
      <formula>0</formula>
    </cfRule>
  </conditionalFormatting>
  <pageMargins left="0.7" right="0.7" top="0.75" bottom="0.75" header="0.3" footer="0.3"/>
  <pageSetup paperSize="9" scale="67" fitToHeight="0" orientation="landscape" r:id="rId1"/>
  <headerFooter>
    <oddFooter>&amp;L&amp;1#&amp;"Calibri"&amp;10&amp;K000000Internal Use Only</oddFooter>
  </headerFooter>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2AB28-2DD8-4380-BA11-EAA95998E21A}">
  <sheetPr codeName="Planilha21">
    <pageSetUpPr fitToPage="1"/>
  </sheetPr>
  <dimension ref="C1:BQ106"/>
  <sheetViews>
    <sheetView showGridLines="0" zoomScale="90" zoomScaleNormal="90" zoomScalePageLayoutView="80" workbookViewId="0">
      <pane ySplit="2" topLeftCell="A3" activePane="bottomLeft" state="frozen"/>
      <selection pane="bottomLeft"/>
    </sheetView>
  </sheetViews>
  <sheetFormatPr baseColWidth="10" defaultColWidth="12.33203125" defaultRowHeight="16"/>
  <cols>
    <col min="1" max="1" width="2.33203125" style="851" customWidth="1"/>
    <col min="2" max="2" width="1.5" style="851" customWidth="1"/>
    <col min="3" max="3" width="26.6640625" style="851" bestFit="1" customWidth="1"/>
    <col min="4" max="6" width="15.33203125" style="851" customWidth="1"/>
    <col min="7" max="7" width="3.33203125" style="851" customWidth="1"/>
    <col min="8" max="8" width="12.33203125" style="851"/>
    <col min="9" max="9" width="19.5" style="851" customWidth="1"/>
    <col min="10" max="10" width="12.33203125" style="851"/>
    <col min="11" max="11" width="3.33203125" style="851" customWidth="1"/>
    <col min="12" max="12" width="12.33203125" style="851"/>
    <col min="13" max="13" width="19.5" style="851" customWidth="1"/>
    <col min="14" max="14" width="12.33203125" style="851"/>
    <col min="15" max="15" width="3.33203125" style="851" customWidth="1"/>
    <col min="16" max="16" width="12.33203125" style="851"/>
    <col min="17" max="17" width="19.5" style="851" customWidth="1"/>
    <col min="18" max="18" width="12.33203125" style="851"/>
    <col min="19" max="19" width="12.33203125" style="853"/>
    <col min="20" max="20" width="19.5" style="876" bestFit="1" customWidth="1"/>
    <col min="21" max="21" width="33.33203125" style="876" bestFit="1" customWidth="1"/>
    <col min="22" max="22" width="17.5" style="876" bestFit="1" customWidth="1"/>
    <col min="23" max="23" width="29.5" style="876" bestFit="1" customWidth="1"/>
    <col min="24" max="24" width="17.5" style="876" bestFit="1" customWidth="1"/>
    <col min="25" max="25" width="34" style="876" bestFit="1" customWidth="1"/>
    <col min="26" max="26" width="15.1640625" style="876" bestFit="1" customWidth="1"/>
    <col min="27" max="27" width="23.6640625" style="876" customWidth="1"/>
    <col min="28" max="32" width="23.6640625" style="853" customWidth="1"/>
    <col min="33" max="35" width="12.33203125" style="853"/>
    <col min="36" max="41" width="12.33203125" style="893"/>
    <col min="42" max="60" width="12.33203125" style="853"/>
    <col min="61" max="16384" width="12.33203125" style="851"/>
  </cols>
  <sheetData>
    <row r="1" spans="3:69" s="838" customFormat="1" ht="39" customHeight="1">
      <c r="S1" s="840"/>
      <c r="T1" s="872"/>
      <c r="U1" s="872"/>
      <c r="V1" s="872"/>
      <c r="W1" s="872"/>
      <c r="X1" s="872"/>
      <c r="Y1" s="872"/>
      <c r="Z1" s="872"/>
      <c r="AA1" s="872"/>
      <c r="AB1" s="840"/>
      <c r="AC1" s="840"/>
      <c r="AD1" s="840"/>
      <c r="AE1" s="840"/>
      <c r="AF1" s="840"/>
      <c r="AG1" s="840"/>
      <c r="AH1" s="840"/>
      <c r="AI1" s="840"/>
      <c r="AJ1" s="891"/>
      <c r="AK1" s="891"/>
      <c r="AL1" s="891"/>
      <c r="AM1" s="891"/>
      <c r="AN1" s="891"/>
      <c r="AO1" s="891"/>
      <c r="AP1" s="840"/>
      <c r="AQ1" s="840"/>
      <c r="AR1" s="840"/>
      <c r="AS1" s="840"/>
      <c r="AT1" s="840"/>
      <c r="AU1" s="840"/>
      <c r="AV1" s="840"/>
      <c r="AW1" s="840"/>
      <c r="AX1" s="840"/>
      <c r="AY1" s="840"/>
      <c r="AZ1" s="840"/>
      <c r="BA1" s="840"/>
      <c r="BB1" s="840"/>
      <c r="BC1" s="840"/>
      <c r="BD1" s="840"/>
      <c r="BE1" s="840"/>
      <c r="BF1" s="840"/>
      <c r="BG1" s="840"/>
      <c r="BH1" s="840"/>
    </row>
    <row r="2" spans="3:69" s="844" customFormat="1" ht="30" customHeight="1">
      <c r="S2" s="848"/>
      <c r="T2" s="848"/>
      <c r="U2" s="848"/>
      <c r="V2" s="848"/>
      <c r="W2" s="848"/>
      <c r="X2" s="848"/>
      <c r="Y2" s="848"/>
      <c r="Z2" s="848"/>
      <c r="AA2" s="848"/>
      <c r="AB2" s="848"/>
      <c r="AC2" s="848"/>
      <c r="AD2" s="848"/>
      <c r="AE2" s="848"/>
      <c r="AF2" s="848"/>
      <c r="AG2" s="848"/>
      <c r="AH2" s="848"/>
      <c r="AI2" s="848"/>
      <c r="AJ2" s="892"/>
      <c r="AK2" s="892"/>
      <c r="AL2" s="892"/>
      <c r="AM2" s="892"/>
      <c r="AN2" s="892"/>
      <c r="AO2" s="892"/>
      <c r="AP2" s="848"/>
      <c r="AQ2" s="848"/>
      <c r="AR2" s="848"/>
      <c r="AS2" s="848"/>
      <c r="AT2" s="848"/>
      <c r="AU2" s="848"/>
      <c r="AV2" s="848"/>
      <c r="AW2" s="848"/>
      <c r="AX2" s="848"/>
      <c r="AY2" s="848"/>
      <c r="AZ2" s="848"/>
      <c r="BA2" s="848"/>
      <c r="BB2" s="848"/>
      <c r="BC2" s="848"/>
      <c r="BD2" s="848"/>
      <c r="BE2" s="848"/>
      <c r="BF2" s="848"/>
      <c r="BG2" s="848"/>
      <c r="BH2" s="848"/>
    </row>
    <row r="3" spans="3:69" ht="9.75" customHeight="1">
      <c r="T3" s="853"/>
      <c r="U3" s="853"/>
      <c r="V3" s="853"/>
      <c r="W3" s="853"/>
      <c r="X3" s="853"/>
      <c r="Y3" s="853"/>
      <c r="Z3" s="853"/>
      <c r="AA3" s="853"/>
    </row>
    <row r="4" spans="3:69" s="865" customFormat="1" ht="29.25" customHeight="1">
      <c r="C4" s="859" t="s">
        <v>813</v>
      </c>
      <c r="D4" s="894" t="s">
        <v>814</v>
      </c>
      <c r="E4" s="894" t="s">
        <v>815</v>
      </c>
      <c r="F4" s="894" t="s">
        <v>816</v>
      </c>
      <c r="H4" s="859" t="s">
        <v>817</v>
      </c>
      <c r="I4" s="885"/>
      <c r="J4" s="885"/>
      <c r="L4" s="885"/>
      <c r="M4" s="885"/>
      <c r="P4" s="885"/>
      <c r="Q4" s="885"/>
      <c r="S4" s="855"/>
      <c r="T4" s="863"/>
      <c r="U4" s="855" t="s">
        <v>818</v>
      </c>
      <c r="V4" s="855" t="s">
        <v>789</v>
      </c>
      <c r="W4" s="855" t="s">
        <v>790</v>
      </c>
      <c r="X4" s="855" t="s">
        <v>791</v>
      </c>
      <c r="Y4" s="855" t="s">
        <v>797</v>
      </c>
      <c r="Z4" s="855" t="s">
        <v>798</v>
      </c>
      <c r="AA4" s="867"/>
      <c r="AB4" s="867"/>
      <c r="AC4" s="867"/>
      <c r="AD4" s="867"/>
      <c r="AE4" s="867"/>
      <c r="AF4" s="867"/>
      <c r="AG4" s="867"/>
      <c r="AH4" s="867"/>
      <c r="AI4" s="867"/>
      <c r="AJ4" s="895"/>
      <c r="AK4" s="895"/>
      <c r="AL4" s="895"/>
      <c r="AM4" s="895"/>
      <c r="AN4" s="895"/>
      <c r="AO4" s="895"/>
      <c r="AP4" s="867"/>
      <c r="AQ4" s="867"/>
      <c r="AR4" s="867"/>
      <c r="AS4" s="867"/>
      <c r="AT4" s="867"/>
      <c r="AU4" s="867"/>
      <c r="AV4" s="867"/>
      <c r="AW4" s="867"/>
      <c r="AX4" s="867"/>
      <c r="AY4" s="867"/>
      <c r="AZ4" s="867"/>
      <c r="BA4" s="867"/>
      <c r="BB4" s="855"/>
      <c r="BC4" s="855"/>
      <c r="BD4" s="855"/>
      <c r="BE4" s="855"/>
      <c r="BF4" s="855"/>
      <c r="BG4" s="855"/>
      <c r="BH4" s="855"/>
      <c r="BI4" s="870"/>
      <c r="BJ4" s="870"/>
      <c r="BK4" s="870"/>
      <c r="BL4" s="870"/>
      <c r="BM4" s="870"/>
      <c r="BN4" s="870"/>
      <c r="BO4" s="870"/>
      <c r="BP4" s="870"/>
      <c r="BQ4" s="870"/>
    </row>
    <row r="5" spans="3:69" s="865" customFormat="1" ht="32.25" customHeight="1">
      <c r="C5" s="896" t="s">
        <v>819</v>
      </c>
      <c r="D5" s="897" t="str">
        <f>"-"&amp;[11]Cen_Pess!D5*100&amp;"%"</f>
        <v>-10%</v>
      </c>
      <c r="E5" s="898">
        <v>0</v>
      </c>
      <c r="F5" s="899" t="str">
        <f>"+"&amp;[11]Cen_Ot!D5*100&amp;"%"</f>
        <v>+12%</v>
      </c>
      <c r="H5" s="900"/>
      <c r="I5" s="900"/>
      <c r="J5" s="900"/>
      <c r="L5" s="901"/>
      <c r="M5" s="901"/>
      <c r="N5" s="901"/>
      <c r="P5" s="902"/>
      <c r="Q5" s="902"/>
      <c r="R5" s="902"/>
      <c r="S5" s="867"/>
      <c r="T5" s="853" t="s">
        <v>820</v>
      </c>
      <c r="U5" s="856">
        <f>-[11]Cen_Ot!D12</f>
        <v>-39780000</v>
      </c>
      <c r="V5" s="856">
        <f>[11]Cen_Ot!Q15</f>
        <v>-4713685.7142857313</v>
      </c>
      <c r="W5" s="856">
        <f>[11]Cen_Ot!R15</f>
        <v>76579334.999999911</v>
      </c>
      <c r="X5" s="856">
        <f>[11]Cen_Ot!S15</f>
        <v>76574834.999999911</v>
      </c>
      <c r="Y5" s="856" t="e">
        <f>[11]Cen_Ot!T15</f>
        <v>#REF!</v>
      </c>
      <c r="Z5" s="856" t="e">
        <f>[11]Cen_Ot!U15</f>
        <v>#REF!</v>
      </c>
      <c r="AA5" s="867"/>
      <c r="AB5" s="867"/>
      <c r="AC5" s="867"/>
      <c r="AD5" s="867"/>
      <c r="AE5" s="867"/>
      <c r="AF5" s="867"/>
      <c r="AG5" s="867"/>
      <c r="AH5" s="867"/>
      <c r="AI5" s="867"/>
      <c r="AJ5" s="895"/>
      <c r="AK5" s="895"/>
      <c r="AL5" s="895"/>
      <c r="AM5" s="895"/>
      <c r="AN5" s="895"/>
      <c r="AO5" s="895"/>
      <c r="AP5" s="867"/>
      <c r="AQ5" s="867"/>
      <c r="AR5" s="867"/>
      <c r="AS5" s="867"/>
      <c r="AT5" s="867"/>
      <c r="AU5" s="867"/>
      <c r="AV5" s="867"/>
      <c r="AW5" s="867"/>
      <c r="AX5" s="867"/>
      <c r="AY5" s="867"/>
      <c r="AZ5" s="867"/>
      <c r="BA5" s="867"/>
      <c r="BB5" s="867"/>
      <c r="BC5" s="867"/>
      <c r="BD5" s="867"/>
      <c r="BE5" s="867"/>
      <c r="BF5" s="867"/>
      <c r="BG5" s="867"/>
      <c r="BH5" s="867"/>
    </row>
    <row r="6" spans="3:69" s="865" customFormat="1" ht="32.25" customHeight="1">
      <c r="C6" s="896" t="s">
        <v>821</v>
      </c>
      <c r="D6" s="897" t="str">
        <f>"-"&amp;[11]Cen_Pess!D6*100&amp;"%"</f>
        <v>-10%</v>
      </c>
      <c r="E6" s="898">
        <v>0</v>
      </c>
      <c r="F6" s="899" t="str">
        <f>"+"&amp;[11]Cen_Ot!D6*100&amp;"%"</f>
        <v>+10%</v>
      </c>
      <c r="H6" s="900"/>
      <c r="I6" s="900"/>
      <c r="J6" s="900"/>
      <c r="L6" s="901"/>
      <c r="M6" s="901"/>
      <c r="N6" s="901"/>
      <c r="P6" s="902"/>
      <c r="Q6" s="902"/>
      <c r="R6" s="902"/>
      <c r="S6" s="867"/>
      <c r="T6" s="853" t="s">
        <v>822</v>
      </c>
      <c r="U6" s="856">
        <f>-[11]Rel_Viab!D8</f>
        <v>-44200000</v>
      </c>
      <c r="V6" s="856">
        <f>[11]Rel_Viab!Q15</f>
        <v>-22837428.57142859</v>
      </c>
      <c r="W6" s="856">
        <f>[11]Rel_Viab!R15</f>
        <v>23488149.999999903</v>
      </c>
      <c r="X6" s="856">
        <f>[11]Rel_Viab!S15</f>
        <v>23483149.999999903</v>
      </c>
      <c r="Y6" s="856" t="e">
        <f>[11]Rel_Viab!T15</f>
        <v>#REF!</v>
      </c>
      <c r="Z6" s="856" t="e">
        <f>[11]Rel_Viab!U15</f>
        <v>#REF!</v>
      </c>
      <c r="AA6" s="867"/>
      <c r="AB6" s="867"/>
      <c r="AC6" s="867"/>
      <c r="AD6" s="867"/>
      <c r="AE6" s="867"/>
      <c r="AF6" s="867"/>
      <c r="AG6" s="867"/>
      <c r="AH6" s="867"/>
      <c r="AI6" s="867"/>
      <c r="AJ6" s="895"/>
      <c r="AK6" s="895"/>
      <c r="AL6" s="895"/>
      <c r="AM6" s="895"/>
      <c r="AN6" s="895"/>
      <c r="AO6" s="895"/>
      <c r="AP6" s="867"/>
      <c r="AQ6" s="867"/>
      <c r="AR6" s="867"/>
      <c r="AS6" s="867"/>
      <c r="AT6" s="867"/>
      <c r="AU6" s="867"/>
      <c r="AV6" s="867"/>
      <c r="AW6" s="867"/>
      <c r="AX6" s="867"/>
      <c r="AY6" s="867"/>
      <c r="AZ6" s="867"/>
      <c r="BA6" s="867"/>
      <c r="BB6" s="867"/>
      <c r="BC6" s="867"/>
      <c r="BD6" s="867"/>
      <c r="BE6" s="867"/>
      <c r="BF6" s="867"/>
      <c r="BG6" s="867"/>
      <c r="BH6" s="867"/>
    </row>
    <row r="7" spans="3:69" s="865" customFormat="1" ht="32.25" customHeight="1">
      <c r="C7" s="896" t="s">
        <v>823</v>
      </c>
      <c r="D7" s="897" t="str">
        <f>"-"&amp;[11]Cen_Pess!D7*100&amp;"%"</f>
        <v>-10%</v>
      </c>
      <c r="E7" s="898">
        <v>0</v>
      </c>
      <c r="F7" s="899" t="str">
        <f>"+"&amp;[11]Cen_Ot!D7*100&amp;"%"</f>
        <v>+10%</v>
      </c>
      <c r="H7" s="900"/>
      <c r="I7" s="900"/>
      <c r="J7" s="900"/>
      <c r="L7" s="901"/>
      <c r="M7" s="901"/>
      <c r="N7" s="901"/>
      <c r="P7" s="902"/>
      <c r="Q7" s="902"/>
      <c r="R7" s="902"/>
      <c r="S7" s="867"/>
      <c r="T7" s="853" t="s">
        <v>824</v>
      </c>
      <c r="U7" s="856">
        <f>-[11]Cen_Pess!D12</f>
        <v>-48620000.000000007</v>
      </c>
      <c r="V7" s="856">
        <f>[11]Cen_Pess!Q15</f>
        <v>-36353171.428571455</v>
      </c>
      <c r="W7" s="856">
        <f>[11]Cen_Pess!R15</f>
        <v>-21395035.000000112</v>
      </c>
      <c r="X7" s="856">
        <f>[11]Cen_Pess!S15</f>
        <v>-21400535.000000112</v>
      </c>
      <c r="Y7" s="856" t="e">
        <f>[11]Cen_Pess!T15</f>
        <v>#REF!</v>
      </c>
      <c r="Z7" s="856" t="e">
        <f>[11]Cen_Pess!U15</f>
        <v>#REF!</v>
      </c>
      <c r="AA7" s="867"/>
      <c r="AB7" s="867"/>
      <c r="AC7" s="867"/>
      <c r="AD7" s="867"/>
      <c r="AE7" s="867"/>
      <c r="AF7" s="867"/>
      <c r="AG7" s="867"/>
      <c r="AH7" s="867"/>
      <c r="AI7" s="867"/>
      <c r="AJ7" s="895"/>
      <c r="AK7" s="895"/>
      <c r="AL7" s="895"/>
      <c r="AM7" s="895"/>
      <c r="AN7" s="895"/>
      <c r="AO7" s="895"/>
      <c r="AP7" s="867"/>
      <c r="AQ7" s="867"/>
      <c r="AR7" s="867"/>
      <c r="AS7" s="867"/>
      <c r="AT7" s="867"/>
      <c r="AU7" s="867"/>
      <c r="AV7" s="867"/>
      <c r="AW7" s="867"/>
      <c r="AX7" s="867"/>
      <c r="AY7" s="867"/>
      <c r="AZ7" s="867"/>
      <c r="BA7" s="867"/>
      <c r="BB7" s="867"/>
      <c r="BC7" s="867"/>
      <c r="BD7" s="867"/>
      <c r="BE7" s="867"/>
      <c r="BF7" s="867"/>
      <c r="BG7" s="867"/>
      <c r="BH7" s="867"/>
    </row>
    <row r="8" spans="3:69" s="865" customFormat="1" ht="6" customHeight="1">
      <c r="S8" s="855"/>
      <c r="T8" s="863"/>
      <c r="U8" s="867"/>
      <c r="V8" s="863"/>
      <c r="W8" s="855"/>
      <c r="X8" s="855"/>
      <c r="Y8" s="867"/>
      <c r="Z8" s="867"/>
      <c r="AA8" s="867"/>
      <c r="AB8" s="867"/>
      <c r="AC8" s="867"/>
      <c r="AD8" s="867"/>
      <c r="AE8" s="867"/>
      <c r="AF8" s="867"/>
      <c r="AG8" s="867"/>
      <c r="AH8" s="867"/>
      <c r="AI8" s="867"/>
      <c r="AJ8" s="895"/>
      <c r="AK8" s="895"/>
      <c r="AL8" s="895"/>
      <c r="AM8" s="895"/>
      <c r="AN8" s="895"/>
      <c r="AO8" s="895"/>
      <c r="AP8" s="867"/>
      <c r="AQ8" s="867"/>
      <c r="AR8" s="867"/>
      <c r="AS8" s="867"/>
      <c r="AT8" s="867"/>
      <c r="AU8" s="867"/>
      <c r="AV8" s="867"/>
      <c r="AW8" s="867"/>
      <c r="AX8" s="867"/>
      <c r="AY8" s="867"/>
      <c r="AZ8" s="867"/>
      <c r="BA8" s="867"/>
      <c r="BB8" s="855"/>
      <c r="BC8" s="855"/>
      <c r="BD8" s="855"/>
      <c r="BE8" s="855"/>
      <c r="BF8" s="855"/>
      <c r="BG8" s="855"/>
      <c r="BH8" s="855"/>
      <c r="BI8" s="870"/>
      <c r="BJ8" s="870"/>
      <c r="BK8" s="870"/>
      <c r="BL8" s="870"/>
      <c r="BM8" s="870"/>
      <c r="BN8" s="870"/>
      <c r="BO8" s="870"/>
      <c r="BP8" s="870"/>
      <c r="BQ8" s="870"/>
    </row>
    <row r="9" spans="3:69" s="865" customFormat="1" ht="24" customHeight="1">
      <c r="C9" s="859" t="s">
        <v>53</v>
      </c>
      <c r="D9" s="859"/>
      <c r="E9" s="903"/>
      <c r="F9" s="903"/>
      <c r="S9" s="867"/>
      <c r="T9" s="867"/>
      <c r="U9" s="867"/>
      <c r="V9" s="867"/>
      <c r="W9" s="867"/>
      <c r="X9" s="867"/>
      <c r="Y9" s="867"/>
      <c r="Z9" s="867"/>
      <c r="AA9" s="867"/>
      <c r="AB9" s="867"/>
      <c r="AC9" s="867"/>
      <c r="AD9" s="867"/>
      <c r="AE9" s="867"/>
      <c r="AF9" s="867"/>
      <c r="AG9" s="867"/>
      <c r="AH9" s="867"/>
      <c r="AI9" s="867"/>
      <c r="AJ9" s="895"/>
      <c r="AK9" s="895"/>
      <c r="AL9" s="895"/>
      <c r="AM9" s="895"/>
      <c r="AN9" s="895"/>
      <c r="AO9" s="895"/>
      <c r="AP9" s="867"/>
      <c r="AQ9" s="867"/>
      <c r="AR9" s="867"/>
      <c r="AS9" s="867"/>
      <c r="AT9" s="867"/>
      <c r="AU9" s="867"/>
      <c r="AV9" s="867"/>
      <c r="AW9" s="867"/>
      <c r="AX9" s="867"/>
      <c r="AY9" s="867"/>
      <c r="AZ9" s="867"/>
      <c r="BA9" s="867"/>
      <c r="BB9" s="867"/>
      <c r="BC9" s="867"/>
      <c r="BD9" s="867"/>
      <c r="BE9" s="867"/>
      <c r="BF9" s="867"/>
      <c r="BG9" s="867"/>
      <c r="BH9" s="867"/>
    </row>
    <row r="10" spans="3:69" s="865" customFormat="1" ht="32.25" customHeight="1">
      <c r="C10" s="896" t="s">
        <v>95</v>
      </c>
      <c r="D10" s="904">
        <f>[11]Cen_Pess!D10</f>
        <v>-25532152.160265263</v>
      </c>
      <c r="E10" s="905">
        <f>[11]Rel_Viab!D6</f>
        <v>9919421.0118782446</v>
      </c>
      <c r="F10" s="906">
        <f>[11]Cen_Ot!D10</f>
        <v>49015345.711354882</v>
      </c>
      <c r="G10" s="851"/>
      <c r="H10" s="851"/>
      <c r="I10" s="851"/>
      <c r="J10" s="851"/>
      <c r="K10" s="851"/>
      <c r="L10" s="851"/>
      <c r="M10" s="851"/>
      <c r="N10" s="851"/>
      <c r="O10" s="851"/>
      <c r="P10" s="851"/>
      <c r="Q10" s="851"/>
      <c r="R10" s="851"/>
      <c r="S10" s="867"/>
      <c r="T10" s="867"/>
      <c r="U10" s="867"/>
      <c r="V10" s="867"/>
      <c r="W10" s="867"/>
      <c r="X10" s="867"/>
      <c r="Y10" s="867"/>
      <c r="Z10" s="867"/>
      <c r="AA10" s="867"/>
      <c r="AB10" s="867"/>
      <c r="AC10" s="867"/>
      <c r="AD10" s="867"/>
      <c r="AE10" s="867"/>
      <c r="AF10" s="867"/>
      <c r="AG10" s="867"/>
      <c r="AH10" s="867"/>
      <c r="AI10" s="867"/>
      <c r="AJ10" s="895"/>
      <c r="AK10" s="895"/>
      <c r="AL10" s="895"/>
      <c r="AM10" s="895"/>
      <c r="AN10" s="895"/>
      <c r="AO10" s="895"/>
      <c r="AP10" s="867"/>
      <c r="AQ10" s="867"/>
      <c r="AR10" s="867"/>
      <c r="AS10" s="867"/>
      <c r="AT10" s="867"/>
      <c r="AU10" s="867"/>
      <c r="AV10" s="867"/>
      <c r="AW10" s="867"/>
      <c r="AX10" s="867"/>
      <c r="AY10" s="867"/>
      <c r="AZ10" s="867"/>
      <c r="BA10" s="867"/>
      <c r="BB10" s="867"/>
      <c r="BC10" s="867"/>
      <c r="BD10" s="867"/>
      <c r="BE10" s="867"/>
      <c r="BF10" s="867"/>
      <c r="BG10" s="867"/>
      <c r="BH10" s="867"/>
    </row>
    <row r="11" spans="3:69" s="865" customFormat="1" ht="32.25" customHeight="1">
      <c r="C11" s="896" t="s">
        <v>96</v>
      </c>
      <c r="D11" s="907">
        <f>[11]Cen_Pess!D11</f>
        <v>-0.34407960819050143</v>
      </c>
      <c r="E11" s="908">
        <f>[11]Rel_Viab!D7</f>
        <v>0.29351410815755852</v>
      </c>
      <c r="F11" s="909">
        <f>[11]Cen_Ot!D11</f>
        <v>0.93667084377918264</v>
      </c>
      <c r="G11" s="851"/>
      <c r="H11" s="851"/>
      <c r="I11" s="851"/>
      <c r="J11" s="851"/>
      <c r="K11" s="851"/>
      <c r="L11" s="851"/>
      <c r="M11" s="851"/>
      <c r="N11" s="851"/>
      <c r="O11" s="851"/>
      <c r="P11" s="851"/>
      <c r="Q11" s="851"/>
      <c r="R11" s="851"/>
      <c r="S11" s="867"/>
      <c r="T11" s="882"/>
      <c r="U11" s="882"/>
      <c r="V11" s="882"/>
      <c r="W11" s="882"/>
      <c r="X11" s="882"/>
      <c r="Y11" s="882"/>
      <c r="Z11" s="882"/>
      <c r="AA11" s="882"/>
      <c r="AB11" s="867"/>
      <c r="AC11" s="867"/>
      <c r="AD11" s="867"/>
      <c r="AE11" s="867"/>
      <c r="AF11" s="867"/>
      <c r="AG11" s="867"/>
      <c r="AH11" s="867"/>
      <c r="AI11" s="867"/>
      <c r="AJ11" s="895"/>
      <c r="AK11" s="895"/>
      <c r="AL11" s="895"/>
      <c r="AM11" s="895"/>
      <c r="AN11" s="895"/>
      <c r="AO11" s="895"/>
      <c r="AP11" s="867"/>
      <c r="AQ11" s="867"/>
      <c r="AR11" s="867"/>
      <c r="AS11" s="867"/>
      <c r="AT11" s="867"/>
      <c r="AU11" s="867"/>
      <c r="AV11" s="867"/>
      <c r="AW11" s="867"/>
      <c r="AX11" s="867"/>
      <c r="AY11" s="867"/>
      <c r="AZ11" s="867"/>
      <c r="BA11" s="867"/>
      <c r="BB11" s="867"/>
      <c r="BC11" s="867"/>
      <c r="BD11" s="867"/>
      <c r="BE11" s="867"/>
      <c r="BF11" s="867"/>
      <c r="BG11" s="867"/>
      <c r="BH11" s="867"/>
    </row>
    <row r="12" spans="3:69" s="865" customFormat="1" ht="32.25" customHeight="1">
      <c r="C12" s="896" t="s">
        <v>783</v>
      </c>
      <c r="D12" s="910" t="str">
        <f>[11]Cen_Pess!D14</f>
        <v>Não houve</v>
      </c>
      <c r="E12" s="911" t="str">
        <f>[11]Rel_Viab!D10</f>
        <v>18 meses</v>
      </c>
      <c r="F12" s="912" t="str">
        <f>[11]Cen_Ot!D14</f>
        <v>16 meses</v>
      </c>
      <c r="G12" s="851"/>
      <c r="H12" s="851"/>
      <c r="I12" s="851"/>
      <c r="J12" s="851"/>
      <c r="K12" s="851"/>
      <c r="L12" s="851"/>
      <c r="M12" s="851"/>
      <c r="N12" s="851"/>
      <c r="O12" s="851"/>
      <c r="P12" s="851"/>
      <c r="Q12" s="851"/>
      <c r="R12" s="851"/>
      <c r="S12" s="867"/>
      <c r="T12" s="882"/>
      <c r="U12" s="882"/>
      <c r="V12" s="882"/>
      <c r="W12" s="882"/>
      <c r="X12" s="882"/>
      <c r="Y12" s="882"/>
      <c r="Z12" s="882"/>
      <c r="AA12" s="882"/>
      <c r="AB12" s="867"/>
      <c r="AC12" s="867"/>
      <c r="AD12" s="867"/>
      <c r="AE12" s="867"/>
      <c r="AF12" s="867"/>
      <c r="AG12" s="867"/>
      <c r="AH12" s="867"/>
      <c r="AI12" s="867"/>
      <c r="AJ12" s="895"/>
      <c r="AK12" s="895"/>
      <c r="AL12" s="895"/>
      <c r="AM12" s="895"/>
      <c r="AN12" s="895"/>
      <c r="AO12" s="895"/>
      <c r="AP12" s="867"/>
      <c r="AQ12" s="867"/>
      <c r="AR12" s="867"/>
      <c r="AS12" s="867"/>
      <c r="AT12" s="867"/>
      <c r="AU12" s="867"/>
      <c r="AV12" s="867"/>
      <c r="AW12" s="867"/>
      <c r="AX12" s="867"/>
      <c r="AY12" s="867"/>
      <c r="AZ12" s="867"/>
      <c r="BA12" s="867"/>
      <c r="BB12" s="867"/>
      <c r="BC12" s="867"/>
      <c r="BD12" s="867"/>
      <c r="BE12" s="867"/>
      <c r="BF12" s="867"/>
      <c r="BG12" s="867"/>
      <c r="BH12" s="867"/>
    </row>
    <row r="13" spans="3:69" s="865" customFormat="1" ht="32.25" customHeight="1">
      <c r="C13" s="896" t="s">
        <v>785</v>
      </c>
      <c r="D13" s="910" t="str">
        <f>[11]Cen_Pess!D15</f>
        <v>1 mês</v>
      </c>
      <c r="E13" s="911" t="str">
        <f>[11]Rel_Viab!D11</f>
        <v>1 mês</v>
      </c>
      <c r="F13" s="912" t="str">
        <f>[11]Cen_Ot!D15</f>
        <v>1 mês</v>
      </c>
      <c r="G13" s="851"/>
      <c r="H13" s="851"/>
      <c r="I13" s="851"/>
      <c r="J13" s="851"/>
      <c r="K13" s="851"/>
      <c r="L13" s="851"/>
      <c r="M13" s="851"/>
      <c r="N13" s="851"/>
      <c r="O13" s="851"/>
      <c r="P13" s="851"/>
      <c r="Q13" s="851"/>
      <c r="R13" s="851"/>
      <c r="S13" s="867"/>
      <c r="T13" s="882"/>
      <c r="U13" s="882"/>
      <c r="V13" s="882"/>
      <c r="W13" s="882"/>
      <c r="X13" s="882"/>
      <c r="Y13" s="882"/>
      <c r="Z13" s="882"/>
      <c r="AA13" s="882"/>
      <c r="AB13" s="867"/>
      <c r="AC13" s="867"/>
      <c r="AD13" s="867"/>
      <c r="AE13" s="867"/>
      <c r="AF13" s="867"/>
      <c r="AG13" s="867"/>
      <c r="AH13" s="867"/>
      <c r="AI13" s="867"/>
      <c r="AJ13" s="895"/>
      <c r="AK13" s="895"/>
      <c r="AL13" s="895"/>
      <c r="AM13" s="895"/>
      <c r="AN13" s="895"/>
      <c r="AO13" s="895"/>
      <c r="AP13" s="867"/>
      <c r="AQ13" s="867"/>
      <c r="AR13" s="867"/>
      <c r="AS13" s="867"/>
      <c r="AT13" s="867"/>
      <c r="AU13" s="867"/>
      <c r="AV13" s="867"/>
      <c r="AW13" s="867"/>
      <c r="AX13" s="867"/>
      <c r="AY13" s="867"/>
      <c r="AZ13" s="867"/>
      <c r="BA13" s="867"/>
      <c r="BB13" s="867"/>
      <c r="BC13" s="867"/>
      <c r="BD13" s="867"/>
      <c r="BE13" s="867"/>
      <c r="BF13" s="867"/>
      <c r="BG13" s="867"/>
      <c r="BH13" s="867"/>
    </row>
    <row r="14" spans="3:69" s="865" customFormat="1" ht="32.25" customHeight="1">
      <c r="C14" s="896" t="s">
        <v>806</v>
      </c>
      <c r="D14" s="904">
        <f>[11]Cen_Pess!J13</f>
        <v>-24568535.000000112</v>
      </c>
      <c r="E14" s="905">
        <f>[11]Rel_Viab!J13</f>
        <v>23483149.999999911</v>
      </c>
      <c r="F14" s="906">
        <f>[11]Cen_Ot!J13</f>
        <v>76574834.999999911</v>
      </c>
      <c r="G14" s="851"/>
      <c r="H14" s="851"/>
      <c r="I14" s="851"/>
      <c r="J14" s="851"/>
      <c r="K14" s="851"/>
      <c r="L14" s="851"/>
      <c r="M14" s="851"/>
      <c r="N14" s="851"/>
      <c r="O14" s="851"/>
      <c r="P14" s="851"/>
      <c r="Q14" s="851"/>
      <c r="R14" s="851"/>
      <c r="S14" s="867"/>
      <c r="T14" s="882"/>
      <c r="U14" s="882"/>
      <c r="V14" s="882"/>
      <c r="W14" s="882"/>
      <c r="X14" s="882"/>
      <c r="Y14" s="882"/>
      <c r="Z14" s="882"/>
      <c r="AA14" s="882"/>
      <c r="AB14" s="867"/>
      <c r="AC14" s="867"/>
      <c r="AD14" s="867"/>
      <c r="AE14" s="867"/>
      <c r="AF14" s="867"/>
      <c r="AG14" s="867"/>
      <c r="AH14" s="867"/>
      <c r="AI14" s="867"/>
      <c r="AJ14" s="895"/>
      <c r="AK14" s="895"/>
      <c r="AL14" s="895"/>
      <c r="AM14" s="895"/>
      <c r="AN14" s="895"/>
      <c r="AO14" s="895"/>
      <c r="AP14" s="867"/>
      <c r="AQ14" s="867"/>
      <c r="AR14" s="867"/>
      <c r="AS14" s="867"/>
      <c r="AT14" s="867"/>
      <c r="AU14" s="867"/>
      <c r="AV14" s="867"/>
      <c r="AW14" s="867"/>
      <c r="AX14" s="867"/>
      <c r="AY14" s="867"/>
      <c r="AZ14" s="867"/>
      <c r="BA14" s="867"/>
      <c r="BB14" s="867"/>
      <c r="BC14" s="867"/>
      <c r="BD14" s="867"/>
      <c r="BE14" s="867"/>
      <c r="BF14" s="867"/>
      <c r="BG14" s="867"/>
      <c r="BH14" s="867"/>
    </row>
    <row r="15" spans="3:69" s="865" customFormat="1" ht="30" customHeight="1">
      <c r="C15" s="851"/>
      <c r="D15" s="851"/>
      <c r="E15" s="851"/>
      <c r="F15" s="851"/>
      <c r="G15" s="851"/>
      <c r="H15" s="851"/>
      <c r="I15" s="851"/>
      <c r="J15" s="851"/>
      <c r="K15" s="851"/>
      <c r="L15" s="851"/>
      <c r="M15" s="851"/>
      <c r="N15" s="851"/>
      <c r="O15" s="851"/>
      <c r="P15" s="851"/>
      <c r="Q15" s="851"/>
      <c r="R15" s="851"/>
      <c r="S15" s="867"/>
      <c r="T15" s="882"/>
      <c r="U15" s="882"/>
      <c r="V15" s="882"/>
      <c r="W15" s="882"/>
      <c r="X15" s="882"/>
      <c r="Y15" s="882"/>
      <c r="Z15" s="882"/>
      <c r="AA15" s="882"/>
      <c r="AB15" s="867"/>
      <c r="AC15" s="867"/>
      <c r="AD15" s="867"/>
      <c r="AE15" s="867"/>
      <c r="AF15" s="867"/>
      <c r="AG15" s="867"/>
      <c r="AH15" s="867"/>
      <c r="AI15" s="867"/>
      <c r="AJ15" s="895"/>
      <c r="AK15" s="895"/>
      <c r="AL15" s="895"/>
      <c r="AM15" s="895"/>
      <c r="AN15" s="895"/>
      <c r="AO15" s="895"/>
      <c r="AP15" s="867"/>
      <c r="AQ15" s="867"/>
      <c r="AR15" s="867"/>
      <c r="AS15" s="867"/>
      <c r="AT15" s="867"/>
      <c r="AU15" s="867"/>
      <c r="AV15" s="867"/>
      <c r="AW15" s="867"/>
      <c r="AX15" s="867"/>
      <c r="AY15" s="867"/>
      <c r="AZ15" s="867"/>
      <c r="BA15" s="867"/>
      <c r="BB15" s="867"/>
      <c r="BC15" s="867"/>
      <c r="BD15" s="867"/>
      <c r="BE15" s="867"/>
      <c r="BF15" s="867"/>
      <c r="BG15" s="867"/>
      <c r="BH15" s="867"/>
    </row>
    <row r="16" spans="3:69" s="865" customFormat="1" ht="30" customHeight="1">
      <c r="C16" s="851"/>
      <c r="D16" s="851"/>
      <c r="E16" s="851"/>
      <c r="F16" s="851"/>
      <c r="G16" s="851"/>
      <c r="H16" s="851"/>
      <c r="I16" s="851"/>
      <c r="J16" s="851"/>
      <c r="K16" s="851"/>
      <c r="L16" s="851"/>
      <c r="M16" s="851"/>
      <c r="N16" s="851"/>
      <c r="O16" s="851"/>
      <c r="P16" s="851"/>
      <c r="Q16" s="851"/>
      <c r="R16" s="851"/>
      <c r="S16" s="867"/>
      <c r="T16" s="882"/>
      <c r="U16" s="876"/>
      <c r="V16" s="882"/>
      <c r="W16" s="876"/>
      <c r="X16" s="882"/>
      <c r="Y16" s="876"/>
      <c r="Z16" s="882"/>
      <c r="AA16" s="882"/>
      <c r="AB16" s="867"/>
      <c r="AC16" s="867"/>
      <c r="AD16" s="867"/>
      <c r="AE16" s="867"/>
      <c r="AF16" s="867"/>
      <c r="AG16" s="867"/>
      <c r="AH16" s="867"/>
      <c r="AI16" s="867"/>
      <c r="AJ16" s="895"/>
      <c r="AK16" s="895"/>
      <c r="AL16" s="895"/>
      <c r="AM16" s="895"/>
      <c r="AN16" s="895"/>
      <c r="AO16" s="895"/>
      <c r="AP16" s="867"/>
      <c r="AQ16" s="867"/>
      <c r="AR16" s="867"/>
      <c r="AS16" s="867"/>
      <c r="AT16" s="867"/>
      <c r="AU16" s="867"/>
      <c r="AV16" s="867"/>
      <c r="AW16" s="867"/>
      <c r="AX16" s="867"/>
      <c r="AY16" s="867"/>
      <c r="AZ16" s="867"/>
      <c r="BA16" s="867"/>
      <c r="BB16" s="867"/>
      <c r="BC16" s="867"/>
      <c r="BD16" s="867"/>
      <c r="BE16" s="867"/>
      <c r="BF16" s="867"/>
      <c r="BG16" s="867"/>
      <c r="BH16" s="867"/>
    </row>
    <row r="17" spans="20:32" ht="30" customHeight="1">
      <c r="T17" s="882"/>
      <c r="V17" s="882"/>
      <c r="X17" s="882"/>
    </row>
    <row r="18" spans="20:32" ht="30" customHeight="1"/>
    <row r="19" spans="20:32" ht="30" customHeight="1"/>
    <row r="20" spans="20:32" ht="30" customHeight="1"/>
    <row r="21" spans="20:32" ht="30" customHeight="1"/>
    <row r="22" spans="20:32" ht="30" customHeight="1">
      <c r="U22" s="877"/>
      <c r="V22" s="877"/>
      <c r="W22" s="877"/>
      <c r="X22" s="877"/>
      <c r="Y22" s="877"/>
      <c r="AB22" s="855"/>
      <c r="AC22" s="855"/>
      <c r="AD22" s="855"/>
      <c r="AE22" s="855"/>
      <c r="AF22" s="855"/>
    </row>
    <row r="23" spans="20:32" ht="30" customHeight="1">
      <c r="U23" s="888"/>
      <c r="V23" s="888"/>
      <c r="W23" s="888"/>
      <c r="X23" s="888"/>
      <c r="Y23" s="888"/>
      <c r="AB23" s="856"/>
      <c r="AC23" s="856"/>
      <c r="AD23" s="856"/>
      <c r="AE23" s="856"/>
      <c r="AF23" s="856"/>
    </row>
    <row r="24" spans="20:32" ht="30" customHeight="1">
      <c r="U24" s="888"/>
      <c r="V24" s="888"/>
      <c r="W24" s="888"/>
      <c r="X24" s="888"/>
      <c r="Y24" s="888"/>
      <c r="AB24" s="856"/>
      <c r="AC24" s="856"/>
      <c r="AD24" s="856"/>
      <c r="AE24" s="856"/>
      <c r="AF24" s="856"/>
    </row>
    <row r="25" spans="20:32" ht="30" customHeight="1">
      <c r="U25" s="888"/>
      <c r="V25" s="888"/>
      <c r="W25" s="888"/>
      <c r="X25" s="888"/>
      <c r="Y25" s="888"/>
      <c r="AB25" s="856"/>
      <c r="AC25" s="856"/>
      <c r="AD25" s="856"/>
      <c r="AE25" s="856"/>
      <c r="AF25" s="856"/>
    </row>
    <row r="26" spans="20:32" ht="30" customHeight="1">
      <c r="U26" s="888"/>
      <c r="V26" s="888"/>
      <c r="W26" s="888"/>
      <c r="X26" s="888"/>
      <c r="Y26" s="888"/>
      <c r="AB26" s="856"/>
      <c r="AC26" s="856"/>
      <c r="AD26" s="856"/>
      <c r="AE26" s="856"/>
      <c r="AF26" s="856"/>
    </row>
    <row r="27" spans="20:32" ht="30" customHeight="1">
      <c r="U27" s="888"/>
      <c r="V27" s="888"/>
      <c r="W27" s="888"/>
      <c r="X27" s="888"/>
      <c r="Y27" s="888"/>
      <c r="AB27" s="856"/>
      <c r="AC27" s="856"/>
      <c r="AD27" s="856"/>
      <c r="AE27" s="856"/>
      <c r="AF27" s="856"/>
    </row>
    <row r="28" spans="20:32" ht="30" customHeight="1">
      <c r="U28" s="888"/>
      <c r="V28" s="888"/>
      <c r="W28" s="888"/>
      <c r="X28" s="888"/>
      <c r="Y28" s="888"/>
      <c r="AB28" s="856"/>
      <c r="AC28" s="856"/>
      <c r="AD28" s="856"/>
      <c r="AE28" s="856"/>
      <c r="AF28" s="856"/>
    </row>
    <row r="29" spans="20:32" ht="30" customHeight="1">
      <c r="U29" s="888"/>
      <c r="V29" s="888"/>
      <c r="W29" s="888"/>
      <c r="X29" s="888"/>
      <c r="Y29" s="888"/>
      <c r="AB29" s="856"/>
      <c r="AC29" s="856"/>
      <c r="AD29" s="856"/>
      <c r="AE29" s="856"/>
      <c r="AF29" s="856"/>
    </row>
    <row r="30" spans="20:32" ht="30" customHeight="1">
      <c r="U30" s="888"/>
      <c r="V30" s="888"/>
      <c r="W30" s="888"/>
      <c r="X30" s="888"/>
      <c r="Y30" s="888"/>
      <c r="AB30" s="856"/>
      <c r="AC30" s="856"/>
      <c r="AD30" s="856"/>
      <c r="AE30" s="856"/>
      <c r="AF30" s="856"/>
    </row>
    <row r="31" spans="20:32" ht="30" customHeight="1">
      <c r="U31" s="888"/>
      <c r="V31" s="888"/>
      <c r="W31" s="888"/>
      <c r="X31" s="888"/>
      <c r="Y31" s="888"/>
      <c r="AB31" s="856"/>
      <c r="AC31" s="856"/>
      <c r="AD31" s="856"/>
      <c r="AE31" s="856"/>
      <c r="AF31" s="856"/>
    </row>
    <row r="32" spans="20:32" ht="30" customHeight="1">
      <c r="U32" s="913"/>
      <c r="V32" s="913"/>
      <c r="W32" s="913"/>
      <c r="X32" s="913"/>
      <c r="Y32" s="913"/>
      <c r="AB32" s="914"/>
      <c r="AC32" s="914"/>
      <c r="AD32" s="914"/>
      <c r="AE32" s="914"/>
      <c r="AF32" s="914"/>
    </row>
    <row r="33" spans="19:32" ht="30" customHeight="1">
      <c r="U33" s="888"/>
      <c r="V33" s="888"/>
      <c r="W33" s="888"/>
      <c r="X33" s="888"/>
      <c r="Y33" s="888"/>
      <c r="AB33" s="856"/>
      <c r="AC33" s="856"/>
      <c r="AD33" s="856"/>
      <c r="AE33" s="856"/>
      <c r="AF33" s="856"/>
    </row>
    <row r="34" spans="19:32" ht="30" customHeight="1">
      <c r="U34" s="888"/>
      <c r="V34" s="888"/>
      <c r="W34" s="888"/>
      <c r="X34" s="888"/>
      <c r="Y34" s="888"/>
      <c r="AB34" s="856"/>
      <c r="AC34" s="856"/>
      <c r="AD34" s="856"/>
      <c r="AE34" s="856"/>
      <c r="AF34" s="856"/>
    </row>
    <row r="35" spans="19:32" ht="30" customHeight="1"/>
    <row r="36" spans="19:32" ht="30" customHeight="1"/>
    <row r="37" spans="19:32" ht="30" customHeight="1">
      <c r="T37" s="877"/>
      <c r="U37" s="888"/>
      <c r="V37" s="888"/>
      <c r="W37" s="888"/>
      <c r="X37" s="888"/>
      <c r="Y37" s="888"/>
      <c r="AA37" s="877"/>
      <c r="AB37" s="915"/>
      <c r="AC37" s="915"/>
      <c r="AD37" s="915"/>
      <c r="AE37" s="915"/>
      <c r="AF37" s="915"/>
    </row>
    <row r="38" spans="19:32" ht="30" customHeight="1">
      <c r="U38" s="877"/>
      <c r="V38" s="877"/>
      <c r="W38" s="877"/>
      <c r="X38" s="877"/>
      <c r="Y38" s="877"/>
      <c r="AB38" s="855"/>
      <c r="AC38" s="855"/>
      <c r="AD38" s="855"/>
      <c r="AE38" s="855"/>
      <c r="AF38" s="855"/>
    </row>
    <row r="39" spans="19:32" ht="30" customHeight="1">
      <c r="U39" s="877"/>
      <c r="V39" s="877"/>
      <c r="W39" s="877"/>
      <c r="X39" s="877"/>
      <c r="Y39" s="877"/>
      <c r="AB39" s="855"/>
      <c r="AC39" s="855"/>
      <c r="AD39" s="855"/>
      <c r="AE39" s="855"/>
      <c r="AF39" s="855"/>
    </row>
    <row r="40" spans="19:32" ht="30" customHeight="1"/>
    <row r="41" spans="19:32" ht="30" customHeight="1">
      <c r="T41" s="888"/>
      <c r="U41" s="888"/>
      <c r="V41" s="888"/>
      <c r="W41" s="888"/>
      <c r="X41" s="888"/>
      <c r="Y41" s="888"/>
      <c r="AA41" s="888"/>
      <c r="AB41" s="856"/>
      <c r="AC41" s="856"/>
      <c r="AD41" s="856"/>
      <c r="AE41" s="856"/>
      <c r="AF41" s="856"/>
    </row>
    <row r="42" spans="19:32" ht="30" customHeight="1">
      <c r="S42" s="853" t="s">
        <v>96</v>
      </c>
      <c r="T42" s="916"/>
      <c r="AA42" s="916"/>
    </row>
    <row r="43" spans="19:32" ht="30" customHeight="1">
      <c r="S43" s="853" t="s">
        <v>95</v>
      </c>
      <c r="T43" s="917"/>
      <c r="AA43" s="917"/>
    </row>
    <row r="44" spans="19:32" ht="30" customHeight="1"/>
    <row r="45" spans="19:32" ht="30" customHeight="1"/>
    <row r="46" spans="19:32" ht="30" customHeight="1"/>
    <row r="47" spans="19:32" ht="30" customHeight="1"/>
    <row r="48" spans="19:32" ht="30" customHeight="1"/>
    <row r="49" ht="30" customHeight="1"/>
    <row r="50" ht="30" customHeight="1"/>
    <row r="51" ht="30" customHeight="1"/>
    <row r="52" ht="30" customHeight="1"/>
    <row r="53" ht="30" customHeight="1"/>
    <row r="54" ht="30" customHeight="1"/>
    <row r="55" ht="30" customHeight="1"/>
    <row r="56" ht="30" customHeight="1"/>
    <row r="57" ht="30" customHeight="1"/>
    <row r="58" ht="30" customHeight="1"/>
    <row r="59" ht="30" customHeight="1"/>
    <row r="60" ht="30" customHeight="1"/>
    <row r="61" ht="30" customHeight="1"/>
    <row r="62" ht="30" customHeight="1"/>
    <row r="63" ht="30" customHeight="1"/>
    <row r="64" ht="30" customHeight="1"/>
    <row r="65" ht="30" customHeight="1"/>
    <row r="66" ht="30" customHeight="1"/>
    <row r="67" ht="30" customHeight="1"/>
    <row r="68" ht="30" customHeight="1"/>
    <row r="69" ht="30" customHeight="1"/>
    <row r="70" ht="30" customHeight="1"/>
    <row r="71" ht="30" customHeight="1"/>
    <row r="72" ht="30" customHeight="1"/>
    <row r="73" ht="30" customHeight="1"/>
    <row r="74" ht="30" customHeight="1"/>
    <row r="75" ht="30" customHeight="1"/>
    <row r="76" ht="30" customHeight="1"/>
    <row r="77" ht="30" customHeight="1"/>
    <row r="78" ht="30" customHeight="1"/>
    <row r="79" ht="30" customHeight="1"/>
    <row r="80" ht="30" customHeight="1"/>
    <row r="81" ht="30" customHeight="1"/>
    <row r="82" ht="30" customHeight="1"/>
    <row r="83" ht="30" customHeight="1"/>
    <row r="84" ht="30" customHeight="1"/>
    <row r="85" ht="30" customHeight="1"/>
    <row r="86" ht="30" customHeight="1"/>
    <row r="87" ht="30" customHeight="1"/>
    <row r="88" ht="30" customHeight="1"/>
    <row r="89" ht="30" customHeight="1"/>
    <row r="90" ht="30" customHeight="1"/>
    <row r="91" ht="30" customHeight="1"/>
    <row r="92" ht="30" customHeight="1"/>
    <row r="93" ht="30" customHeight="1"/>
    <row r="94" ht="30" customHeight="1"/>
    <row r="95" ht="30" customHeight="1"/>
    <row r="96" ht="30" customHeight="1"/>
    <row r="97" ht="30" customHeight="1"/>
    <row r="98" ht="30" customHeight="1"/>
    <row r="99" ht="30" customHeight="1"/>
    <row r="100" ht="30" customHeight="1"/>
    <row r="101" ht="30" customHeight="1"/>
    <row r="102" ht="30" customHeight="1"/>
    <row r="103" ht="30" customHeight="1"/>
    <row r="104" ht="30" customHeight="1"/>
    <row r="105" ht="30" customHeight="1"/>
    <row r="106" ht="30" customHeight="1"/>
  </sheetData>
  <sheetProtection formatColumns="0" formatRows="0" insertColumns="0" insertRows="0" insertHyperlinks="0" deleteColumns="0" deleteRows="0" selectLockedCells="1" sort="0" autoFilter="0" pivotTables="0"/>
  <conditionalFormatting sqref="D5:F7">
    <cfRule type="expression" dxfId="5" priority="5">
      <formula>#REF!="Cenário Otimista"</formula>
    </cfRule>
    <cfRule type="expression" dxfId="4" priority="6">
      <formula>#REF!="Cenário Pessimista"</formula>
    </cfRule>
  </conditionalFormatting>
  <conditionalFormatting sqref="H5:J7">
    <cfRule type="cellIs" dxfId="3" priority="3" operator="greaterThan">
      <formula>0</formula>
    </cfRule>
    <cfRule type="cellIs" dxfId="2" priority="4" operator="lessThanOrEqual">
      <formula>0</formula>
    </cfRule>
  </conditionalFormatting>
  <conditionalFormatting sqref="L5:N7">
    <cfRule type="cellIs" dxfId="1" priority="1" operator="lessThanOrEqual">
      <formula>0</formula>
    </cfRule>
    <cfRule type="cellIs" dxfId="0" priority="2" operator="greaterThan">
      <formula>0</formula>
    </cfRule>
  </conditionalFormatting>
  <pageMargins left="0.7" right="0.7" top="0.75" bottom="0.75" header="0.3" footer="0.3"/>
  <pageSetup paperSize="9" scale="60" fitToHeight="0" orientation="landscape" r:id="rId1"/>
  <headerFooter>
    <oddFooter>&amp;L&amp;1#&amp;"Calibri"&amp;10&amp;K000000Internal Use Only</oddFooter>
  </headerFooter>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CB759-6941-426F-B41C-15890039E4F6}">
  <sheetPr codeName="Planilha22"/>
  <dimension ref="B2:B63"/>
  <sheetViews>
    <sheetView showGridLines="0" topLeftCell="A46" workbookViewId="0">
      <selection activeCell="A63" sqref="A63"/>
    </sheetView>
  </sheetViews>
  <sheetFormatPr baseColWidth="10" defaultColWidth="8.83203125" defaultRowHeight="15"/>
  <cols>
    <col min="2" max="2" width="136.1640625" customWidth="1"/>
  </cols>
  <sheetData>
    <row r="2" spans="2:2">
      <c r="B2" s="680" t="s">
        <v>649</v>
      </c>
    </row>
    <row r="3" spans="2:2">
      <c r="B3" s="681"/>
    </row>
    <row r="4" spans="2:2">
      <c r="B4" s="682" t="s">
        <v>650</v>
      </c>
    </row>
    <row r="5" spans="2:2">
      <c r="B5" s="681"/>
    </row>
    <row r="6" spans="2:2">
      <c r="B6" s="680" t="s">
        <v>651</v>
      </c>
    </row>
    <row r="7" spans="2:2">
      <c r="B7" s="681"/>
    </row>
    <row r="8" spans="2:2">
      <c r="B8" s="683" t="s">
        <v>652</v>
      </c>
    </row>
    <row r="9" spans="2:2">
      <c r="B9" s="681"/>
    </row>
    <row r="10" spans="2:2" ht="30">
      <c r="B10" s="680" t="s">
        <v>653</v>
      </c>
    </row>
    <row r="11" spans="2:2">
      <c r="B11" s="681"/>
    </row>
    <row r="12" spans="2:2">
      <c r="B12" s="683" t="s">
        <v>654</v>
      </c>
    </row>
    <row r="13" spans="2:2">
      <c r="B13" s="681"/>
    </row>
    <row r="14" spans="2:2" ht="45">
      <c r="B14" s="680" t="s">
        <v>655</v>
      </c>
    </row>
    <row r="15" spans="2:2">
      <c r="B15" s="681"/>
    </row>
    <row r="16" spans="2:2">
      <c r="B16" s="683" t="s">
        <v>656</v>
      </c>
    </row>
    <row r="17" spans="2:2">
      <c r="B17" s="681"/>
    </row>
    <row r="18" spans="2:2" ht="45">
      <c r="B18" s="680" t="s">
        <v>657</v>
      </c>
    </row>
    <row r="19" spans="2:2">
      <c r="B19" s="681"/>
    </row>
    <row r="20" spans="2:2">
      <c r="B20" s="683" t="s">
        <v>658</v>
      </c>
    </row>
    <row r="21" spans="2:2">
      <c r="B21" s="681"/>
    </row>
    <row r="22" spans="2:2" ht="30">
      <c r="B22" s="680" t="s">
        <v>659</v>
      </c>
    </row>
    <row r="23" spans="2:2">
      <c r="B23" s="681"/>
    </row>
    <row r="24" spans="2:2">
      <c r="B24" s="683" t="s">
        <v>660</v>
      </c>
    </row>
    <row r="25" spans="2:2">
      <c r="B25" s="681"/>
    </row>
    <row r="26" spans="2:2" ht="30">
      <c r="B26" s="680" t="s">
        <v>661</v>
      </c>
    </row>
    <row r="27" spans="2:2">
      <c r="B27" s="681"/>
    </row>
    <row r="28" spans="2:2">
      <c r="B28" s="683" t="s">
        <v>662</v>
      </c>
    </row>
    <row r="29" spans="2:2">
      <c r="B29" s="681"/>
    </row>
    <row r="30" spans="2:2" ht="16">
      <c r="B30" s="684" t="s">
        <v>663</v>
      </c>
    </row>
    <row r="31" spans="2:2">
      <c r="B31" s="681"/>
    </row>
    <row r="32" spans="2:2" ht="45">
      <c r="B32" s="680" t="s">
        <v>664</v>
      </c>
    </row>
    <row r="33" spans="2:2">
      <c r="B33" s="681"/>
    </row>
    <row r="34" spans="2:2" ht="30">
      <c r="B34" s="680" t="s">
        <v>665</v>
      </c>
    </row>
    <row r="35" spans="2:2">
      <c r="B35" s="681"/>
    </row>
    <row r="36" spans="2:2">
      <c r="B36" s="680" t="s">
        <v>666</v>
      </c>
    </row>
    <row r="37" spans="2:2">
      <c r="B37" s="681"/>
    </row>
    <row r="38" spans="2:2">
      <c r="B38" s="683" t="s">
        <v>667</v>
      </c>
    </row>
    <row r="39" spans="2:2">
      <c r="B39" s="681"/>
    </row>
    <row r="40" spans="2:2" ht="60">
      <c r="B40" s="680" t="s">
        <v>668</v>
      </c>
    </row>
    <row r="41" spans="2:2">
      <c r="B41" s="681"/>
    </row>
    <row r="42" spans="2:2">
      <c r="B42" s="683" t="s">
        <v>669</v>
      </c>
    </row>
    <row r="43" spans="2:2">
      <c r="B43" s="681"/>
    </row>
    <row r="44" spans="2:2" ht="75">
      <c r="B44" s="680" t="s">
        <v>670</v>
      </c>
    </row>
    <row r="45" spans="2:2">
      <c r="B45" s="681"/>
    </row>
    <row r="46" spans="2:2">
      <c r="B46" s="683" t="s">
        <v>671</v>
      </c>
    </row>
    <row r="47" spans="2:2">
      <c r="B47" s="681"/>
    </row>
    <row r="48" spans="2:2">
      <c r="B48" s="680" t="s">
        <v>672</v>
      </c>
    </row>
    <row r="49" spans="2:2">
      <c r="B49" s="681"/>
    </row>
    <row r="50" spans="2:2">
      <c r="B50" s="683" t="s">
        <v>673</v>
      </c>
    </row>
    <row r="51" spans="2:2">
      <c r="B51" s="681"/>
    </row>
    <row r="52" spans="2:2" ht="45">
      <c r="B52" s="680" t="s">
        <v>674</v>
      </c>
    </row>
    <row r="53" spans="2:2">
      <c r="B53" s="681"/>
    </row>
    <row r="54" spans="2:2" ht="75">
      <c r="B54" s="680" t="s">
        <v>675</v>
      </c>
    </row>
    <row r="55" spans="2:2">
      <c r="B55" s="681"/>
    </row>
    <row r="56" spans="2:2" ht="30">
      <c r="B56" s="680" t="s">
        <v>676</v>
      </c>
    </row>
    <row r="57" spans="2:2">
      <c r="B57" s="681"/>
    </row>
    <row r="58" spans="2:2" ht="45">
      <c r="B58" s="680" t="s">
        <v>677</v>
      </c>
    </row>
    <row r="59" spans="2:2">
      <c r="B59" s="681"/>
    </row>
    <row r="60" spans="2:2">
      <c r="B60" s="680" t="s">
        <v>678</v>
      </c>
    </row>
    <row r="61" spans="2:2">
      <c r="B61" s="680" t="s">
        <v>679</v>
      </c>
    </row>
    <row r="62" spans="2:2" ht="16">
      <c r="B62" s="684" t="s">
        <v>680</v>
      </c>
    </row>
    <row r="63" spans="2:2">
      <c r="B63" s="680" t="s">
        <v>681</v>
      </c>
    </row>
  </sheetData>
  <hyperlinks>
    <hyperlink ref="B30" r:id="rId1" xr:uid="{0BD68A74-8619-42E4-ACF8-E1507BB2530E}"/>
    <hyperlink ref="B62" r:id="rId2" xr:uid="{8D7C3942-2247-4875-9A89-B74FADC0F856}"/>
  </hyperlinks>
  <pageMargins left="0.7" right="0.7" top="0.75" bottom="0.75" header="0.3" footer="0.3"/>
  <pageSetup orientation="portrait" horizontalDpi="90" verticalDpi="90" r:id="rId3"/>
  <headerFooter>
    <oddFooter>&amp;L&amp;1#&amp;"Calibri"&amp;10&amp;K000000Internal Use Only</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Planilhas</vt:lpstr>
      </vt:variant>
      <vt:variant>
        <vt:i4>22</vt:i4>
      </vt:variant>
      <vt:variant>
        <vt:lpstr>Intervalos Nomeados</vt:lpstr>
      </vt:variant>
      <vt:variant>
        <vt:i4>34</vt:i4>
      </vt:variant>
    </vt:vector>
  </HeadingPairs>
  <TitlesOfParts>
    <vt:vector size="56" baseType="lpstr">
      <vt:lpstr>Painel de Controle para SCP-Inv</vt:lpstr>
      <vt:lpstr>Fluxo de caixa</vt:lpstr>
      <vt:lpstr>Preco-de-Custo</vt:lpstr>
      <vt:lpstr>Inputs</vt:lpstr>
      <vt:lpstr>Fluxos_mensais</vt:lpstr>
      <vt:lpstr>Investimento_Casas</vt:lpstr>
      <vt:lpstr>Fluxo_de_Caixa Casas</vt:lpstr>
      <vt:lpstr>Permuta Funding</vt:lpstr>
      <vt:lpstr>Cidade Jardim III</vt:lpstr>
      <vt:lpstr>Quadro de Áreas</vt:lpstr>
      <vt:lpstr>Desembolso - LV</vt:lpstr>
      <vt:lpstr>FlCx_Invest_Mutuo - PROJETADO</vt:lpstr>
      <vt:lpstr>EVTE - Projetado</vt:lpstr>
      <vt:lpstr>EVTE - SEM PERMUTA FUNDING</vt:lpstr>
      <vt:lpstr>FlCx_Invest_Mutuo - SEM PERMUTA</vt:lpstr>
      <vt:lpstr>Projeto</vt:lpstr>
      <vt:lpstr>Dash_Viab</vt:lpstr>
      <vt:lpstr>Dash_Disp</vt:lpstr>
      <vt:lpstr>Dash_Proj</vt:lpstr>
      <vt:lpstr>Dash_Fin</vt:lpstr>
      <vt:lpstr>Dash_Cen</vt:lpstr>
      <vt:lpstr>Termos_de_Uso</vt:lpstr>
      <vt:lpstr>Ano_1</vt:lpstr>
      <vt:lpstr>Ano_11</vt:lpstr>
      <vt:lpstr>Ano_2</vt:lpstr>
      <vt:lpstr>Ano_22</vt:lpstr>
      <vt:lpstr>Ano_3</vt:lpstr>
      <vt:lpstr>Ano_33</vt:lpstr>
      <vt:lpstr>Ano_4</vt:lpstr>
      <vt:lpstr>Ano_44</vt:lpstr>
      <vt:lpstr>Ano_5</vt:lpstr>
      <vt:lpstr>Ano_55</vt:lpstr>
      <vt:lpstr>'Cidade Jardim III'!Area_de_impressao</vt:lpstr>
      <vt:lpstr>Dash_Cen!Area_de_impressao</vt:lpstr>
      <vt:lpstr>Dash_Disp!Area_de_impressao</vt:lpstr>
      <vt:lpstr>Dash_Fin!Area_de_impressao</vt:lpstr>
      <vt:lpstr>Dash_Proj!Area_de_impressao</vt:lpstr>
      <vt:lpstr>Dash_Viab!Area_de_impressao</vt:lpstr>
      <vt:lpstr>'Desembolso - LV'!Area_de_impressao</vt:lpstr>
      <vt:lpstr>'EVTE - Projetado'!Area_de_impressao</vt:lpstr>
      <vt:lpstr>'EVTE - SEM PERMUTA FUNDING'!Area_de_impressao</vt:lpstr>
      <vt:lpstr>'FlCx_Invest_Mutuo - PROJETADO'!Area_de_impressao</vt:lpstr>
      <vt:lpstr>'FlCx_Invest_Mutuo - SEM PERMUTA'!Area_de_impressao</vt:lpstr>
      <vt:lpstr>Cenário_Otimista</vt:lpstr>
      <vt:lpstr>i_ano_1</vt:lpstr>
      <vt:lpstr>i_ano_11</vt:lpstr>
      <vt:lpstr>i_ano_2</vt:lpstr>
      <vt:lpstr>i_ano_22</vt:lpstr>
      <vt:lpstr>i_ano_3</vt:lpstr>
      <vt:lpstr>i_ano_33</vt:lpstr>
      <vt:lpstr>i_ano_4</vt:lpstr>
      <vt:lpstr>i_ano_44</vt:lpstr>
      <vt:lpstr>i_ano_5</vt:lpstr>
      <vt:lpstr>i_ano_55</vt:lpstr>
      <vt:lpstr>'Cidade Jardim III'!Titulos_de_impressao</vt:lpstr>
      <vt:lpstr>'Desembolso - LV'!Titulos_de_impressao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EDUARDO NASCIMENTO</dc:creator>
  <cp:lastModifiedBy>Eduardo Nascimento</cp:lastModifiedBy>
  <dcterms:created xsi:type="dcterms:W3CDTF">2021-10-11T17:30:49Z</dcterms:created>
  <dcterms:modified xsi:type="dcterms:W3CDTF">2022-10-18T17:57:50Z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8dfde47-f100-441b-b584-049a7fefba8a_Enabled">
    <vt:lpwstr>true</vt:lpwstr>
  </property>
  <property fmtid="{D5CDD505-2E9C-101B-9397-08002B2CF9AE}" pid="3" name="MSIP_Label_38dfde47-f100-441b-b584-049a7fefba8a_SetDate">
    <vt:lpwstr>2022-07-21T13:01:32Z</vt:lpwstr>
  </property>
  <property fmtid="{D5CDD505-2E9C-101B-9397-08002B2CF9AE}" pid="4" name="MSIP_Label_38dfde47-f100-441b-b584-049a7fefba8a_Method">
    <vt:lpwstr>Standard</vt:lpwstr>
  </property>
  <property fmtid="{D5CDD505-2E9C-101B-9397-08002B2CF9AE}" pid="5" name="MSIP_Label_38dfde47-f100-441b-b584-049a7fefba8a_Name">
    <vt:lpwstr>38dfde47-f100-441b-b584-049a7fefba8a</vt:lpwstr>
  </property>
  <property fmtid="{D5CDD505-2E9C-101B-9397-08002B2CF9AE}" pid="6" name="MSIP_Label_38dfde47-f100-441b-b584-049a7fefba8a_SiteId">
    <vt:lpwstr>16e7cf3f-6af4-4e76-941e-aecafb9704e9</vt:lpwstr>
  </property>
  <property fmtid="{D5CDD505-2E9C-101B-9397-08002B2CF9AE}" pid="7" name="MSIP_Label_38dfde47-f100-441b-b584-049a7fefba8a_ActionId">
    <vt:lpwstr>23ae1bf1-720c-4f1b-8d82-22c7917c7fa1</vt:lpwstr>
  </property>
  <property fmtid="{D5CDD505-2E9C-101B-9397-08002B2CF9AE}" pid="8" name="MSIP_Label_38dfde47-f100-441b-b584-049a7fefba8a_ContentBits">
    <vt:lpwstr>2</vt:lpwstr>
  </property>
</Properties>
</file>