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jn/Desktop/Projeto Paineiras/Projeto S. Arthur Casas/"/>
    </mc:Choice>
  </mc:AlternateContent>
  <xr:revisionPtr revIDLastSave="0" documentId="13_ncr:1_{AA0BB9F0-B722-F94A-8325-EDD47E7779FC}" xr6:coauthVersionLast="47" xr6:coauthVersionMax="47" xr10:uidLastSave="{00000000-0000-0000-0000-000000000000}"/>
  <bookViews>
    <workbookView xWindow="0" yWindow="760" windowWidth="34560" windowHeight="18740" activeTab="2" xr2:uid="{4B497764-0FF8-8046-A90E-E62C31C9AF8A}"/>
  </bookViews>
  <sheets>
    <sheet name="Investimento_Casas" sheetId="1" state="hidden" r:id="rId1"/>
    <sheet name="Fluxo_de_Caixa Casas" sheetId="2" state="hidden" r:id="rId2"/>
    <sheet name="Cidade Jardim III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" hidden="1">[1]PRODUCAO!$C$11:$F$11</definedName>
    <definedName name="__123Graph_AANIDRO" hidden="1">[1]PRODUCAO!$C$4:$F$4</definedName>
    <definedName name="__123Graph_ACURRENT" hidden="1">'[2]CASH 2000'!#REF!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AVEICULOS" hidden="1">[3]Graf_Segurança!$C$56:$C$67</definedName>
    <definedName name="__123Graph_B" hidden="1">[4]ABLS!#REF!</definedName>
    <definedName name="__123Graph_BCURRENT" hidden="1">'[2]CASH 2000'!#REF!</definedName>
    <definedName name="__123Graph_BVEICULOS" hidden="1">[3]Graf_Segurança!$H$56:$H$67</definedName>
    <definedName name="__123Graph_C" hidden="1">[4]ABLS!#REF!</definedName>
    <definedName name="__123Graph_CCURRENT" hidden="1">'[2]CASH 2000'!#REF!</definedName>
    <definedName name="__123Graph_CP1" hidden="1">[5]TMP_Aux!#REF!</definedName>
    <definedName name="__123Graph_CVEICULOS" hidden="1">[3]Graf_Segurança!$L$56:$L$67</definedName>
    <definedName name="__123Graph_D" hidden="1">[4]ABLS!#REF!</definedName>
    <definedName name="__123Graph_DCURRENT" hidden="1">'[2]CASH 2000'!#REF!</definedName>
    <definedName name="__123Graph_DVEICULOS" hidden="1">[3]Graf_Segurança!$N$56:$N$67</definedName>
    <definedName name="__123Graph_E" hidden="1">[4]ABLS!#REF!</definedName>
    <definedName name="__123Graph_ECURRENT" hidden="1">'[2]CASH 2000'!#REF!</definedName>
    <definedName name="__123Graph_EVEICULOS" hidden="1">[3]Graf_Segurança!$P$56:$P$67</definedName>
    <definedName name="__123Graph_F" hidden="1">[4]ABLS!#REF!</definedName>
    <definedName name="__123Graph_FCURRENT" hidden="1">'[2]CASH 2000'!#REF!</definedName>
    <definedName name="__123Graph_FVEICULOS" hidden="1">[3]Graf_Segurança!$R$56:$R$67</definedName>
    <definedName name="__123Graph_LBL_BP1" hidden="1">[5]TMP_Aux!#REF!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123Graph_XVEICULOS" hidden="1">[3]Graf_Segurança!$A$56:$A$67</definedName>
    <definedName name="__DRE0700" hidden="1">{"'PXR_6500'!$A$1:$I$124"}</definedName>
    <definedName name="__FDS_HYPERLINK_TOGGLE_STATE__" hidden="1">"ON"</definedName>
    <definedName name="_b2" hidden="1">{"PVGraph2",#N/A,FALSE,"PV Data"}</definedName>
    <definedName name="_bdm.ToolkitBookmark.9_29_2003_6_58_57_PM.edm" hidden="1">#REF!</definedName>
    <definedName name="_dem2" hidden="1">{"cash",#N/A,FALSE,"cash";"historico",#N/A,FALSE,"historico"}</definedName>
    <definedName name="_DRE0700" hidden="1">{"'PXR_6500'!$A$1:$I$124"}</definedName>
    <definedName name="_Fill" hidden="1">#REF!</definedName>
    <definedName name="_GSRATES_1" hidden="1">"CT30000119991103        "</definedName>
    <definedName name="_GSRATES_2" hidden="1">"CT30000119991202        "</definedName>
    <definedName name="_GSRATES_3" hidden="1">"CT30000119991128        "</definedName>
    <definedName name="_GSRATES_4" hidden="1">"CT30000119991128        "</definedName>
    <definedName name="_GSRATES_5" hidden="1">"CT30000119991209        "</definedName>
    <definedName name="_GSRATES_COUNT" hidden="1">2</definedName>
    <definedName name="_GSRATESR_1" hidden="1">#REF!</definedName>
    <definedName name="_GSRATESR_2" hidden="1">#REF!</definedName>
    <definedName name="_I2" hidden="1">{"PVGraph2",#N/A,FALSE,"PV Data"}</definedName>
    <definedName name="_I22" hidden="1">{"PVGraph2",#N/A,FALSE,"PV Data"}</definedName>
    <definedName name="_I3" hidden="1">{"PVGraph2",#N/A,FALSE,"PV Data"}</definedName>
    <definedName name="_II2" hidden="1">{"PVGraph2",#N/A,FALSE,"PV Data"}</definedName>
    <definedName name="_Key1" hidden="1">[6]Condir!#REF!</definedName>
    <definedName name="_Key2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[6]Condir!#REF!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2" hidden="1">{"PVGraph2",#N/A,FALSE,"PV Data"}</definedName>
    <definedName name="_w2" hidden="1">{"PVGraph2",#N/A,FALSE,"PV Data"}</definedName>
    <definedName name="_w3" hidden="1">{"PVGraph2",#N/A,FALSE,"PV Data"}</definedName>
    <definedName name="_w9" hidden="1">{"PVGraph2",#N/A,FALSE,"PV Data"}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" hidden="1">{#N/A,"100% Success",TRUE,"Sales Forecast";#N/A,#N/A,TRUE,"Sheet2"}</definedName>
    <definedName name="AAA_DOCTOPS" hidden="1">"AAA_SET"</definedName>
    <definedName name="AAA_duser" hidden="1">"OFF"</definedName>
    <definedName name="aaaaaaaaaaaaaaaaaaaa" hidden="1">{#N/A,"10% Success",FALSE,"Sales Forecast";#N/A,#N/A,FALSE,"Sheet2"}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def" hidden="1">{"'PXR_6500'!$A$1:$I$124"}</definedName>
    <definedName name="ABN" hidden="1">{"'PXR_6500'!$A$1:$I$124"}</definedName>
    <definedName name="abr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AccessDatabase" hidden="1">"C:\Mis documentos\ACTIVOS.MDB"</definedName>
    <definedName name="ad" hidden="1">{#N/A,#N/A,FALSE,"TOC";#N/A,#N/A,FALSE,"ASS";#N/A,#N/A,FALSE,"CF";#N/A,#N/A,FALSE,"FUEL&amp;MTC"}</definedName>
    <definedName name="adrian" hidden="1">{#N/A,#N/A,FALSE,"TOC";#N/A,#N/A,FALSE,"ASS";#N/A,#N/A,FALSE,"CF";#N/A,#N/A,FALSE,"FUEL&amp;MTC"}</definedName>
    <definedName name="AEqC">#REF!</definedName>
    <definedName name="ALUG.VENCIDOSGER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ALUGGEREN" hidden="1">{#N/A,#N/A,FALSE,"V-R-gr";#N/A,#N/A,FALSE,"Veículos -gr"}</definedName>
    <definedName name="anscount" hidden="1">1</definedName>
    <definedName name="antonio" hidden="1">{#N/A,"70% Success",FALSE,"Sales Forecast";#N/A,#N/A,FALSE,"Sheet2"}</definedName>
    <definedName name="_xlnm.Print_Area" localSheetId="2">'Cidade Jardim III'!$A$1:$AL$65</definedName>
    <definedName name="AS" hidden="1">{"'TG'!$A$1:$L$37"}</definedName>
    <definedName name="AS2DocOpenMode" hidden="1">"AS2DocumentEdit"</definedName>
    <definedName name="asdasdasd" hidden="1">{#N/A,"100% Success",TRUE,"Sales Forecast";#N/A,#N/A,TRUE,"Sheet2"}</definedName>
    <definedName name="asdf" hidden="1">{"cap_structure",#N/A,FALSE,"Graph-Mkt Cap";"price",#N/A,FALSE,"Graph-Price";"ebit",#N/A,FALSE,"Graph-EBITDA";"ebitda",#N/A,FALSE,"Graph-EBITDA"}</definedName>
    <definedName name="ausucua" hidden="1">{#N/A,#N/A,FALSE,"TOC";#N/A,#N/A,FALSE,"ASS";#N/A,#N/A,FALSE,"CF";#N/A,#N/A,FALSE,"FUEL&amp;MTC"}</definedName>
    <definedName name="aw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b" hidden="1">{#N/A,"30% Success",TRUE,"Sales Forecast";#N/A,#N/A,TRUE,"Sheet2"}</definedName>
    <definedName name="balls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belnew" hidden="1">{"IS",#N/A,FALSE,"IS";"RPTIS",#N/A,FALSE,"RPTIS";"STATS",#N/A,FALSE,"STATS";"CELL",#N/A,FALSE,"CELL";"BS",#N/A,FALSE,"BS"}</definedName>
    <definedName name="BG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BLPH17" hidden="1">#REF!</definedName>
    <definedName name="BLPH18" hidden="1">#REF!</definedName>
    <definedName name="BLPH19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R10020040303143550017" hidden="1">#REF!</definedName>
    <definedName name="BLPR10020040303143550017_1_1" hidden="1">#REF!</definedName>
    <definedName name="BLPR10120040303143550017" hidden="1">#REF!</definedName>
    <definedName name="BLPR10120040303143550017_1_1" hidden="1">#REF!</definedName>
    <definedName name="BLPR1020040303143540803" hidden="1">#REF!</definedName>
    <definedName name="BLPR1020040303143540803_1_3" hidden="1">#REF!</definedName>
    <definedName name="BLPR1020040303143540803_2_3" hidden="1">#REF!</definedName>
    <definedName name="BLPR1020040303143540803_3_3" hidden="1">#REF!</definedName>
    <definedName name="BLPR10220040303143550017" hidden="1">#REF!</definedName>
    <definedName name="BLPR10220040303143550017_1_1" hidden="1">#REF!</definedName>
    <definedName name="BLPR10320040303143550017" hidden="1">#REF!</definedName>
    <definedName name="BLPR10320040303143550017_1_1" hidden="1">#REF!</definedName>
    <definedName name="BLPR10420040303143550027" hidden="1">#REF!</definedName>
    <definedName name="BLPR10420040303143550027_1_1" hidden="1">#REF!</definedName>
    <definedName name="BLPR10520040303143550027" hidden="1">#REF!</definedName>
    <definedName name="BLPR10520040303143550027_1_1" hidden="1">#REF!</definedName>
    <definedName name="BLPR10620040303143550027" hidden="1">#REF!</definedName>
    <definedName name="BLPR10620040303143550027_1_1" hidden="1">#REF!</definedName>
    <definedName name="BLPR10720040303143550027" hidden="1">#REF!</definedName>
    <definedName name="BLPR10720040303143550027_1_1" hidden="1">#REF!</definedName>
    <definedName name="BLPR10820040303143550027" hidden="1">#REF!</definedName>
    <definedName name="BLPR10820040303143550027_1_1" hidden="1">#REF!</definedName>
    <definedName name="BLPR10920040303143550027" hidden="1">#REF!</definedName>
    <definedName name="BLPR10920040303143550027_1_1" hidden="1">#REF!</definedName>
    <definedName name="BLPR11020040303143550027" hidden="1">#REF!</definedName>
    <definedName name="BLPR11020040303143550027_1_1" hidden="1">#REF!</definedName>
    <definedName name="BLPR11120040303143550037" hidden="1">#REF!</definedName>
    <definedName name="BLPR11120040303143550037_1_1" hidden="1">#REF!</definedName>
    <definedName name="BLPR1120040303143540803" hidden="1">#REF!</definedName>
    <definedName name="BLPR1120040303143540803_1_3" hidden="1">#REF!</definedName>
    <definedName name="BLPR1120040303143540803_2_3" hidden="1">#REF!</definedName>
    <definedName name="BLPR1120040303143540803_3_3" hidden="1">#REF!</definedName>
    <definedName name="BLPR11220040303143550037" hidden="1">#REF!</definedName>
    <definedName name="BLPR11220040303143550037_1_1" hidden="1">#REF!</definedName>
    <definedName name="BLPR11320040303143550037" hidden="1">#REF!</definedName>
    <definedName name="BLPR11320040303143550037_1_1" hidden="1">#REF!</definedName>
    <definedName name="BLPR11420040303143550037" hidden="1">#REF!</definedName>
    <definedName name="BLPR11420040303143550037_1_1" hidden="1">#REF!</definedName>
    <definedName name="BLPR11520040303143550037" hidden="1">#REF!</definedName>
    <definedName name="BLPR11520040303143550037_1_1" hidden="1">#REF!</definedName>
    <definedName name="BLPR11620040303143550037" hidden="1">#REF!</definedName>
    <definedName name="BLPR11620040303143550037_1_1" hidden="1">#REF!</definedName>
    <definedName name="BLPR11720040303143550047" hidden="1">#REF!</definedName>
    <definedName name="BLPR11720040303143550047_1_1" hidden="1">#REF!</definedName>
    <definedName name="BLPR11820040303143550047" hidden="1">#REF!</definedName>
    <definedName name="BLPR11820040303143550047_1_1" hidden="1">#REF!</definedName>
    <definedName name="BLPR11920040303143550047" hidden="1">#REF!</definedName>
    <definedName name="BLPR11920040303143550047_1_1" hidden="1">#REF!</definedName>
    <definedName name="BLPR120040303143540763" hidden="1">#REF!</definedName>
    <definedName name="BLPR120040303143540763_1_3" hidden="1">#REF!</definedName>
    <definedName name="BLPR120040303143540763_2_3" hidden="1">#REF!</definedName>
    <definedName name="BLPR120040303143540763_3_3" hidden="1">#REF!</definedName>
    <definedName name="BLPR12020040303143550047" hidden="1">#REF!</definedName>
    <definedName name="BLPR12020040303143550047_1_1" hidden="1">#REF!</definedName>
    <definedName name="BLPR12120040303143550047" hidden="1">#REF!</definedName>
    <definedName name="BLPR12120040303143550047_1_1" hidden="1">#REF!</definedName>
    <definedName name="BLPR1220040303143540803" hidden="1">#REF!</definedName>
    <definedName name="BLPR1220040303143540803_1_3" hidden="1">#REF!</definedName>
    <definedName name="BLPR1220040303143540803_2_3" hidden="1">#REF!</definedName>
    <definedName name="BLPR1220040303143540803_3_3" hidden="1">#REF!</definedName>
    <definedName name="BLPR12220040303143550047" hidden="1">#REF!</definedName>
    <definedName name="BLPR12220040303143550047_1_1" hidden="1">#REF!</definedName>
    <definedName name="BLPR12320040303143550047" hidden="1">#REF!</definedName>
    <definedName name="BLPR12320040303143550047_1_1" hidden="1">#REF!</definedName>
    <definedName name="BLPR12420040303143550057" hidden="1">#REF!</definedName>
    <definedName name="BLPR12420040303143550057_1_1" hidden="1">#REF!</definedName>
    <definedName name="BLPR12520040303143550057" hidden="1">#REF!</definedName>
    <definedName name="BLPR12520040303143550057_1_1" hidden="1">#REF!</definedName>
    <definedName name="BLPR12620040303143550057" hidden="1">#REF!</definedName>
    <definedName name="BLPR12620040303143550057_1_1" hidden="1">#REF!</definedName>
    <definedName name="BLPR12720040303143550057" hidden="1">#REF!</definedName>
    <definedName name="BLPR12720040303143550057_1_1" hidden="1">#REF!</definedName>
    <definedName name="BLPR12820040303143550057" hidden="1">#REF!</definedName>
    <definedName name="BLPR12820040303143550057_1_1" hidden="1">#REF!</definedName>
    <definedName name="BLPR12920040303143550057" hidden="1">#REF!</definedName>
    <definedName name="BLPR12920040303143550057_1_1" hidden="1">#REF!</definedName>
    <definedName name="BLPR13020040303143550067" hidden="1">#REF!</definedName>
    <definedName name="BLPR13020040303143550067_1_1" hidden="1">#REF!</definedName>
    <definedName name="BLPR13120040303143550067" hidden="1">#REF!</definedName>
    <definedName name="BLPR13120040303143550067_1_1" hidden="1">#REF!</definedName>
    <definedName name="BLPR1320040303143540813" hidden="1">#REF!</definedName>
    <definedName name="BLPR1320040303143540813_1_3" hidden="1">#REF!</definedName>
    <definedName name="BLPR1320040303143540813_2_3" hidden="1">#REF!</definedName>
    <definedName name="BLPR1320040303143540813_3_3" hidden="1">#REF!</definedName>
    <definedName name="BLPR13220040303143550067" hidden="1">#REF!</definedName>
    <definedName name="BLPR13220040303143550067_1_1" hidden="1">#REF!</definedName>
    <definedName name="BLPR13320040303143550067" hidden="1">#REF!</definedName>
    <definedName name="BLPR13320040303143550067_1_1" hidden="1">#REF!</definedName>
    <definedName name="BLPR13420040303143550067" hidden="1">#REF!</definedName>
    <definedName name="BLPR13420040303143550067_1_1" hidden="1">#REF!</definedName>
    <definedName name="BLPR13520040303143550067" hidden="1">#REF!</definedName>
    <definedName name="BLPR13520040303143550067_1_1" hidden="1">#REF!</definedName>
    <definedName name="BLPR13620040303143550077" hidden="1">#REF!</definedName>
    <definedName name="BLPR13620040303143550077_1_1" hidden="1">#REF!</definedName>
    <definedName name="BLPR13720040303143550077" hidden="1">#REF!</definedName>
    <definedName name="BLPR13720040303143550077_1_1" hidden="1">#REF!</definedName>
    <definedName name="BLPR13820040303143550077" hidden="1">#REF!</definedName>
    <definedName name="BLPR13820040303143550077_1_1" hidden="1">#REF!</definedName>
    <definedName name="BLPR13920040303143550077" hidden="1">#REF!</definedName>
    <definedName name="BLPR13920040303143550077_1_1" hidden="1">#REF!</definedName>
    <definedName name="BLPR14020040303143550077" hidden="1">#REF!</definedName>
    <definedName name="BLPR14020040303143550077_1_1" hidden="1">#REF!</definedName>
    <definedName name="BLPR14120040303143550077" hidden="1">#REF!</definedName>
    <definedName name="BLPR14120040303143550077_1_1" hidden="1">#REF!</definedName>
    <definedName name="BLPR1420040303143540813" hidden="1">#REF!</definedName>
    <definedName name="BLPR1420040303143540813_1_3" hidden="1">#REF!</definedName>
    <definedName name="BLPR1420040303143540813_2_3" hidden="1">#REF!</definedName>
    <definedName name="BLPR1420040303143540813_3_3" hidden="1">#REF!</definedName>
    <definedName name="BLPR14220040303143550077" hidden="1">#REF!</definedName>
    <definedName name="BLPR14220040303143550077_1_1" hidden="1">#REF!</definedName>
    <definedName name="BLPR14320040303143550077" hidden="1">#REF!</definedName>
    <definedName name="BLPR14320040303143550077_1_1" hidden="1">#REF!</definedName>
    <definedName name="BLPR14420040303143550077" hidden="1">#REF!</definedName>
    <definedName name="BLPR14420040303143550077_1_1" hidden="1">#REF!</definedName>
    <definedName name="BLPR14520040303143550077" hidden="1">#REF!</definedName>
    <definedName name="BLPR14520040303143550077_1_1" hidden="1">#REF!</definedName>
    <definedName name="BLPR14620040303143550077" hidden="1">#REF!</definedName>
    <definedName name="BLPR14620040303143550077_1_1" hidden="1">#REF!</definedName>
    <definedName name="BLPR14720040303143550077" hidden="1">#REF!</definedName>
    <definedName name="BLPR14720040303143550077_1_1" hidden="1">#REF!</definedName>
    <definedName name="BLPR14820040303143550077" hidden="1">#REF!</definedName>
    <definedName name="BLPR14820040303143550077_1_1" hidden="1">#REF!</definedName>
    <definedName name="BLPR14920040303143550077" hidden="1">#REF!</definedName>
    <definedName name="BLPR14920040303143550077_1_1" hidden="1">#REF!</definedName>
    <definedName name="BLPR15020040303143550087" hidden="1">#REF!</definedName>
    <definedName name="BLPR15020040303143550087_1_1" hidden="1">#REF!</definedName>
    <definedName name="BLPR15120040303143550087" hidden="1">#REF!</definedName>
    <definedName name="BLPR15120040303143550087_1_1" hidden="1">#REF!</definedName>
    <definedName name="BLPR1520040303143540813" hidden="1">#REF!</definedName>
    <definedName name="BLPR1520040303143540813_1_3" hidden="1">#REF!</definedName>
    <definedName name="BLPR1520040303143540813_2_3" hidden="1">#REF!</definedName>
    <definedName name="BLPR1520040303143540813_3_3" hidden="1">#REF!</definedName>
    <definedName name="BLPR15220040303143550087" hidden="1">#REF!</definedName>
    <definedName name="BLPR15220040303143550087_1_1" hidden="1">#REF!</definedName>
    <definedName name="BLPR15320040303143550087" hidden="1">#REF!</definedName>
    <definedName name="BLPR15320040303143550087_1_1" hidden="1">#REF!</definedName>
    <definedName name="BLPR15420040303143550087" hidden="1">#REF!</definedName>
    <definedName name="BLPR15420040303143550087_1_1" hidden="1">#REF!</definedName>
    <definedName name="BLPR15520040303143550207" hidden="1">#REF!</definedName>
    <definedName name="BLPR15520040303143550207_1_2" hidden="1">#REF!</definedName>
    <definedName name="BLPR15520040303143550207_2_2" hidden="1">#REF!</definedName>
    <definedName name="BLPR15620040303143550227" hidden="1">#REF!</definedName>
    <definedName name="BLPR15620040303143550227_1_2" hidden="1">#REF!</definedName>
    <definedName name="BLPR15620040303143550227_2_2" hidden="1">#REF!</definedName>
    <definedName name="BLPR15720040303143550237" hidden="1">#REF!</definedName>
    <definedName name="BLPR15720040303143550237_1_2" hidden="1">#REF!</definedName>
    <definedName name="BLPR15720040303143550237_2_2" hidden="1">#REF!</definedName>
    <definedName name="BLPR15820040303143550257" hidden="1">#REF!</definedName>
    <definedName name="BLPR15820040303143550257_1_2" hidden="1">#REF!</definedName>
    <definedName name="BLPR15820040303143550257_2_2" hidden="1">#REF!</definedName>
    <definedName name="BLPR15920040303143550267" hidden="1">#REF!</definedName>
    <definedName name="BLPR15920040303143550267_1_2" hidden="1">#REF!</definedName>
    <definedName name="BLPR15920040303143550267_2_2" hidden="1">#REF!</definedName>
    <definedName name="BLPR16020040303143550287" hidden="1">#REF!</definedName>
    <definedName name="BLPR16020040303143550287_1_2" hidden="1">#REF!</definedName>
    <definedName name="BLPR16020040303143550287_2_2" hidden="1">#REF!</definedName>
    <definedName name="BLPR16120040303143550297" hidden="1">#REF!</definedName>
    <definedName name="BLPR16120040303143550297_1_2" hidden="1">#REF!</definedName>
    <definedName name="BLPR16120040303143550297_2_2" hidden="1">#REF!</definedName>
    <definedName name="BLPR1620040303143540813" hidden="1">#REF!</definedName>
    <definedName name="BLPR1620040303143540813_1_3" hidden="1">#REF!</definedName>
    <definedName name="BLPR1620040303143540813_2_3" hidden="1">#REF!</definedName>
    <definedName name="BLPR1620040303143540813_3_3" hidden="1">#REF!</definedName>
    <definedName name="BLPR16220040303143550317" hidden="1">#REF!</definedName>
    <definedName name="BLPR16220040303143550317_1_2" hidden="1">#REF!</definedName>
    <definedName name="BLPR16220040303143550317_2_2" hidden="1">#REF!</definedName>
    <definedName name="BLPR16320040303143550327" hidden="1">#REF!</definedName>
    <definedName name="BLPR16320040303143550327_1_2" hidden="1">#REF!</definedName>
    <definedName name="BLPR16320040303143550327_2_2" hidden="1">#REF!</definedName>
    <definedName name="BLPR16420040303143550347" hidden="1">#REF!</definedName>
    <definedName name="BLPR16420040303143550347_1_2" hidden="1">#REF!</definedName>
    <definedName name="BLPR16420040303143550347_2_2" hidden="1">#REF!</definedName>
    <definedName name="BLPR16520040303143550357" hidden="1">#REF!</definedName>
    <definedName name="BLPR16520040303143550357_1_2" hidden="1">#REF!</definedName>
    <definedName name="BLPR16520040303143550357_2_2" hidden="1">#REF!</definedName>
    <definedName name="BLPR16620040303143550377" hidden="1">#REF!</definedName>
    <definedName name="BLPR16620040303143550377_1_2" hidden="1">#REF!</definedName>
    <definedName name="BLPR16620040303143550377_2_2" hidden="1">#REF!</definedName>
    <definedName name="BLPR16720040303143550397" hidden="1">#REF!</definedName>
    <definedName name="BLPR16720040303143550397_1_2" hidden="1">#REF!</definedName>
    <definedName name="BLPR16720040303143550397_2_2" hidden="1">#REF!</definedName>
    <definedName name="BLPR16820040303143550407" hidden="1">#REF!</definedName>
    <definedName name="BLPR16820040303143550407_1_2" hidden="1">#REF!</definedName>
    <definedName name="BLPR16820040303143550407_2_2" hidden="1">#REF!</definedName>
    <definedName name="BLPR16920040303143550427" hidden="1">#REF!</definedName>
    <definedName name="BLPR16920040303143550427_1_2" hidden="1">#REF!</definedName>
    <definedName name="BLPR16920040303143550427_2_2" hidden="1">#REF!</definedName>
    <definedName name="BLPR17020040303143550437" hidden="1">#REF!</definedName>
    <definedName name="BLPR17020040303143550437_1_2" hidden="1">#REF!</definedName>
    <definedName name="BLPR17020040303143550437_2_2" hidden="1">#REF!</definedName>
    <definedName name="BLPR17120040303143550457" hidden="1">#REF!</definedName>
    <definedName name="BLPR17120040303143550457_1_2" hidden="1">#REF!</definedName>
    <definedName name="BLPR17120040303143550457_2_2" hidden="1">#REF!</definedName>
    <definedName name="BLPR1720040303143540823" hidden="1">#REF!</definedName>
    <definedName name="BLPR1720040303143540823_1_3" hidden="1">#REF!</definedName>
    <definedName name="BLPR1720040303143540823_2_3" hidden="1">#REF!</definedName>
    <definedName name="BLPR1720040303143540823_3_3" hidden="1">#REF!</definedName>
    <definedName name="BLPR17220040303143550477" hidden="1">#REF!</definedName>
    <definedName name="BLPR17220040303143550477_1_2" hidden="1">#REF!</definedName>
    <definedName name="BLPR17220040303143550477_2_2" hidden="1">#REF!</definedName>
    <definedName name="BLPR17320040303143550487" hidden="1">#REF!</definedName>
    <definedName name="BLPR17320040303143550487_1_2" hidden="1">#REF!</definedName>
    <definedName name="BLPR17320040303143550487_2_2" hidden="1">#REF!</definedName>
    <definedName name="BLPR17420040303143550507" hidden="1">#REF!</definedName>
    <definedName name="BLPR17420040303143550507_1_2" hidden="1">#REF!</definedName>
    <definedName name="BLPR17420040303143550507_2_2" hidden="1">#REF!</definedName>
    <definedName name="BLPR17520040303143550527" hidden="1">#REF!</definedName>
    <definedName name="BLPR17520040303143550527_1_2" hidden="1">#REF!</definedName>
    <definedName name="BLPR17520040303143550527_2_2" hidden="1">#REF!</definedName>
    <definedName name="BLPR17620040303143550547" hidden="1">#REF!</definedName>
    <definedName name="BLPR17620040303143550547_1_2" hidden="1">#REF!</definedName>
    <definedName name="BLPR17620040303143550547_2_2" hidden="1">#REF!</definedName>
    <definedName name="BLPR17720040303143550557" hidden="1">#REF!</definedName>
    <definedName name="BLPR17720040303143550557_1_2" hidden="1">#REF!</definedName>
    <definedName name="BLPR17720040303143550557_2_2" hidden="1">#REF!</definedName>
    <definedName name="BLPR17820040303143550577" hidden="1">#REF!</definedName>
    <definedName name="BLPR17820040303143550577_1_2" hidden="1">#REF!</definedName>
    <definedName name="BLPR17820040303143550577_2_2" hidden="1">#REF!</definedName>
    <definedName name="BLPR17920040303143550597" hidden="1">#REF!</definedName>
    <definedName name="BLPR17920040303143550597_1_2" hidden="1">#REF!</definedName>
    <definedName name="BLPR17920040303143550597_2_2" hidden="1">#REF!</definedName>
    <definedName name="BLPR18020040303143550617" hidden="1">#REF!</definedName>
    <definedName name="BLPR18020040303143550617_1_2" hidden="1">#REF!</definedName>
    <definedName name="BLPR18020040303143550617_2_2" hidden="1">#REF!</definedName>
    <definedName name="BLPR18120040303143550637" hidden="1">#REF!</definedName>
    <definedName name="BLPR18120040303143550637_1_2" hidden="1">#REF!</definedName>
    <definedName name="BLPR18120040303143550637_2_2" hidden="1">#REF!</definedName>
    <definedName name="BLPR1820040303143540823" hidden="1">#REF!</definedName>
    <definedName name="BLPR1820040303143540823_1_3" hidden="1">#REF!</definedName>
    <definedName name="BLPR1820040303143540823_2_3" hidden="1">#REF!</definedName>
    <definedName name="BLPR1820040303143540823_3_3" hidden="1">#REF!</definedName>
    <definedName name="BLPR18220040303143550657" hidden="1">#REF!</definedName>
    <definedName name="BLPR18220040303143550657_1_2" hidden="1">#REF!</definedName>
    <definedName name="BLPR18220040303143550657_2_2" hidden="1">#REF!</definedName>
    <definedName name="BLPR18320040303143550678" hidden="1">#REF!</definedName>
    <definedName name="BLPR18320040303143550678_1_2" hidden="1">#REF!</definedName>
    <definedName name="BLPR18320040303143550678_2_2" hidden="1">#REF!</definedName>
    <definedName name="BLPR18420040303143550698" hidden="1">#REF!</definedName>
    <definedName name="BLPR18420040303143550698_1_2" hidden="1">#REF!</definedName>
    <definedName name="BLPR18420040303143550698_2_2" hidden="1">#REF!</definedName>
    <definedName name="BLPR18520040303143550718" hidden="1">#REF!</definedName>
    <definedName name="BLPR18520040303143550718_1_2" hidden="1">#REF!</definedName>
    <definedName name="BLPR18520040303143550718_2_2" hidden="1">#REF!</definedName>
    <definedName name="BLPR18620040303143550738" hidden="1">#REF!</definedName>
    <definedName name="BLPR18620040303143550738_1_2" hidden="1">#REF!</definedName>
    <definedName name="BLPR18620040303143550738_2_2" hidden="1">#REF!</definedName>
    <definedName name="BLPR18720040303143550758" hidden="1">#REF!</definedName>
    <definedName name="BLPR18720040303143550758_1_2" hidden="1">#REF!</definedName>
    <definedName name="BLPR18720040303143550758_2_2" hidden="1">#REF!</definedName>
    <definedName name="BLPR18820040303143550778" hidden="1">#REF!</definedName>
    <definedName name="BLPR18820040303143550778_1_2" hidden="1">#REF!</definedName>
    <definedName name="BLPR18820040303143550778_2_2" hidden="1">#REF!</definedName>
    <definedName name="BLPR18920040303143550798" hidden="1">#REF!</definedName>
    <definedName name="BLPR18920040303143550798_1_2" hidden="1">#REF!</definedName>
    <definedName name="BLPR18920040303143550798_2_2" hidden="1">#REF!</definedName>
    <definedName name="BLPR19020040303143550818" hidden="1">#REF!</definedName>
    <definedName name="BLPR19020040303143550818_1_2" hidden="1">#REF!</definedName>
    <definedName name="BLPR19020040303143550818_2_2" hidden="1">#REF!</definedName>
    <definedName name="BLPR19120040303143550838" hidden="1">#REF!</definedName>
    <definedName name="BLPR19120040303143550838_1_2" hidden="1">#REF!</definedName>
    <definedName name="BLPR19120040303143550838_2_2" hidden="1">#REF!</definedName>
    <definedName name="BLPR1920040303143540823" hidden="1">#REF!</definedName>
    <definedName name="BLPR1920040303143540823_1_3" hidden="1">#REF!</definedName>
    <definedName name="BLPR1920040303143540823_2_3" hidden="1">#REF!</definedName>
    <definedName name="BLPR1920040303143540823_3_3" hidden="1">#REF!</definedName>
    <definedName name="BLPR19220040303143550858" hidden="1">#REF!</definedName>
    <definedName name="BLPR19220040303143550858_1_2" hidden="1">#REF!</definedName>
    <definedName name="BLPR19220040303143550858_2_2" hidden="1">#REF!</definedName>
    <definedName name="BLPR19320040303143550878" hidden="1">#REF!</definedName>
    <definedName name="BLPR19320040303143550878_1_2" hidden="1">#REF!</definedName>
    <definedName name="BLPR19320040303143550878_2_2" hidden="1">#REF!</definedName>
    <definedName name="BLPR19420040303143550898" hidden="1">#REF!</definedName>
    <definedName name="BLPR19420040303143550898_1_2" hidden="1">#REF!</definedName>
    <definedName name="BLPR19420040303143550898_2_2" hidden="1">#REF!</definedName>
    <definedName name="BLPR19520040303143550928" hidden="1">#REF!</definedName>
    <definedName name="BLPR19520040303143550928_1_2" hidden="1">#REF!</definedName>
    <definedName name="BLPR19520040303143550928_2_2" hidden="1">#REF!</definedName>
    <definedName name="BLPR19620040303143550948" hidden="1">#REF!</definedName>
    <definedName name="BLPR19620040303143550948_1_2" hidden="1">#REF!</definedName>
    <definedName name="BLPR19620040303143550948_2_2" hidden="1">#REF!</definedName>
    <definedName name="BLPR19720040303143550968" hidden="1">#REF!</definedName>
    <definedName name="BLPR19720040303143550968_1_2" hidden="1">#REF!</definedName>
    <definedName name="BLPR19720040303143550968_2_2" hidden="1">#REF!</definedName>
    <definedName name="BLPR19820040303143550988" hidden="1">#REF!</definedName>
    <definedName name="BLPR19820040303143550988_1_2" hidden="1">#REF!</definedName>
    <definedName name="BLPR19820040303143550988_2_2" hidden="1">#REF!</definedName>
    <definedName name="BLPR19920040303143551999" hidden="1">#REF!</definedName>
    <definedName name="BLPR19920040303143551999_1_1" hidden="1">#REF!</definedName>
    <definedName name="BLPR20020040303143551999" hidden="1">#REF!</definedName>
    <definedName name="BLPR20020040303143551999_1_1" hidden="1">#REF!</definedName>
    <definedName name="BLPR20120040303143551999" hidden="1">#REF!</definedName>
    <definedName name="BLPR20120040303143551999_1_1" hidden="1">#REF!</definedName>
    <definedName name="BLPR2020040303143540823" hidden="1">#REF!</definedName>
    <definedName name="BLPR2020040303143540823_1_3" hidden="1">#REF!</definedName>
    <definedName name="BLPR2020040303143540823_2_3" hidden="1">#REF!</definedName>
    <definedName name="BLPR2020040303143540823_3_3" hidden="1">#REF!</definedName>
    <definedName name="BLPR20220040303143551999" hidden="1">#REF!</definedName>
    <definedName name="BLPR20220040303143551999_1_1" hidden="1">#REF!</definedName>
    <definedName name="BLPR20320040303143552009" hidden="1">#REF!</definedName>
    <definedName name="BLPR20320040303143552009_1_1" hidden="1">#REF!</definedName>
    <definedName name="BLPR20420040303143552009" hidden="1">#REF!</definedName>
    <definedName name="BLPR20420040303143552009_1_1" hidden="1">#REF!</definedName>
    <definedName name="BLPR20520040303143552009" hidden="1">#REF!</definedName>
    <definedName name="BLPR20520040303143552009_1_1" hidden="1">#REF!</definedName>
    <definedName name="BLPR20620040303143552009" hidden="1">#REF!</definedName>
    <definedName name="BLPR20620040303143552009_1_1" hidden="1">#REF!</definedName>
    <definedName name="BLPR20720040303143552009" hidden="1">#REF!</definedName>
    <definedName name="BLPR20720040303143552009_1_1" hidden="1">#REF!</definedName>
    <definedName name="BLPR20820040303143552009" hidden="1">#REF!</definedName>
    <definedName name="BLPR20820040303143552009_1_1" hidden="1">#REF!</definedName>
    <definedName name="BLPR20920040303143552009" hidden="1">#REF!</definedName>
    <definedName name="BLPR20920040303143552009_1_1" hidden="1">#REF!</definedName>
    <definedName name="BLPR21020040303143552009" hidden="1">#REF!</definedName>
    <definedName name="BLPR21020040303143552009_1_1" hidden="1">#REF!</definedName>
    <definedName name="BLPR21120040303143552009" hidden="1">#REF!</definedName>
    <definedName name="BLPR21120040303143552009_1_1" hidden="1">#REF!</definedName>
    <definedName name="BLPR2120040303143540823" hidden="1">#REF!</definedName>
    <definedName name="BLPR2120040303143540823_1_3" hidden="1">#REF!</definedName>
    <definedName name="BLPR2120040303143540823_2_3" hidden="1">#REF!</definedName>
    <definedName name="BLPR2120040303143540823_3_3" hidden="1">#REF!</definedName>
    <definedName name="BLPR21220040303143552009" hidden="1">#REF!</definedName>
    <definedName name="BLPR21220040303143552009_1_1" hidden="1">#REF!</definedName>
    <definedName name="BLPR21320040303143552009" hidden="1">#REF!</definedName>
    <definedName name="BLPR21320040303143552009_1_1" hidden="1">#REF!</definedName>
    <definedName name="BLPR21420040303143552019" hidden="1">#REF!</definedName>
    <definedName name="BLPR21420040303143552019_1_1" hidden="1">#REF!</definedName>
    <definedName name="BLPR21520040303143552080" hidden="1">#REF!</definedName>
    <definedName name="BLPR21520040303143552080_1_2" hidden="1">#REF!</definedName>
    <definedName name="BLPR21520040303143552080_2_2" hidden="1">#REF!</definedName>
    <definedName name="BLPR21620040303143552110" hidden="1">#REF!</definedName>
    <definedName name="BLPR21620040303143552110_1_2" hidden="1">#REF!</definedName>
    <definedName name="BLPR21620040303143552110_2_2" hidden="1">#REF!</definedName>
    <definedName name="BLPR21720040303143552130" hidden="1">#REF!</definedName>
    <definedName name="BLPR21720040303143552130_1_2" hidden="1">#REF!</definedName>
    <definedName name="BLPR21720040303143552130_2_2" hidden="1">#REF!</definedName>
    <definedName name="BLPR21820040303143552160" hidden="1">#REF!</definedName>
    <definedName name="BLPR21820040303143552160_1_2" hidden="1">#REF!</definedName>
    <definedName name="BLPR21820040303143552160_2_2" hidden="1">#REF!</definedName>
    <definedName name="BLPR21920040303143552180" hidden="1">#REF!</definedName>
    <definedName name="BLPR21920040303143552180_1_2" hidden="1">#REF!</definedName>
    <definedName name="BLPR21920040303143552180_2_2" hidden="1">#REF!</definedName>
    <definedName name="BLPR220040303143540773" hidden="1">#REF!</definedName>
    <definedName name="BLPR220040303143540773_1_3" hidden="1">#REF!</definedName>
    <definedName name="BLPR220040303143540773_2_3" hidden="1">#REF!</definedName>
    <definedName name="BLPR220040303143540773_3_3" hidden="1">#REF!</definedName>
    <definedName name="BLPR22020040303143552210" hidden="1">#REF!</definedName>
    <definedName name="BLPR22020040303143552210_1_2" hidden="1">#REF!</definedName>
    <definedName name="BLPR22020040303143552210_2_2" hidden="1">#REF!</definedName>
    <definedName name="BLPR22120040303143552230" hidden="1">#REF!</definedName>
    <definedName name="BLPR22120040303143552230_1_2" hidden="1">#REF!</definedName>
    <definedName name="BLPR22120040303143552230_2_2" hidden="1">#REF!</definedName>
    <definedName name="BLPR2220040303143540833" hidden="1">#REF!</definedName>
    <definedName name="BLPR2220040303143540833_1_3" hidden="1">#REF!</definedName>
    <definedName name="BLPR2220040303143540833_2_3" hidden="1">#REF!</definedName>
    <definedName name="BLPR2220040303143540833_3_3" hidden="1">#REF!</definedName>
    <definedName name="BLPR22220040303143552260" hidden="1">#REF!</definedName>
    <definedName name="BLPR22220040303143552260_1_2" hidden="1">#REF!</definedName>
    <definedName name="BLPR22220040303143552260_2_2" hidden="1">#REF!</definedName>
    <definedName name="BLPR2320040303143540833" hidden="1">#REF!</definedName>
    <definedName name="BLPR2320040303143540833_1_3" hidden="1">#REF!</definedName>
    <definedName name="BLPR2320040303143540833_2_3" hidden="1">#REF!</definedName>
    <definedName name="BLPR2320040303143540833_3_3" hidden="1">#REF!</definedName>
    <definedName name="BLPR2420040303143540833" hidden="1">#REF!</definedName>
    <definedName name="BLPR2420040303143540833_1_3" hidden="1">#REF!</definedName>
    <definedName name="BLPR2420040303143540833_2_3" hidden="1">#REF!</definedName>
    <definedName name="BLPR2420040303143540833_3_3" hidden="1">#REF!</definedName>
    <definedName name="BLPR2520040303143540833" hidden="1">#REF!</definedName>
    <definedName name="BLPR2520040303143540833_1_3" hidden="1">#REF!</definedName>
    <definedName name="BLPR2520040303143540833_2_3" hidden="1">#REF!</definedName>
    <definedName name="BLPR2520040303143540833_3_3" hidden="1">#REF!</definedName>
    <definedName name="BLPR2620040303143540833" hidden="1">#REF!</definedName>
    <definedName name="BLPR2620040303143540833_1_3" hidden="1">#REF!</definedName>
    <definedName name="BLPR2620040303143540833_2_3" hidden="1">#REF!</definedName>
    <definedName name="BLPR2620040303143540833_3_3" hidden="1">#REF!</definedName>
    <definedName name="BLPR2720040303143540843" hidden="1">#REF!</definedName>
    <definedName name="BLPR2720040303143540843_1_3" hidden="1">#REF!</definedName>
    <definedName name="BLPR2720040303143540843_2_3" hidden="1">#REF!</definedName>
    <definedName name="BLPR2720040303143540843_3_3" hidden="1">#REF!</definedName>
    <definedName name="BLPR2820040303143540843" hidden="1">#REF!</definedName>
    <definedName name="BLPR2820040303143540843_1_3" hidden="1">#REF!</definedName>
    <definedName name="BLPR2820040303143540843_2_3" hidden="1">#REF!</definedName>
    <definedName name="BLPR2820040303143540843_3_3" hidden="1">#REF!</definedName>
    <definedName name="BLPR2920040303143540843" hidden="1">#REF!</definedName>
    <definedName name="BLPR2920040303143540843_1_3" hidden="1">#REF!</definedName>
    <definedName name="BLPR2920040303143540843_2_3" hidden="1">#REF!</definedName>
    <definedName name="BLPR2920040303143540843_3_3" hidden="1">#REF!</definedName>
    <definedName name="BLPR3020040303143540843" hidden="1">#REF!</definedName>
    <definedName name="BLPR3020040303143540843_1_3" hidden="1">#REF!</definedName>
    <definedName name="BLPR3020040303143540843_2_3" hidden="1">#REF!</definedName>
    <definedName name="BLPR3020040303143540843_3_3" hidden="1">#REF!</definedName>
    <definedName name="BLPR3120040303143540853" hidden="1">#REF!</definedName>
    <definedName name="BLPR3120040303143540853_1_3" hidden="1">#REF!</definedName>
    <definedName name="BLPR3120040303143540853_2_3" hidden="1">#REF!</definedName>
    <definedName name="BLPR3120040303143540853_3_3" hidden="1">#REF!</definedName>
    <definedName name="BLPR320040303143540773" hidden="1">#REF!</definedName>
    <definedName name="BLPR320040303143540773_1_3" hidden="1">#REF!</definedName>
    <definedName name="BLPR320040303143540773_2_3" hidden="1">#REF!</definedName>
    <definedName name="BLPR320040303143540773_3_3" hidden="1">#REF!</definedName>
    <definedName name="BLPR3220040303143540853" hidden="1">#REF!</definedName>
    <definedName name="BLPR3220040303143540853_1_3" hidden="1">#REF!</definedName>
    <definedName name="BLPR3220040303143540853_2_3" hidden="1">#REF!</definedName>
    <definedName name="BLPR3220040303143540853_3_3" hidden="1">#REF!</definedName>
    <definedName name="BLPR3320040303143540853" hidden="1">#REF!</definedName>
    <definedName name="BLPR3320040303143540853_1_3" hidden="1">#REF!</definedName>
    <definedName name="BLPR3320040303143540853_2_3" hidden="1">#REF!</definedName>
    <definedName name="BLPR3320040303143540853_3_3" hidden="1">#REF!</definedName>
    <definedName name="BLPR3420040303143540853" hidden="1">#REF!</definedName>
    <definedName name="BLPR3420040303143540853_1_3" hidden="1">#REF!</definedName>
    <definedName name="BLPR3420040303143540853_2_3" hidden="1">#REF!</definedName>
    <definedName name="BLPR3420040303143540853_3_3" hidden="1">#REF!</definedName>
    <definedName name="BLPR3520040303143540853" hidden="1">#REF!</definedName>
    <definedName name="BLPR3520040303143540853_1_3" hidden="1">#REF!</definedName>
    <definedName name="BLPR3520040303143540853_2_3" hidden="1">#REF!</definedName>
    <definedName name="BLPR3520040303143540853_3_3" hidden="1">#REF!</definedName>
    <definedName name="BLPR3620040303143540863" hidden="1">#REF!</definedName>
    <definedName name="BLPR3620040303143540863_1_3" hidden="1">#REF!</definedName>
    <definedName name="BLPR3620040303143540863_2_3" hidden="1">#REF!</definedName>
    <definedName name="BLPR3620040303143540863_3_3" hidden="1">#REF!</definedName>
    <definedName name="BLPR3720040303143540863" hidden="1">#REF!</definedName>
    <definedName name="BLPR3720040303143540863_1_3" hidden="1">#REF!</definedName>
    <definedName name="BLPR3720040303143540863_2_3" hidden="1">#REF!</definedName>
    <definedName name="BLPR3720040303143540863_3_3" hidden="1">#REF!</definedName>
    <definedName name="BLPR3820040303143540863" hidden="1">#REF!</definedName>
    <definedName name="BLPR3820040303143540863_1_3" hidden="1">#REF!</definedName>
    <definedName name="BLPR3820040303143540863_2_3" hidden="1">#REF!</definedName>
    <definedName name="BLPR3820040303143540863_3_3" hidden="1">#REF!</definedName>
    <definedName name="BLPR3920040303143540863" hidden="1">#REF!</definedName>
    <definedName name="BLPR3920040303143540863_1_3" hidden="1">#REF!</definedName>
    <definedName name="BLPR3920040303143540863_2_3" hidden="1">#REF!</definedName>
    <definedName name="BLPR3920040303143540863_3_3" hidden="1">#REF!</definedName>
    <definedName name="BLPR4020040303143540873" hidden="1">#REF!</definedName>
    <definedName name="BLPR4020040303143540873_1_3" hidden="1">#REF!</definedName>
    <definedName name="BLPR4020040303143540873_2_3" hidden="1">#REF!</definedName>
    <definedName name="BLPR4020040303143540873_3_3" hidden="1">#REF!</definedName>
    <definedName name="BLPR4120040303143540873" hidden="1">#REF!</definedName>
    <definedName name="BLPR4120040303143540873_1_3" hidden="1">#REF!</definedName>
    <definedName name="BLPR4120040303143540873_2_3" hidden="1">#REF!</definedName>
    <definedName name="BLPR4120040303143540873_3_3" hidden="1">#REF!</definedName>
    <definedName name="BLPR420040303143540783" hidden="1">#REF!</definedName>
    <definedName name="BLPR420040303143540783_1_3" hidden="1">#REF!</definedName>
    <definedName name="BLPR420040303143540783_2_3" hidden="1">#REF!</definedName>
    <definedName name="BLPR420040303143540783_3_3" hidden="1">#REF!</definedName>
    <definedName name="BLPR4220040303143540873" hidden="1">#REF!</definedName>
    <definedName name="BLPR4220040303143540873_1_3" hidden="1">#REF!</definedName>
    <definedName name="BLPR4220040303143540873_2_3" hidden="1">#REF!</definedName>
    <definedName name="BLPR4220040303143540873_3_3" hidden="1">#REF!</definedName>
    <definedName name="BLPR4320040303143540873" hidden="1">#REF!</definedName>
    <definedName name="BLPR4320040303143540873_1_3" hidden="1">#REF!</definedName>
    <definedName name="BLPR4320040303143540873_2_3" hidden="1">#REF!</definedName>
    <definedName name="BLPR4320040303143540873_3_3" hidden="1">#REF!</definedName>
    <definedName name="BLPR4420040303143540883" hidden="1">#REF!</definedName>
    <definedName name="BLPR4420040303143540883_1_3" hidden="1">#REF!</definedName>
    <definedName name="BLPR4420040303143540883_2_3" hidden="1">#REF!</definedName>
    <definedName name="BLPR4420040303143540883_3_3" hidden="1">#REF!</definedName>
    <definedName name="BLPR4520040303143540883" hidden="1">#REF!</definedName>
    <definedName name="BLPR4520040303143540883_1_3" hidden="1">#REF!</definedName>
    <definedName name="BLPR4520040303143540883_2_3" hidden="1">#REF!</definedName>
    <definedName name="BLPR4520040303143540883_3_3" hidden="1">#REF!</definedName>
    <definedName name="BLPR4620040303143540883" hidden="1">#REF!</definedName>
    <definedName name="BLPR4620040303143540883_1_3" hidden="1">#REF!</definedName>
    <definedName name="BLPR4620040303143540883_2_3" hidden="1">#REF!</definedName>
    <definedName name="BLPR4620040303143540883_3_3" hidden="1">#REF!</definedName>
    <definedName name="BLPR4720040303143540893" hidden="1">#REF!</definedName>
    <definedName name="BLPR4720040303143540893_1_3" hidden="1">#REF!</definedName>
    <definedName name="BLPR4720040303143540893_2_3" hidden="1">#REF!</definedName>
    <definedName name="BLPR4720040303143540893_3_3" hidden="1">#REF!</definedName>
    <definedName name="BLPR4820040303143540893" hidden="1">#REF!</definedName>
    <definedName name="BLPR4820040303143540893_1_3" hidden="1">#REF!</definedName>
    <definedName name="BLPR4820040303143540893_2_3" hidden="1">#REF!</definedName>
    <definedName name="BLPR4820040303143540893_3_3" hidden="1">#REF!</definedName>
    <definedName name="BLPR4920040303143542085" hidden="1">#REF!</definedName>
    <definedName name="BLPR4920040303143542085_1_3" hidden="1">#REF!</definedName>
    <definedName name="BLPR4920040303143542085_2_3" hidden="1">#REF!</definedName>
    <definedName name="BLPR4920040303143542085_3_3" hidden="1">#REF!</definedName>
    <definedName name="BLPR5020040303143542085" hidden="1">#REF!</definedName>
    <definedName name="BLPR5020040303143542085_1_3" hidden="1">#REF!</definedName>
    <definedName name="BLPR5020040303143542085_2_3" hidden="1">#REF!</definedName>
    <definedName name="BLPR5020040303143542085_3_3" hidden="1">#REF!</definedName>
    <definedName name="BLPR5120040303143542095" hidden="1">#REF!</definedName>
    <definedName name="BLPR5120040303143542095_1_3" hidden="1">#REF!</definedName>
    <definedName name="BLPR5120040303143542095_2_3" hidden="1">#REF!</definedName>
    <definedName name="BLPR5120040303143542095_3_3" hidden="1">#REF!</definedName>
    <definedName name="BLPR520040303143540783" hidden="1">#REF!</definedName>
    <definedName name="BLPR520040303143540783_1_3" hidden="1">#REF!</definedName>
    <definedName name="BLPR520040303143540783_2_3" hidden="1">#REF!</definedName>
    <definedName name="BLPR520040303143540783_3_3" hidden="1">#REF!</definedName>
    <definedName name="BLPR5220040303143542095" hidden="1">#REF!</definedName>
    <definedName name="BLPR5220040303143542095_1_3" hidden="1">#REF!</definedName>
    <definedName name="BLPR5220040303143542095_2_3" hidden="1">#REF!</definedName>
    <definedName name="BLPR5220040303143542095_3_3" hidden="1">#REF!</definedName>
    <definedName name="BLPR5320040303143542095" hidden="1">#REF!</definedName>
    <definedName name="BLPR5320040303143542095_1_3" hidden="1">#REF!</definedName>
    <definedName name="BLPR5320040303143542095_2_3" hidden="1">#REF!</definedName>
    <definedName name="BLPR5320040303143542095_3_3" hidden="1">#REF!</definedName>
    <definedName name="BLPR5420040303143542095" hidden="1">#REF!</definedName>
    <definedName name="BLPR5420040303143542095_1_3" hidden="1">#REF!</definedName>
    <definedName name="BLPR5420040303143542095_2_3" hidden="1">#REF!</definedName>
    <definedName name="BLPR5420040303143542095_3_3" hidden="1">#REF!</definedName>
    <definedName name="BLPR5520040303143542095" hidden="1">#REF!</definedName>
    <definedName name="BLPR5520040303143542095_1_3" hidden="1">#REF!</definedName>
    <definedName name="BLPR5520040303143542095_2_3" hidden="1">#REF!</definedName>
    <definedName name="BLPR5520040303143542095_3_3" hidden="1">#REF!</definedName>
    <definedName name="BLPR5620040303143542105" hidden="1">#REF!</definedName>
    <definedName name="BLPR5620040303143542105_1_3" hidden="1">#REF!</definedName>
    <definedName name="BLPR5620040303143542105_2_3" hidden="1">#REF!</definedName>
    <definedName name="BLPR5620040303143542105_3_3" hidden="1">#REF!</definedName>
    <definedName name="BLPR5720040303143542105" hidden="1">#REF!</definedName>
    <definedName name="BLPR5720040303143542105_1_3" hidden="1">#REF!</definedName>
    <definedName name="BLPR5720040303143542105_2_3" hidden="1">#REF!</definedName>
    <definedName name="BLPR5720040303143542105_3_3" hidden="1">#REF!</definedName>
    <definedName name="BLPR5820040303143548064" hidden="1">#REF!</definedName>
    <definedName name="BLPR5820040303143548064_1_1" hidden="1">#REF!</definedName>
    <definedName name="BLPR5920040303143548074" hidden="1">#REF!</definedName>
    <definedName name="BLPR5920040303143548074_1_1" hidden="1">#REF!</definedName>
    <definedName name="BLPR6020040303143548074" hidden="1">#REF!</definedName>
    <definedName name="BLPR6020040303143548074_1_1" hidden="1">#REF!</definedName>
    <definedName name="BLPR6120040303143548074" hidden="1">#REF!</definedName>
    <definedName name="BLPR6120040303143548074_1_1" hidden="1">#REF!</definedName>
    <definedName name="BLPR620040303143540783" hidden="1">#REF!</definedName>
    <definedName name="BLPR620040303143540783_1_3" hidden="1">#REF!</definedName>
    <definedName name="BLPR620040303143540783_2_3" hidden="1">#REF!</definedName>
    <definedName name="BLPR620040303143540783_3_3" hidden="1">#REF!</definedName>
    <definedName name="BLPR6220040303143548074" hidden="1">#REF!</definedName>
    <definedName name="BLPR6220040303143548074_1_1" hidden="1">#REF!</definedName>
    <definedName name="BLPR6320040303143548074" hidden="1">#REF!</definedName>
    <definedName name="BLPR6320040303143548074_1_1" hidden="1">#REF!</definedName>
    <definedName name="BLPR6420040303143548104" hidden="1">#REF!</definedName>
    <definedName name="BLPR6420040303143548104_1_2" hidden="1">#REF!</definedName>
    <definedName name="BLPR6420040303143548104_2_2" hidden="1">#REF!</definedName>
    <definedName name="BLPR6520040303143548114" hidden="1">#REF!</definedName>
    <definedName name="BLPR6520040303143548114_1_2" hidden="1">#REF!</definedName>
    <definedName name="BLPR6520040303143548114_2_2" hidden="1">#REF!</definedName>
    <definedName name="BLPR6620040303143548134" hidden="1">#REF!</definedName>
    <definedName name="BLPR6620040303143548134_1_2" hidden="1">#REF!</definedName>
    <definedName name="BLPR6620040303143548134_2_2" hidden="1">#REF!</definedName>
    <definedName name="BLPR6720040303143549966" hidden="1">#REF!</definedName>
    <definedName name="BLPR6720040303143549966_1_1" hidden="1">#REF!</definedName>
    <definedName name="BLPR6820040303143549966" hidden="1">#REF!</definedName>
    <definedName name="BLPR6820040303143549966_1_1" hidden="1">#REF!</definedName>
    <definedName name="BLPR6920040303143549966" hidden="1">#REF!</definedName>
    <definedName name="BLPR6920040303143549966_1_1" hidden="1">#REF!</definedName>
    <definedName name="BLPR7020040303143549966" hidden="1">#REF!</definedName>
    <definedName name="BLPR7020040303143549966_1_1" hidden="1">#REF!</definedName>
    <definedName name="BLPR7120040303143549966" hidden="1">#REF!</definedName>
    <definedName name="BLPR7120040303143549966_1_1" hidden="1">#REF!</definedName>
    <definedName name="BLPR720040303143540783" hidden="1">#REF!</definedName>
    <definedName name="BLPR720040303143540783_1_3" hidden="1">#REF!</definedName>
    <definedName name="BLPR720040303143540783_2_3" hidden="1">#REF!</definedName>
    <definedName name="BLPR720040303143540783_3_3" hidden="1">#REF!</definedName>
    <definedName name="BLPR7220040303143549966" hidden="1">#REF!</definedName>
    <definedName name="BLPR7220040303143549966_1_1" hidden="1">#REF!</definedName>
    <definedName name="BLPR7320040303143549976" hidden="1">#REF!</definedName>
    <definedName name="BLPR7320040303143549976_1_1" hidden="1">#REF!</definedName>
    <definedName name="BLPR7420040303143549976" hidden="1">#REF!</definedName>
    <definedName name="BLPR7420040303143549976_1_1" hidden="1">#REF!</definedName>
    <definedName name="BLPR7520040303143549976" hidden="1">#REF!</definedName>
    <definedName name="BLPR7520040303143549976_1_1" hidden="1">#REF!</definedName>
    <definedName name="BLPR7620040303143549976" hidden="1">#REF!</definedName>
    <definedName name="BLPR7620040303143549976_1_1" hidden="1">#REF!</definedName>
    <definedName name="BLPR7720040303143549976" hidden="1">#REF!</definedName>
    <definedName name="BLPR7720040303143549976_1_1" hidden="1">#REF!</definedName>
    <definedName name="BLPR7820040303143549976" hidden="1">#REF!</definedName>
    <definedName name="BLPR7820040303143549976_1_1" hidden="1">#REF!</definedName>
    <definedName name="BLPR7920040303143549987" hidden="1">#REF!</definedName>
    <definedName name="BLPR7920040303143549987_1_1" hidden="1">#REF!</definedName>
    <definedName name="BLPR8020040303143549987" hidden="1">#REF!</definedName>
    <definedName name="BLPR8020040303143549987_1_1" hidden="1">#REF!</definedName>
    <definedName name="BLPR8120040303143549987" hidden="1">#REF!</definedName>
    <definedName name="BLPR8120040303143549987_1_1" hidden="1">#REF!</definedName>
    <definedName name="BLPR820040303143540793" hidden="1">#REF!</definedName>
    <definedName name="BLPR820040303143540793_1_3" hidden="1">#REF!</definedName>
    <definedName name="BLPR820040303143540793_2_3" hidden="1">#REF!</definedName>
    <definedName name="BLPR820040303143540793_3_3" hidden="1">#REF!</definedName>
    <definedName name="BLPR8220040303143549987" hidden="1">#REF!</definedName>
    <definedName name="BLPR8220040303143549987_1_1" hidden="1">#REF!</definedName>
    <definedName name="BLPR8320040303143549987" hidden="1">#REF!</definedName>
    <definedName name="BLPR8320040303143549987_1_1" hidden="1">#REF!</definedName>
    <definedName name="BLPR8420040303143549987" hidden="1">#REF!</definedName>
    <definedName name="BLPR8420040303143549987_1_1" hidden="1">#REF!</definedName>
    <definedName name="BLPR8520040303143549987" hidden="1">#REF!</definedName>
    <definedName name="BLPR8520040303143549987_1_1" hidden="1">#REF!</definedName>
    <definedName name="BLPR8620040303143549997" hidden="1">#REF!</definedName>
    <definedName name="BLPR8620040303143549997_1_1" hidden="1">#REF!</definedName>
    <definedName name="BLPR8720040303143549997" hidden="1">#REF!</definedName>
    <definedName name="BLPR8720040303143549997_1_1" hidden="1">#REF!</definedName>
    <definedName name="BLPR8820040303143549997" hidden="1">#REF!</definedName>
    <definedName name="BLPR8820040303143549997_1_1" hidden="1">#REF!</definedName>
    <definedName name="BLPR8920040303143549997" hidden="1">#REF!</definedName>
    <definedName name="BLPR8920040303143549997_1_1" hidden="1">#REF!</definedName>
    <definedName name="BLPR9020040303143549997" hidden="1">#REF!</definedName>
    <definedName name="BLPR9020040303143549997_1_1" hidden="1">#REF!</definedName>
    <definedName name="BLPR9120040303143549997" hidden="1">#REF!</definedName>
    <definedName name="BLPR9120040303143549997_1_1" hidden="1">#REF!</definedName>
    <definedName name="BLPR920040303143540803" hidden="1">#REF!</definedName>
    <definedName name="BLPR920040303143540803_1_3" hidden="1">#REF!</definedName>
    <definedName name="BLPR920040303143540803_2_3" hidden="1">#REF!</definedName>
    <definedName name="BLPR920040303143540803_3_3" hidden="1">#REF!</definedName>
    <definedName name="BLPR9220040303143550007" hidden="1">#REF!</definedName>
    <definedName name="BLPR9220040303143550007_1_1" hidden="1">#REF!</definedName>
    <definedName name="BLPR9320040303143550007" hidden="1">#REF!</definedName>
    <definedName name="BLPR9320040303143550007_1_1" hidden="1">#REF!</definedName>
    <definedName name="BLPR9420040303143550007" hidden="1">#REF!</definedName>
    <definedName name="BLPR9420040303143550007_1_1" hidden="1">#REF!</definedName>
    <definedName name="BLPR9520040303143550007" hidden="1">#REF!</definedName>
    <definedName name="BLPR9520040303143550007_1_1" hidden="1">#REF!</definedName>
    <definedName name="BLPR9620040303143550007" hidden="1">#REF!</definedName>
    <definedName name="BLPR9620040303143550007_1_1" hidden="1">#REF!</definedName>
    <definedName name="BLPR9720040303143550007" hidden="1">#REF!</definedName>
    <definedName name="BLPR9720040303143550007_1_1" hidden="1">#REF!</definedName>
    <definedName name="BLPR9820040303143550017" hidden="1">#REF!</definedName>
    <definedName name="BLPR9820040303143550017_1_1" hidden="1">#REF!</definedName>
    <definedName name="BLPR9920040303143550017" hidden="1">#REF!</definedName>
    <definedName name="BLPR9920040303143550017_1_1" hidden="1">#REF!</definedName>
    <definedName name="carlos" hidden="1">{#N/A,"10% Success",FALSE,"Sales Forecast";#N/A,#N/A,FALSE,"Sheet2"}</definedName>
    <definedName name="CBWorkbookPriority" hidden="1">-1272513935</definedName>
    <definedName name="cdsc" hidden="1">{#N/A,#N/A,FALSE,"FFCXOUT3"}</definedName>
    <definedName name="Chicago_Summary_4" hidden="1">{#N/A,#N/A,FALSE,"Additional ARPU"}</definedName>
    <definedName name="claudia" hidden="1">{#N/A,"70% Success",FALSE,"Sales Forecast";#N/A,#N/A,FALSE,"Sheet2"}</definedName>
    <definedName name="Compco1" hidden="1">{"Page1",#N/A,FALSE,"CompCo";"Page2",#N/A,FALSE,"CompCo"}</definedName>
    <definedName name="Compco2" hidden="1">{"Page1",#N/A,FALSE,"CompCo";"Page2",#N/A,FALSE,"CompCo"}</definedName>
    <definedName name="Concessão_Malha_Sul" hidden="1">{#N/A,"100% Success",TRUE,"Sales Forecast";#N/A,#N/A,TRUE,"Sheet2"}</definedName>
    <definedName name="csda" hidden="1">{#N/A,"30% Success",TRUE,"Sales Forecast";#N/A,#N/A,TRUE,"Sheet2"}</definedName>
    <definedName name="cu102.ShareScalingFactor" hidden="1">1000000</definedName>
    <definedName name="cu103.EmployeeScalingFactor" hidden="1">1000</definedName>
    <definedName name="cu107.DPSSymbol" hidden="1">"US$"</definedName>
    <definedName name="cu107.EPSSymbol" hidden="1">"US$"</definedName>
    <definedName name="cu71.ScalingFactor" hidden="1">1000000</definedName>
    <definedName name="d" hidden="1">{#N/A,"70% Success",FALSE,"Sales Forecast";#N/A,#N/A,FALSE,"Sheet2"}</definedName>
    <definedName name="da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as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dfadfadf" hidden="1">{#N/A,"70% Success",FALSE,"Sales Forecast";#N/A,#N/A,FALSE,"Sheet2"}</definedName>
    <definedName name="dados_ok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2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dos3" hidden="1">{#N/A,#N/A,FALSE,"NET";#N/A,#N/A,FALSE,"caxi";#N/A,#N/A,FALSE,"nhai";#N/A,#N/A,FALSE,"urui";#N/A,#N/A,FALSE,"cali";#N/A,#N/A,FALSE,"joii";#N/A,#N/A,FALSE,"hol";#N/A,#N/A,FALSE,"poa";#N/A,#N/A,FALSE,"pel";#N/A,#N/A,FALSE,"cha";#N/A,#N/A,FALSE,"rgr";#N/A,#N/A,FALSE,"ere";#N/A,#N/A,FALSE,"scr";#N/A,#N/A,FALSE,"cri";#N/A,#N/A,FALSE,"bag";#N/A,#N/A,FALSE,"pfu";#N/A,#N/A,FALSE,"lit";#N/A,#N/A,FALSE,"mmd";#N/A,#N/A,FALSE,"sma";#N/A,#N/A,FALSE,"btg";#N/A,#N/A,FALSE,"far";#N/A,#N/A,FALSE,"laj";#N/A,#N/A,FALSE,"flo";#N/A,#N/A,FALSE,"076";#N/A,#N/A,FALSE,"iflo";#N/A,#N/A,FALSE,"blu"}</definedName>
    <definedName name="dafd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ata_Base">#REF!</definedName>
    <definedName name="DDD" hidden="1">{"'PXR_6500'!$A$1:$I$124"}</definedName>
    <definedName name="ddt" hidden="1">{"mgmt forecast",#N/A,FALSE,"Mgmt Forecast";"dcf table",#N/A,FALSE,"Mgmt Forecast";"sensitivity",#N/A,FALSE,"Mgmt Forecast";"table inputs",#N/A,FALSE,"Mgmt Forecast";"calculations",#N/A,FALSE,"Mgmt Forecast"}</definedName>
    <definedName name="delete11" hidden="1">{"Page1",#N/A,FALSE,"CompCo";"Page2",#N/A,FALSE,"CompCo"}</definedName>
    <definedName name="delete20" hidden="1">{"Page1",#N/A,FALSE,"CompCo";"Page2",#N/A,FALSE,"CompCo"}</definedName>
    <definedName name="delete5" hidden="1">{"Page1",#N/A,FALSE,"CompCo";"Page2",#N/A,FALSE,"CompCo"}</definedName>
    <definedName name="DESLOC___Gráfico">OFFSET([7]Dash_Proj!E1048570,0,0,COUNTA([7]Dash_Proj!E1048570:E3)-COUNTBLANK([7]Dash_Proj!E1048570:E3),COUNTA([7]Dash_Proj!E1048570:E3)-COUNTBLANK([7]Dash_Proj!E1048570:E3))</definedName>
    <definedName name="dfa" hidden="1">{#N/A,#N/A,FALSE,"Additional ARPU"}</definedName>
    <definedName name="dfadf" hidden="1">{#N/A,#N/A,FALSE,"Additional ARPU"}</definedName>
    <definedName name="dfas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gsd" hidden="1">'[2]CASH 2000'!#REF!</definedName>
    <definedName name="dhg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DIR" hidden="1">{"cash",#N/A,FALSE,"cash";"historico",#N/A,FALSE,"historico"}</definedName>
    <definedName name="DRE" hidden="1">{#N/A,#N/A,FALSE,"GP";#N/A,#N/A,FALSE,"Assinantes";#N/A,#N/A,FALSE,"Rede";#N/A,#N/A,FALSE,"Evolução";#N/A,#N/A,FALSE,"Resultado"}</definedName>
    <definedName name="DSDSDS" hidden="1">{#N/A,#N/A,FALSE,"Vendas e Receitas";#N/A,#N/A,FALSE,"Veículos";#N/A,#N/A,FALSE,"Posição de atraso";#N/A,#N/A,FALSE,"Inadimplência";#N/A,#N/A,FALSE,"Alug.vencidos";#N/A,#N/A,FALSE,"vacancy";#N/A,#N/A,FALSE,"luvas";#N/A,#N/A,FALSE,"DespCond1";#N/A,#N/A,FALSE,"DespCond2-pg13";#N/A,#N/A,FALSE,"DespCond3 pg14"}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edd" hidden="1">{#N/A,#N/A,FALSE,"TOC";#N/A,#N/A,FALSE,"ASS";#N/A,#N/A,FALSE,"CF";#N/A,#N/A,FALSE,"FUEL&amp;MTC"}</definedName>
    <definedName name="EEE" hidden="1">{"'PXR_6500'!$A$1:$I$124"}</definedName>
    <definedName name="Empresa_selecionada">'[8]Budget-Control'!$D$8</definedName>
    <definedName name="epe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q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rytf" hidden="1">{#N/A,#N/A,FALSE,"TOC";#N/A,#N/A,FALSE,"ASS";#N/A,#N/A,FALSE,"CF";#N/A,#N/A,FALSE,"FUEL&amp;MTC"}</definedName>
    <definedName name="esnrc15c1_values" hidden="1">{"EUWAT","COMPANIES",TRUE}</definedName>
    <definedName name="EST" hidden="1">{"capa",#N/A,FALSE,"capa";"RES",#N/A,FALSE,"RESULTADO";"REALIZ97",#N/A,FALSE,"RES97";"BAL",#N/A,FALSE,"BAL.PATRIM";"BALREALIZ",#N/A,FALSE,"BAL97"}</definedName>
    <definedName name="esti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ty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ev.Calculation" hidden="1">-4105</definedName>
    <definedName name="ev.Initialized" hidden="1">FALSE</definedName>
    <definedName name="eventos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Evolução" hidden="1">{#N/A,#N/A,FALSE,"GP";#N/A,#N/A,FALSE,"Assinantes";#N/A,#N/A,FALSE,"Rede";#N/A,#N/A,FALSE,"Evolução";#N/A,#N/A,FALSE,"Resultado"}</definedName>
    <definedName name="fad" hidden="1">{#N/A,"70% Success",FALSE,"Sales Forecast";#N/A,#N/A,FALSE,"Sheet2"}</definedName>
    <definedName name="fd" hidden="1">{#N/A,#N/A,FALSE,"TOC";#N/A,#N/A,FALSE,"ASS";#N/A,#N/A,FALSE,"CF";#N/A,#N/A,FALSE,"FUEL&amp;MTC"}</definedName>
    <definedName name="fdaa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fdergf" hidden="1">{#N/A,#N/A,TRUE,"CASH COND_B1";#N/A,#N/A,TRUE,"COMP DESP COND_B2_B3";#N/A,#N/A,TRUE,"11";#N/A,#N/A,TRUE,"12";#N/A,#N/A,TRUE,"13";#N/A,#N/A,TRUE,"14";#N/A,#N/A,TRUE,"15";#N/A,#N/A,TRUE,"16";#N/A,#N/A,TRUE,"19";#N/A,#N/A,TRUE,"21";#N/A,#N/A,TRUE,"22";#N/A,#N/A,TRUE,"23";#N/A,#N/A,TRUE,"24";#N/A,#N/A,TRUE,"27";#N/A,#N/A,TRUE,"IMOB COND_B5";#N/A,#N/A,TRUE,"B6";#N/A,#N/A,TRUE,"B7";#N/A,#N/A,TRUE,"QUADRO PESSOAL";#N/A,#N/A,TRUE,"ORG."}</definedName>
    <definedName name="fdsa" hidden="1">{#N/A,#N/A,FALSE,"TOC";#N/A,#N/A,FALSE,"ASS";#N/A,#N/A,FALSE,"CF";#N/A,#N/A,FALSE,"FUEL&amp;MTC"}</definedName>
    <definedName name="final" hidden="1">{"VUSS",#N/A,TRUE,"VUS$";"VIPC",#N/A,TRUE,"VIPC";"RUSS",#N/A,TRUE,"RUS$";"RIPC",#N/A,TRUE,"RIPC";"RIPCM2",#N/A,TRUE,"R IPC-M2";"RENT",#N/A,TRUE,"RENT";"COND",#N/A,TRUE,"COND";"LFESC",#N/A,TRUE,"LFESC";"SHOPP",#N/A,TRUE,"SHOPP";"PESS",#N/A,TRUE,"PESS";"LFP",#N/A,TRUE,"LFP"}</definedName>
    <definedName name="Finalizado">OFFSET(#REF!,0,0,1,COUNT(#REF!))</definedName>
    <definedName name="Funcionario">OFFSET(#REF!,0,0,COUNT(#REF!),1)</definedName>
    <definedName name="Funcionario2">OFFSET(#REF!,0,0,COUNT(#REF!),1)</definedName>
    <definedName name="gdg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eneral_exp." hidden="1">{#N/A,"100% Success",TRUE,"Sales Forecast";#N/A,#N/A,TRUE,"Sheet2"}</definedName>
    <definedName name="gf\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ggggggg" hidden="1">{"capa",#N/A,FALSE,"capa";"RES",#N/A,FALSE,"RESULTADO";"REALIZ97",#N/A,FALSE,"RES97";"BAL",#N/A,FALSE,"BAL.PATRIM";"BALREALIZ",#N/A,FALSE,"BAL97"}</definedName>
    <definedName name="ghd" hidden="1">{"coversht",#N/A,TRUE,"TOC";"assmp1",#N/A,TRUE,"ASS";"assmp2",#N/A,TRUE,"ASS";"cashfl1",#N/A,TRUE,"CF";"return1",#N/A,TRUE,"Return";"return2",#N/A,TRUE,"Return";"EIncome",#N/A,TRUE,"EINC";"rev1",#N/A,TRUE,"Rev";"rev2",#N/A,TRUE,"Rev";"exp1",#N/A,TRUE,"Exp";"exp2",#N/A,TRUE,"Exp";"exp3",#N/A,TRUE,"Exp";"exp4",#N/A,TRUE,"Exp";"MaintRes",#N/A,TRUE,"MRES";"drwdn1",#N/A,TRUE,"Drwdn";"drwdn2",#N/A,TRUE,"Drwdn";"drwdn3",#N/A,TRUE,"Drwdn";"debt1",#N/A,TRUE,"Fin";"debt2",#N/A,TRUE,"Fin";"tax1",#N/A,TRUE,"TAXES";"tax2",#N/A,TRUE,"TAXES";"Deprec",#N/A,TRUE,"DEPR";"Balsht1",#N/A,TRUE,"BS_IS";"Balsht2",#N/A,TRUE,"BS_IS";"Ref1",#N/A,TRUE,"REF1";"Ref2",#N/A,TRUE,"REF2";"Ref3",#N/A,TRUE,"REF3";"Ref4",#N/A,TRUE,"REF4"}</definedName>
    <definedName name="hgjg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hjg" hidden="1">{#N/A,#N/A,FALSE,"TOC";#N/A,#N/A,FALSE,"ASS";#N/A,#N/A,FALSE,"CF";#N/A,#N/A,FALSE,"FUEL&amp;MTC"}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" hidden="1">{"cash",#N/A,FALSE,"cash"}</definedName>
    <definedName name="IESC" hidden="1">{"capapetros",#N/A,FALSE,"capa petros";"RESPETROS",#N/A,FALSE,"RESULTADO";"REALIZ97PETROS",#N/A,FALSE,"RES97"}</definedName>
    <definedName name="ikju" hidden="1">{#N/A,#N/A,TRUE,"Dem_A1";#N/A,#N/A,TRUE,"Vend Rec_A2";#N/A,#N/A,TRUE,"Desc_A5";#N/A,#N/A,TRUE,"COMP_A6";#N/A,#N/A,TRUE,"DR00_A7";#N/A,#N/A,TRUE,"DR 99_A7";#N/A,#N/A,TRUE,"Desc_ A8";#N/A,#N/A,TRUE,"CASH EMPR_A9";#N/A,#N/A,TRUE,"CASH OBRA_A9";#N/A,#N/A,TRUE,"20Empr.";#N/A,#N/A,TRUE,"100%Jurid";#N/A,#N/A,TRUE,"22Empr.";#N/A,#N/A,TRUE,"23Empr.";#N/A,#N/A,TRUE,"IMOB EMPR OBRAS_A11"}</definedName>
    <definedName name="indic" hidden="1">{"capapetros",#N/A,FALSE,"capa petros";"RESPETROS",#N/A,FALSE,"RESULTADO";"REALIZ97PETROS",#N/A,FALSE,"RES97"}</definedName>
    <definedName name="Investimento_Nome">OFFSET([7]Dash_Proj!$BV$12,0,0,(COUNTA([7]Dash_Proj!$BV$12:$BV$21)-COUNTBLANK([7]Dash_Proj!$BV$12:$BV$21)))</definedName>
    <definedName name="Investimento_valor">OFFSET([7]Dash_Proj!$BW$12,0,0,(COUNTA([7]Dash_Proj!$BW$12:$BW$21)-COUNTBLANK([7]Dash_Proj!$BW$12:$BW$21)))</definedName>
    <definedName name="Investimentos_Nome">OFFSET([7]Dash_Proj!$BV$12,0,0,(COUNTA([7]Dash_Proj!$BV$12:$BV$21)-COUNTBLANK([7]Dash_Proj!$BV$12:$BV$21)))</definedName>
    <definedName name="iop" hidden="1">{"capa",#N/A,FALSE,"capa";"RES",#N/A,FALSE,"RESULTADO";"REALIZ97",#N/A,FALSE,"RES97";"BAL",#N/A,FALSE,"BAL.PATRIM";"BALREALIZ",#N/A,FALSE,"BAL97"}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"c7"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"c16"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"c88"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"c124"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"c360"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VAL_DATE" hidden="1">"c2180"</definedName>
    <definedName name="IQ_EXCHANGE" hidden="1">"c405"</definedName>
    <definedName name="IQ_EXERCISE_PRICE" hidden="1">"c406"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PAYOUT_RATIO" hidden="1">"c3492"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"c192"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"c511"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41157.7643402778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"c1022"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"c8"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"c1068"</definedName>
    <definedName name="IQ_PREPAID_SUBS" hidden="1">"c2117"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39410.0738310185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HURN" hidden="1">"c2122"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"c40"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ColHidden" hidden="1">FALSE</definedName>
    <definedName name="IsLTMColHidden" hidden="1">FALSE</definedName>
    <definedName name="KJKJ" hidden="1">#REF!</definedName>
    <definedName name="limcount" hidden="1">1</definedName>
    <definedName name="Lista_Contratos">[8]!Table7[[#All],[ ]]</definedName>
    <definedName name="Lista_Empresas">[8]!Table5[Empresas]</definedName>
    <definedName name="Lista_Fornecedores">[8]!Fornecedores[FORNECEDOR]</definedName>
    <definedName name="NEWWW" hidden="1">{"'PXR_6500'!$A$1:$I$124"}</definedName>
    <definedName name="OUTRO" hidden="1">{"'PXR_6500'!$A$1:$I$124"}</definedName>
    <definedName name="Período">OFFSET(#REF!,0,0,1,COUNT(#REF!))</definedName>
    <definedName name="Ratios_2" hidden="1">{"'TG'!$A$1:$L$37"}</definedName>
    <definedName name="Receita___Ano">OFFSET([7]Dash_Proj!$AQ$12,0,0,COUNTA([7]Dash_Proj!$AQ$12:$AQ$21)-COUNTBLANK([7]Dash_Proj!$AQ$12:$AQ$21))</definedName>
    <definedName name="res1_RSF">'[7]Assump Input'!$S$74</definedName>
    <definedName name="res2_RSF">'[7]Assump Input'!$S$75</definedName>
    <definedName name="res3_RSF">'[7]Assump Input'!$S$76</definedName>
    <definedName name="res4_RSF">'[7]Assump Input'!$S$77</definedName>
    <definedName name="ret_RSF">'[7]Assump Input'!$S$80</definedName>
    <definedName name="RSF_ph1">'[7]Assump Input'!$S$68</definedName>
    <definedName name="RSF_ph2">'[7]Assump Input'!$S$69</definedName>
    <definedName name="RSF_ph3">'[7]Assump Input'!$S$70</definedName>
    <definedName name="RSF_ph4">'[7]Assump Input'!$S$71</definedName>
    <definedName name="RTHDaily" hidden="1">2</definedName>
    <definedName name="RTHDefault" hidden="1">1</definedName>
    <definedName name="RTHIncludeActive" hidden="1">1</definedName>
    <definedName name="RTHIncludeActiveNonActive" hidden="1">2</definedName>
    <definedName name="RTHIncludeAll" hidden="1">3</definedName>
    <definedName name="RTHIncludeWeekdays" hidden="1">2</definedName>
    <definedName name="RTHMonthly" hidden="1">4</definedName>
    <definedName name="RTHOrientCol" hidden="1">2</definedName>
    <definedName name="RTHOrientRow" hidden="1">1</definedName>
    <definedName name="RTHQuarterly" hidden="1">5</definedName>
    <definedName name="RTHSortAscend" hidden="1">1</definedName>
    <definedName name="RTHSortDescend" hidden="1">2</definedName>
    <definedName name="RTHWeekly" hidden="1">3</definedName>
    <definedName name="RTHYearly" hidden="1">6</definedName>
    <definedName name="sdasd" hidden="1">'[2]CASH 2000'!#REF!</definedName>
    <definedName name="SecretArchiveNumber" hidden="1">1</definedName>
    <definedName name="sencount" hidden="1">1</definedName>
    <definedName name="solver_lin" hidden="1">0</definedName>
    <definedName name="solver_rel1" hidden="1">3</definedName>
    <definedName name="solver_rhs1" hidden="1">0</definedName>
    <definedName name="solver_tmp" hidden="1">0</definedName>
    <definedName name="solver_typ" hidden="1">1</definedName>
    <definedName name="solver_val" hidden="1">0</definedName>
    <definedName name="t" hidden="1">{"'TG'!$A$1:$L$37"}</definedName>
    <definedName name="Tabela_Pagamentos">[8]!Table_Financeiro13[#Data]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_xlnm.Print_Titles" localSheetId="2">'Cidade Jardim III'!$2:$22</definedName>
    <definedName name="Total">OFFSET(#REF!,0,0,1,COUNT(#REF!))</definedName>
    <definedName name="Valor___Ano">OFFSET([7]Dash_Proj!$AR$12,0,0,COUNTA([7]Dash_Proj!$AR$12:$AR$21)-COUNTBLANK([7]Dash_Proj!$AR$12:$AR$21))</definedName>
    <definedName name="wq" hidden="1">{"'PXR_6500'!$A$1:$I$124"}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3" l="1"/>
  <c r="O29" i="3"/>
  <c r="O34" i="3"/>
  <c r="O42" i="3"/>
  <c r="O45" i="3"/>
  <c r="O48" i="3"/>
  <c r="O54" i="3"/>
  <c r="O55" i="3"/>
  <c r="O57" i="3"/>
  <c r="O62" i="3"/>
  <c r="O63" i="3"/>
  <c r="O65" i="3"/>
  <c r="B17" i="3"/>
  <c r="D17" i="3"/>
  <c r="B19" i="3"/>
  <c r="Z44" i="3"/>
  <c r="Z43" i="3"/>
  <c r="O14" i="3"/>
  <c r="O39" i="3"/>
  <c r="O40" i="3"/>
  <c r="O41" i="3"/>
  <c r="O38" i="3"/>
  <c r="AH36" i="3"/>
  <c r="O50" i="3"/>
  <c r="AD59" i="3"/>
  <c r="O31" i="3"/>
  <c r="G15" i="3"/>
  <c r="G13" i="3"/>
  <c r="E37" i="1"/>
  <c r="E38" i="1"/>
  <c r="E40" i="1"/>
  <c r="E41" i="1"/>
  <c r="E42" i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L6" i="2"/>
  <c r="AK6" i="2"/>
  <c r="AJ6" i="2"/>
  <c r="Z32" i="3"/>
  <c r="C11" i="3"/>
  <c r="K11" i="3"/>
  <c r="W11" i="3"/>
  <c r="O23" i="3"/>
  <c r="Z30" i="3"/>
  <c r="O24" i="3"/>
  <c r="Z31" i="3"/>
  <c r="Z29" i="3"/>
  <c r="Z34" i="3"/>
  <c r="O27" i="3"/>
  <c r="Z46" i="3"/>
  <c r="Z47" i="3"/>
  <c r="Z45" i="3"/>
  <c r="Z42" i="3"/>
  <c r="Z39" i="3"/>
  <c r="Z40" i="3"/>
  <c r="Z41" i="3"/>
  <c r="Z38" i="3"/>
  <c r="O37" i="3"/>
  <c r="Z37" i="3"/>
  <c r="Z36" i="3"/>
  <c r="Z48" i="3"/>
  <c r="Z52" i="3"/>
  <c r="Z50" i="3"/>
  <c r="Z54" i="3"/>
  <c r="Z56" i="3"/>
  <c r="Z55" i="3"/>
  <c r="Z57" i="3"/>
  <c r="Z59" i="3"/>
  <c r="Z62" i="3"/>
  <c r="Z63" i="3"/>
  <c r="O33" i="3"/>
  <c r="O32" i="3"/>
  <c r="O36" i="3"/>
  <c r="O60" i="3"/>
  <c r="O59" i="3"/>
  <c r="T62" i="3"/>
  <c r="V62" i="3"/>
  <c r="X62" i="3"/>
  <c r="X63" i="3"/>
  <c r="V63" i="3"/>
  <c r="T63" i="3"/>
  <c r="S63" i="3"/>
  <c r="N63" i="3"/>
  <c r="S62" i="3"/>
  <c r="N62" i="3"/>
  <c r="S60" i="3"/>
  <c r="N60" i="3"/>
  <c r="S59" i="3"/>
  <c r="N59" i="3"/>
  <c r="T57" i="3"/>
  <c r="V57" i="3"/>
  <c r="X57" i="3"/>
  <c r="S57" i="3"/>
  <c r="N57" i="3"/>
  <c r="T56" i="3"/>
  <c r="V56" i="3"/>
  <c r="X56" i="3"/>
  <c r="S56" i="3"/>
  <c r="N56" i="3"/>
  <c r="T55" i="3"/>
  <c r="V55" i="3"/>
  <c r="X55" i="3"/>
  <c r="S55" i="3"/>
  <c r="N55" i="3"/>
  <c r="T54" i="3"/>
  <c r="V54" i="3"/>
  <c r="X54" i="3"/>
  <c r="S54" i="3"/>
  <c r="N54" i="3"/>
  <c r="T53" i="3"/>
  <c r="V53" i="3"/>
  <c r="X53" i="3"/>
  <c r="S53" i="3"/>
  <c r="N53" i="3"/>
  <c r="T52" i="3"/>
  <c r="V52" i="3"/>
  <c r="X52" i="3"/>
  <c r="S52" i="3"/>
  <c r="N52" i="3"/>
  <c r="T51" i="3"/>
  <c r="V51" i="3"/>
  <c r="X51" i="3"/>
  <c r="S51" i="3"/>
  <c r="N51" i="3"/>
  <c r="AE50" i="3"/>
  <c r="T50" i="3"/>
  <c r="V50" i="3"/>
  <c r="X50" i="3"/>
  <c r="S50" i="3"/>
  <c r="N50" i="3"/>
  <c r="AH49" i="3"/>
  <c r="AI48" i="3"/>
  <c r="T48" i="3"/>
  <c r="V48" i="3"/>
  <c r="X48" i="3"/>
  <c r="S48" i="3"/>
  <c r="N48" i="3"/>
  <c r="AK47" i="3"/>
  <c r="T47" i="3"/>
  <c r="V47" i="3"/>
  <c r="X47" i="3"/>
  <c r="S47" i="3"/>
  <c r="N47" i="3"/>
  <c r="T46" i="3"/>
  <c r="V46" i="3"/>
  <c r="X46" i="3"/>
  <c r="S46" i="3"/>
  <c r="N46" i="3"/>
  <c r="AH44" i="3"/>
  <c r="AH45" i="3"/>
  <c r="T45" i="3"/>
  <c r="V45" i="3"/>
  <c r="X45" i="3"/>
  <c r="S45" i="3"/>
  <c r="N45" i="3"/>
  <c r="T44" i="3"/>
  <c r="V44" i="3"/>
  <c r="X44" i="3"/>
  <c r="S44" i="3"/>
  <c r="N44" i="3"/>
  <c r="AH35" i="3"/>
  <c r="AH30" i="3"/>
  <c r="AH43" i="3"/>
  <c r="T43" i="3"/>
  <c r="V43" i="3"/>
  <c r="X43" i="3"/>
  <c r="S43" i="3"/>
  <c r="N43" i="3"/>
  <c r="AP41" i="3"/>
  <c r="AP42" i="3"/>
  <c r="AH29" i="3"/>
  <c r="AH42" i="3"/>
  <c r="T42" i="3"/>
  <c r="V42" i="3"/>
  <c r="X42" i="3"/>
  <c r="S42" i="3"/>
  <c r="N42" i="3"/>
  <c r="AH41" i="3"/>
  <c r="T41" i="3"/>
  <c r="V41" i="3"/>
  <c r="X41" i="3"/>
  <c r="S41" i="3"/>
  <c r="N41" i="3"/>
  <c r="AH40" i="3"/>
  <c r="T40" i="3"/>
  <c r="V40" i="3"/>
  <c r="X40" i="3"/>
  <c r="S40" i="3"/>
  <c r="N40" i="3"/>
  <c r="AH39" i="3"/>
  <c r="T39" i="3"/>
  <c r="V39" i="3"/>
  <c r="X39" i="3"/>
  <c r="S39" i="3"/>
  <c r="N39" i="3"/>
  <c r="AH38" i="3"/>
  <c r="T38" i="3"/>
  <c r="V38" i="3"/>
  <c r="X38" i="3"/>
  <c r="S38" i="3"/>
  <c r="N38" i="3"/>
  <c r="AH37" i="3"/>
  <c r="T37" i="3"/>
  <c r="V37" i="3"/>
  <c r="X37" i="3"/>
  <c r="S37" i="3"/>
  <c r="N37" i="3"/>
  <c r="T36" i="3"/>
  <c r="V36" i="3"/>
  <c r="X36" i="3"/>
  <c r="S36" i="3"/>
  <c r="N36" i="3"/>
  <c r="V34" i="3"/>
  <c r="X34" i="3"/>
  <c r="T34" i="3"/>
  <c r="S34" i="3"/>
  <c r="N34" i="3"/>
  <c r="AH31" i="3"/>
  <c r="AH33" i="3"/>
  <c r="T33" i="3"/>
  <c r="V33" i="3"/>
  <c r="X33" i="3"/>
  <c r="S33" i="3"/>
  <c r="N33" i="3"/>
  <c r="AH32" i="3"/>
  <c r="T32" i="3"/>
  <c r="V32" i="3"/>
  <c r="X32" i="3"/>
  <c r="S32" i="3"/>
  <c r="N32" i="3"/>
  <c r="T31" i="3"/>
  <c r="V31" i="3"/>
  <c r="X31" i="3"/>
  <c r="S31" i="3"/>
  <c r="N31" i="3"/>
  <c r="C31" i="3"/>
  <c r="T30" i="3"/>
  <c r="V30" i="3"/>
  <c r="X30" i="3"/>
  <c r="S30" i="3"/>
  <c r="N30" i="3"/>
  <c r="C30" i="3"/>
  <c r="T29" i="3"/>
  <c r="X29" i="3"/>
  <c r="V29" i="3"/>
  <c r="S29" i="3"/>
  <c r="N29" i="3"/>
  <c r="AH28" i="3"/>
  <c r="AH27" i="3"/>
  <c r="T24" i="3"/>
  <c r="V24" i="3"/>
  <c r="X24" i="3"/>
  <c r="X27" i="3"/>
  <c r="V27" i="3"/>
  <c r="T27" i="3"/>
  <c r="S27" i="3"/>
  <c r="N27" i="3"/>
  <c r="AI26" i="3"/>
  <c r="AH26" i="3"/>
  <c r="AH24" i="3"/>
  <c r="S24" i="3"/>
  <c r="N24" i="3"/>
  <c r="X23" i="3"/>
  <c r="V23" i="3"/>
  <c r="T23" i="3"/>
  <c r="S23" i="3"/>
  <c r="N23" i="3"/>
  <c r="Z20" i="3"/>
  <c r="W20" i="3"/>
  <c r="O19" i="3"/>
  <c r="S19" i="3"/>
  <c r="D19" i="3"/>
  <c r="S17" i="3"/>
  <c r="L17" i="3"/>
  <c r="F17" i="3"/>
  <c r="W14" i="3"/>
  <c r="W15" i="3"/>
  <c r="B15" i="3"/>
  <c r="K13" i="3"/>
  <c r="F12" i="1"/>
  <c r="F13" i="1"/>
  <c r="F14" i="1"/>
  <c r="F15" i="1"/>
  <c r="F16" i="1"/>
  <c r="F17" i="1"/>
  <c r="G5" i="2"/>
  <c r="F41" i="1"/>
  <c r="D6" i="2"/>
  <c r="E6" i="2"/>
  <c r="G6" i="2"/>
  <c r="D8" i="2"/>
  <c r="E8" i="2"/>
  <c r="G8" i="2"/>
  <c r="D9" i="2"/>
  <c r="E9" i="2"/>
  <c r="G9" i="2"/>
  <c r="D10" i="2"/>
  <c r="E10" i="2"/>
  <c r="G10" i="2"/>
  <c r="G12" i="2"/>
  <c r="G13" i="2"/>
  <c r="D5" i="2"/>
  <c r="E5" i="2"/>
  <c r="H5" i="2"/>
  <c r="H6" i="2"/>
  <c r="H8" i="2"/>
  <c r="H9" i="2"/>
  <c r="H10" i="2"/>
  <c r="H12" i="2"/>
  <c r="H13" i="2"/>
  <c r="I5" i="2"/>
  <c r="I6" i="2"/>
  <c r="I8" i="2"/>
  <c r="I9" i="2"/>
  <c r="I10" i="2"/>
  <c r="I12" i="2"/>
  <c r="I13" i="2"/>
  <c r="J5" i="2"/>
  <c r="J6" i="2"/>
  <c r="J12" i="2"/>
  <c r="J13" i="2"/>
  <c r="K5" i="2"/>
  <c r="K6" i="2"/>
  <c r="K12" i="2"/>
  <c r="K13" i="2"/>
  <c r="L5" i="2"/>
  <c r="L6" i="2"/>
  <c r="L12" i="2"/>
  <c r="L13" i="2"/>
  <c r="M5" i="2"/>
  <c r="M6" i="2"/>
  <c r="M12" i="2"/>
  <c r="M13" i="2"/>
  <c r="N5" i="2"/>
  <c r="N6" i="2"/>
  <c r="N12" i="2"/>
  <c r="N13" i="2"/>
  <c r="O5" i="2"/>
  <c r="O6" i="2"/>
  <c r="O8" i="2"/>
  <c r="O9" i="2"/>
  <c r="O12" i="2"/>
  <c r="O13" i="2"/>
  <c r="P5" i="2"/>
  <c r="P6" i="2"/>
  <c r="P9" i="2"/>
  <c r="P12" i="2"/>
  <c r="P13" i="2"/>
  <c r="Q5" i="2"/>
  <c r="Q6" i="2"/>
  <c r="Q9" i="2"/>
  <c r="Q12" i="2"/>
  <c r="Q13" i="2"/>
  <c r="R5" i="2"/>
  <c r="R6" i="2"/>
  <c r="R9" i="2"/>
  <c r="R12" i="2"/>
  <c r="R13" i="2"/>
  <c r="S5" i="2"/>
  <c r="S6" i="2"/>
  <c r="S9" i="2"/>
  <c r="S12" i="2"/>
  <c r="S13" i="2"/>
  <c r="T5" i="2"/>
  <c r="T6" i="2"/>
  <c r="T9" i="2"/>
  <c r="T12" i="2"/>
  <c r="T13" i="2"/>
  <c r="U5" i="2"/>
  <c r="U6" i="2"/>
  <c r="U9" i="2"/>
  <c r="U12" i="2"/>
  <c r="U13" i="2"/>
  <c r="V5" i="2"/>
  <c r="V6" i="2"/>
  <c r="V9" i="2"/>
  <c r="V12" i="2"/>
  <c r="V13" i="2"/>
  <c r="W5" i="2"/>
  <c r="W6" i="2"/>
  <c r="W9" i="2"/>
  <c r="W12" i="2"/>
  <c r="W13" i="2"/>
  <c r="X5" i="2"/>
  <c r="X6" i="2"/>
  <c r="X8" i="2"/>
  <c r="X9" i="2"/>
  <c r="X12" i="2"/>
  <c r="X13" i="2"/>
  <c r="Y5" i="2"/>
  <c r="Y6" i="2"/>
  <c r="Y9" i="2"/>
  <c r="Y12" i="2"/>
  <c r="Y13" i="2"/>
  <c r="Z5" i="2"/>
  <c r="Z6" i="2"/>
  <c r="Z9" i="2"/>
  <c r="Z12" i="2"/>
  <c r="Z13" i="2"/>
  <c r="AA5" i="2"/>
  <c r="AA6" i="2"/>
  <c r="AA9" i="2"/>
  <c r="AA12" i="2"/>
  <c r="AA13" i="2"/>
  <c r="AB5" i="2"/>
  <c r="AB6" i="2"/>
  <c r="AB9" i="2"/>
  <c r="AB12" i="2"/>
  <c r="AB13" i="2"/>
  <c r="AC5" i="2"/>
  <c r="AC6" i="2"/>
  <c r="AC9" i="2"/>
  <c r="AC12" i="2"/>
  <c r="AC13" i="2"/>
  <c r="AD5" i="2"/>
  <c r="AD6" i="2"/>
  <c r="AD8" i="2"/>
  <c r="AD9" i="2"/>
  <c r="AD12" i="2"/>
  <c r="AD13" i="2"/>
  <c r="AE5" i="2"/>
  <c r="AE6" i="2"/>
  <c r="AE9" i="2"/>
  <c r="AE12" i="2"/>
  <c r="AE13" i="2"/>
  <c r="AF5" i="2"/>
  <c r="AF6" i="2"/>
  <c r="AF9" i="2"/>
  <c r="AF12" i="2"/>
  <c r="AF13" i="2"/>
  <c r="AG5" i="2"/>
  <c r="AG6" i="2"/>
  <c r="AG9" i="2"/>
  <c r="AG12" i="2"/>
  <c r="AG13" i="2"/>
  <c r="AH5" i="2"/>
  <c r="AH6" i="2"/>
  <c r="AH9" i="2"/>
  <c r="AH12" i="2"/>
  <c r="AH13" i="2"/>
  <c r="AI5" i="2"/>
  <c r="AI6" i="2"/>
  <c r="AI9" i="2"/>
  <c r="AI12" i="2"/>
  <c r="AI13" i="2"/>
  <c r="AJ5" i="2"/>
  <c r="AJ9" i="2"/>
  <c r="AJ12" i="2"/>
  <c r="AJ13" i="2"/>
  <c r="AK5" i="2"/>
  <c r="AK9" i="2"/>
  <c r="AK12" i="2"/>
  <c r="AK13" i="2"/>
  <c r="AL5" i="2"/>
  <c r="AL9" i="2"/>
  <c r="AL12" i="2"/>
  <c r="AL13" i="2"/>
  <c r="AM5" i="2"/>
  <c r="AM10" i="2"/>
  <c r="AM12" i="2"/>
  <c r="AM13" i="2"/>
  <c r="AN4" i="2"/>
  <c r="AN5" i="2"/>
  <c r="AN12" i="2"/>
  <c r="AN13" i="2"/>
  <c r="AO4" i="2"/>
  <c r="AO5" i="2"/>
  <c r="AO8" i="2"/>
  <c r="AO12" i="2"/>
  <c r="AO13" i="2"/>
  <c r="AP4" i="2"/>
  <c r="AP5" i="2"/>
  <c r="AP8" i="2"/>
  <c r="AP12" i="2"/>
  <c r="AP13" i="2"/>
  <c r="AQ4" i="2"/>
  <c r="AQ5" i="2"/>
  <c r="AQ8" i="2"/>
  <c r="AQ12" i="2"/>
  <c r="AQ13" i="2"/>
  <c r="AR4" i="2"/>
  <c r="AR5" i="2"/>
  <c r="AR6" i="2"/>
  <c r="AR8" i="2"/>
  <c r="AR12" i="2"/>
  <c r="AR13" i="2"/>
  <c r="AS4" i="2"/>
  <c r="AS5" i="2"/>
  <c r="AS6" i="2"/>
  <c r="AS8" i="2"/>
  <c r="AS9" i="2"/>
  <c r="AS10" i="2"/>
  <c r="AS12" i="2"/>
  <c r="AS13" i="2"/>
  <c r="AT4" i="2"/>
  <c r="AT5" i="2"/>
  <c r="AT6" i="2"/>
  <c r="AT8" i="2"/>
  <c r="AT9" i="2"/>
  <c r="AT10" i="2"/>
  <c r="AT12" i="2"/>
  <c r="AT13" i="2"/>
  <c r="AU4" i="2"/>
  <c r="AU5" i="2"/>
  <c r="AU6" i="2"/>
  <c r="AU8" i="2"/>
  <c r="AU9" i="2"/>
  <c r="AU10" i="2"/>
  <c r="AU12" i="2"/>
  <c r="AU13" i="2"/>
  <c r="AV4" i="2"/>
  <c r="AV5" i="2"/>
  <c r="AV6" i="2"/>
  <c r="AV8" i="2"/>
  <c r="AV9" i="2"/>
  <c r="AV10" i="2"/>
  <c r="AV12" i="2"/>
  <c r="AV13" i="2"/>
  <c r="AW4" i="2"/>
  <c r="AW5" i="2"/>
  <c r="AW6" i="2"/>
  <c r="AW8" i="2"/>
  <c r="AW9" i="2"/>
  <c r="AW10" i="2"/>
  <c r="AW12" i="2"/>
  <c r="AW13" i="2"/>
  <c r="AX4" i="2"/>
  <c r="AX5" i="2"/>
  <c r="AX6" i="2"/>
  <c r="AX8" i="2"/>
  <c r="AX9" i="2"/>
  <c r="AX10" i="2"/>
  <c r="AX12" i="2"/>
  <c r="AX13" i="2"/>
  <c r="AY4" i="2"/>
  <c r="AY5" i="2"/>
  <c r="AY6" i="2"/>
  <c r="AY8" i="2"/>
  <c r="AY9" i="2"/>
  <c r="AY10" i="2"/>
  <c r="AY12" i="2"/>
  <c r="AY13" i="2"/>
  <c r="AZ4" i="2"/>
  <c r="AZ5" i="2"/>
  <c r="AZ6" i="2"/>
  <c r="AZ8" i="2"/>
  <c r="AZ9" i="2"/>
  <c r="AZ10" i="2"/>
  <c r="AZ12" i="2"/>
  <c r="AZ13" i="2"/>
  <c r="BA4" i="2"/>
  <c r="BA5" i="2"/>
  <c r="BA6" i="2"/>
  <c r="BA8" i="2"/>
  <c r="BA9" i="2"/>
  <c r="BA10" i="2"/>
  <c r="BA12" i="2"/>
  <c r="BA13" i="2"/>
  <c r="BB4" i="2"/>
  <c r="BB5" i="2"/>
  <c r="BB6" i="2"/>
  <c r="BB8" i="2"/>
  <c r="BB9" i="2"/>
  <c r="BB10" i="2"/>
  <c r="BB12" i="2"/>
  <c r="BB13" i="2"/>
  <c r="BC4" i="2"/>
  <c r="BC5" i="2"/>
  <c r="BC6" i="2"/>
  <c r="BC8" i="2"/>
  <c r="BC9" i="2"/>
  <c r="BC10" i="2"/>
  <c r="BC12" i="2"/>
  <c r="BC13" i="2"/>
  <c r="BD4" i="2"/>
  <c r="BD5" i="2"/>
  <c r="BD6" i="2"/>
  <c r="BD8" i="2"/>
  <c r="BD9" i="2"/>
  <c r="BD10" i="2"/>
  <c r="BD12" i="2"/>
  <c r="BD13" i="2"/>
  <c r="BE4" i="2"/>
  <c r="BE5" i="2"/>
  <c r="BE6" i="2"/>
  <c r="BE8" i="2"/>
  <c r="BE9" i="2"/>
  <c r="BE10" i="2"/>
  <c r="BE12" i="2"/>
  <c r="BE13" i="2"/>
  <c r="BF4" i="2"/>
  <c r="BF5" i="2"/>
  <c r="BF6" i="2"/>
  <c r="BF8" i="2"/>
  <c r="BF9" i="2"/>
  <c r="BF10" i="2"/>
  <c r="BF12" i="2"/>
  <c r="BF13" i="2"/>
  <c r="BG4" i="2"/>
  <c r="BG5" i="2"/>
  <c r="BG6" i="2"/>
  <c r="BG8" i="2"/>
  <c r="BG9" i="2"/>
  <c r="BG10" i="2"/>
  <c r="BG12" i="2"/>
  <c r="BG13" i="2"/>
  <c r="BH4" i="2"/>
  <c r="BH5" i="2"/>
  <c r="BH6" i="2"/>
  <c r="BH8" i="2"/>
  <c r="BH9" i="2"/>
  <c r="BH10" i="2"/>
  <c r="BH12" i="2"/>
  <c r="BH13" i="2"/>
  <c r="BI4" i="2"/>
  <c r="BI5" i="2"/>
  <c r="BI6" i="2"/>
  <c r="BI8" i="2"/>
  <c r="BI9" i="2"/>
  <c r="BI10" i="2"/>
  <c r="BI12" i="2"/>
  <c r="BI13" i="2"/>
  <c r="BJ4" i="2"/>
  <c r="BJ5" i="2"/>
  <c r="BJ6" i="2"/>
  <c r="BJ8" i="2"/>
  <c r="BJ9" i="2"/>
  <c r="BJ10" i="2"/>
  <c r="BJ12" i="2"/>
  <c r="BJ13" i="2"/>
  <c r="BK4" i="2"/>
  <c r="BK5" i="2"/>
  <c r="BK6" i="2"/>
  <c r="BK8" i="2"/>
  <c r="BK9" i="2"/>
  <c r="BK10" i="2"/>
  <c r="BK12" i="2"/>
  <c r="BK13" i="2"/>
  <c r="BL4" i="2"/>
  <c r="BL5" i="2"/>
  <c r="BL6" i="2"/>
  <c r="BL8" i="2"/>
  <c r="BL9" i="2"/>
  <c r="BL10" i="2"/>
  <c r="BL12" i="2"/>
  <c r="BL13" i="2"/>
  <c r="BM4" i="2"/>
  <c r="BM5" i="2"/>
  <c r="BM6" i="2"/>
  <c r="BM8" i="2"/>
  <c r="BM9" i="2"/>
  <c r="BM10" i="2"/>
  <c r="BM12" i="2"/>
  <c r="BM13" i="2"/>
  <c r="BN4" i="2"/>
  <c r="BN5" i="2"/>
  <c r="BN6" i="2"/>
  <c r="BN8" i="2"/>
  <c r="BN9" i="2"/>
  <c r="BN10" i="2"/>
  <c r="BN12" i="2"/>
  <c r="BN13" i="2"/>
  <c r="C10" i="2"/>
  <c r="C8" i="2"/>
  <c r="C9" i="2"/>
  <c r="A10" i="2"/>
  <c r="A9" i="2"/>
  <c r="A8" i="2"/>
  <c r="F20" i="1"/>
  <c r="F21" i="1"/>
  <c r="F25" i="1"/>
  <c r="C6" i="2"/>
  <c r="C5" i="2"/>
  <c r="F57" i="1"/>
  <c r="F56" i="1"/>
  <c r="F55" i="1"/>
  <c r="F28" i="1"/>
  <c r="F46" i="1"/>
  <c r="F29" i="1"/>
  <c r="F30" i="1"/>
  <c r="E33" i="1"/>
  <c r="F33" i="1"/>
  <c r="F47" i="1"/>
  <c r="F48" i="1"/>
  <c r="F49" i="1"/>
  <c r="F50" i="1"/>
  <c r="F52" i="1"/>
  <c r="F51" i="1"/>
  <c r="G42" i="1"/>
  <c r="C42" i="1"/>
  <c r="G41" i="1"/>
  <c r="G40" i="1"/>
  <c r="G38" i="1"/>
  <c r="G37" i="1"/>
  <c r="F32" i="1"/>
  <c r="E15" i="1"/>
  <c r="E14" i="1"/>
</calcChain>
</file>

<file path=xl/sharedStrings.xml><?xml version="1.0" encoding="utf-8"?>
<sst xmlns="http://schemas.openxmlformats.org/spreadsheetml/2006/main" count="219" uniqueCount="194">
  <si>
    <t>EQDI.com.br</t>
  </si>
  <si>
    <t>v1 - 161121</t>
  </si>
  <si>
    <t>Investimento em Construção de Casas</t>
  </si>
  <si>
    <t>Instruções:</t>
  </si>
  <si>
    <r>
      <t xml:space="preserve">• Essa planilha foi adquirida em </t>
    </r>
    <r>
      <rPr>
        <b/>
        <sz val="10"/>
        <color rgb="FF008000"/>
        <rFont val="Calibri"/>
        <family val="2"/>
      </rPr>
      <t>www.eqdi.com.br</t>
    </r>
  </si>
  <si>
    <t>• A utilização é de inteira responsabilidade do usuário</t>
  </si>
  <si>
    <r>
      <t xml:space="preserve">• Leia os passos abaixo </t>
    </r>
    <r>
      <rPr>
        <u/>
        <sz val="10"/>
        <color theme="1" tint="0.499984740745262"/>
        <rFont val="Calibri"/>
        <family val="2"/>
      </rPr>
      <t>preenchendo somente</t>
    </r>
    <r>
      <rPr>
        <sz val="10"/>
        <color theme="1" tint="0.499984740745262"/>
        <rFont val="Calibri"/>
        <family val="2"/>
      </rPr>
      <t xml:space="preserve"> as células </t>
    </r>
    <r>
      <rPr>
        <b/>
        <sz val="10"/>
        <color rgb="FF0000FF"/>
        <rFont val="Calibri"/>
        <family val="2"/>
      </rPr>
      <t>azuis</t>
    </r>
  </si>
  <si>
    <t>• Coloque os custos de terreno, construção e receitas.</t>
  </si>
  <si>
    <t>1.</t>
  </si>
  <si>
    <t>Custos Relacionados com a Aquisição do Terreno</t>
  </si>
  <si>
    <t>Valor de aquisição</t>
  </si>
  <si>
    <t>← Preço que você pagou pelo imóvel</t>
  </si>
  <si>
    <t>ITBI</t>
  </si>
  <si>
    <t>← Alíquota do Imposto sobre Transferência de Bens Imóveis, varia de município para município</t>
  </si>
  <si>
    <t>Escritura + Comissão Terreno + IPTU Atrasado</t>
  </si>
  <si>
    <t>← Custo do registro da escritura no cartório de imóveis</t>
  </si>
  <si>
    <t>Certidões, cópias e autenticações</t>
  </si>
  <si>
    <t>← Custos de emissão de certidões e despachantes para registrar a escritura</t>
  </si>
  <si>
    <t>Advogado</t>
  </si>
  <si>
    <t>← Custos de honorários de um advogado para auxiliar sua aquisição</t>
  </si>
  <si>
    <t>Custo total do terreno</t>
  </si>
  <si>
    <t>2.</t>
  </si>
  <si>
    <t>Custos de Construção</t>
  </si>
  <si>
    <t>Área Equivalente de Construção</t>
  </si>
  <si>
    <t>← Verifique no projeto ou com o técnico responsável.</t>
  </si>
  <si>
    <t>Custo de projetos por metro quadrado</t>
  </si>
  <si>
    <t>← Valor pago para um projetista desenvolver e aprovar os projetos de arquitetura, estrutural, elétrico, hidráulico...</t>
  </si>
  <si>
    <t>Custo Unitário Básico (CUB) por metro quadrado (R$/m²) - SEM BDI</t>
  </si>
  <si>
    <t>← Visite o site do Sinduscon do seu Estado e digite abaixo o valor do CUB do mês mais recente para o tipo de obra e padrão de acabamento definidos.</t>
  </si>
  <si>
    <t>Custos Extras</t>
  </si>
  <si>
    <t>← Inclua sua melhor estimativa de custo com fundações,terraplenagem, paisagismo, muros.</t>
  </si>
  <si>
    <t>Benefícios e despesas indiretas da Construtora</t>
  </si>
  <si>
    <t>← É o percentual aplicado por uma construtora para cobrir despesas com a equipe técnica, cópias, escritório central, impostos e, claro, o lucro.</t>
  </si>
  <si>
    <t>Custo Total com Obras e Projetos</t>
  </si>
  <si>
    <t>3.</t>
  </si>
  <si>
    <t>Venda</t>
  </si>
  <si>
    <t>Valor de venda</t>
  </si>
  <si>
    <t>← Preço de venda de uma casa semelhante no mercado.</t>
  </si>
  <si>
    <t>Custos com marketing</t>
  </si>
  <si>
    <t>← Estime o quanto pretende gastar com placas, anúncios, sites de imóveis...</t>
  </si>
  <si>
    <t>Comissão do Corretor de Imóveis</t>
  </si>
  <si>
    <t>Como você recolherá os impostos?</t>
  </si>
  <si>
    <t>Pessoa jurídica</t>
  </si>
  <si>
    <t>Pessoa física (PF)</t>
  </si>
  <si>
    <t>← 15% é a alíquota básica do imposto de renda para o lucro imobiliário inferiores a R$ 1 milhão.</t>
  </si>
  <si>
    <t>Pessoa jurídica (RET)</t>
  </si>
  <si>
    <t>← Inclui 0,65% de PIS, 3,0% de COFINs, 25,0% de IR para um lucro presumido de 8% da Receita Bruta  e 9,0% de CSLL para 12%.</t>
  </si>
  <si>
    <t>4.</t>
  </si>
  <si>
    <t>Prazos</t>
  </si>
  <si>
    <t>Data de início</t>
  </si>
  <si>
    <t>Parcelas</t>
  </si>
  <si>
    <t>Aquisição do terreno</t>
  </si>
  <si>
    <t>Construção</t>
  </si>
  <si>
    <t>Sinal</t>
  </si>
  <si>
    <t>Obras</t>
  </si>
  <si>
    <t>Chaves</t>
  </si>
  <si>
    <t>5.</t>
  </si>
  <si>
    <t>Indicadores de Desempenho</t>
  </si>
  <si>
    <t>Receita Bruta: Valor de venda</t>
  </si>
  <si>
    <t>(-) Despesas com vendas</t>
  </si>
  <si>
    <t>(=) Receita líquida</t>
  </si>
  <si>
    <t>(-) Custos com terreno e construção</t>
  </si>
  <si>
    <t>(=) Resultado (lucro ou prejuízo)</t>
  </si>
  <si>
    <t>Margem sobre investimento</t>
  </si>
  <si>
    <t>Multiplo sobre investimento</t>
  </si>
  <si>
    <t>6.</t>
  </si>
  <si>
    <t>Indicadores Avançados!</t>
  </si>
  <si>
    <t>Exposição de Caixa</t>
  </si>
  <si>
    <t>← Quanto de dinheiro você precisa para realizar o negócio.</t>
  </si>
  <si>
    <t>Taxa de Retorno (a.a.)</t>
  </si>
  <si>
    <t>← Por quanto seu dinheiro renderá no negócio.</t>
  </si>
  <si>
    <t>Payback</t>
  </si>
  <si>
    <t>← Em quanto tempo você recupera o que investiu.</t>
  </si>
  <si>
    <t>revisar</t>
  </si>
  <si>
    <t>REVISADO</t>
  </si>
  <si>
    <t>Valor</t>
  </si>
  <si>
    <t>Data</t>
  </si>
  <si>
    <t>Fluxo de Caixa</t>
  </si>
  <si>
    <t>Fluxo de Caixa Acumulado</t>
  </si>
  <si>
    <t>Projeto Cidade Jardim - Paineiras</t>
  </si>
  <si>
    <t>PREVISÃO DE RESULTADOS</t>
  </si>
  <si>
    <t>DESCRIÇÃO DO EMPREENDIMENTO - 100% VENDA</t>
  </si>
  <si>
    <t>APPROVAL</t>
  </si>
  <si>
    <t>Área Privativa Média</t>
  </si>
  <si>
    <t>x</t>
  </si>
  <si>
    <t>Preço Médio/m²</t>
  </si>
  <si>
    <t>=</t>
  </si>
  <si>
    <t>Preço de Venda Médio</t>
  </si>
  <si>
    <t>Unid. Estoque</t>
  </si>
  <si>
    <t>+</t>
  </si>
  <si>
    <t>Vagas Extras</t>
  </si>
  <si>
    <t>VGV Estoque (Sem Juros)</t>
  </si>
  <si>
    <t>Área Privativa Total</t>
  </si>
  <si>
    <t>Área Construída (Equiv.)</t>
  </si>
  <si>
    <t>Custo / m² Construído</t>
  </si>
  <si>
    <t>Taxa Adm. + Eventuais</t>
  </si>
  <si>
    <t>Produto</t>
  </si>
  <si>
    <t>Inteligência de Mercado (BI)</t>
  </si>
  <si>
    <t>Sobre</t>
  </si>
  <si>
    <t>Custo de Obra Raso</t>
  </si>
  <si>
    <t>Custo de Construção Total</t>
  </si>
  <si>
    <t>Área Construída (Equiv)</t>
  </si>
  <si>
    <t>Custo / m² Privativo</t>
  </si>
  <si>
    <t>Custos Adic. Área Priv.</t>
  </si>
  <si>
    <t>Engenharia</t>
  </si>
  <si>
    <t>Planejamento e Controle</t>
  </si>
  <si>
    <t>Terreno</t>
  </si>
  <si>
    <t>Vendas</t>
  </si>
  <si>
    <t>Unidades</t>
  </si>
  <si>
    <t>Permutas</t>
  </si>
  <si>
    <t>Outras Permutas</t>
  </si>
  <si>
    <t>Permuta</t>
  </si>
  <si>
    <t>Área Permutada</t>
  </si>
  <si>
    <t>Área do Terreno (Total)</t>
  </si>
  <si>
    <t>Preço / m² (Área Total)</t>
  </si>
  <si>
    <t>Custo Efetivo do Terreno</t>
  </si>
  <si>
    <t>Obra</t>
  </si>
  <si>
    <t>Vagas Permuta</t>
  </si>
  <si>
    <t>Financeira</t>
  </si>
  <si>
    <t>Física</t>
  </si>
  <si>
    <t>Área do Terreno (Líquida)</t>
  </si>
  <si>
    <t>Preço / m² (Área Líquida)</t>
  </si>
  <si>
    <t>Desenvolvimento / Diretoria</t>
  </si>
  <si>
    <t>Presidência</t>
  </si>
  <si>
    <t>RESUMO DAS CONTAS - MODELO Padrão DRE</t>
  </si>
  <si>
    <t>$/1000</t>
  </si>
  <si>
    <t>RESULTADO</t>
  </si>
  <si>
    <t>Data Base: Agosto /2020</t>
  </si>
  <si>
    <t>Realizado</t>
  </si>
  <si>
    <t>Encargos</t>
  </si>
  <si>
    <t>%</t>
  </si>
  <si>
    <t>A Realizar</t>
  </si>
  <si>
    <t>Inflação</t>
  </si>
  <si>
    <t>Total Nominal</t>
  </si>
  <si>
    <t>Total Indexado</t>
  </si>
  <si>
    <t>Total VP</t>
  </si>
  <si>
    <t>% VGV</t>
  </si>
  <si>
    <t/>
  </si>
  <si>
    <t>Venda de Unidades</t>
  </si>
  <si>
    <t>Participação</t>
  </si>
  <si>
    <t>Receita c/ Vendas</t>
  </si>
  <si>
    <t>Custo Raso da Unidade</t>
  </si>
  <si>
    <t>Períodos de Venda (meses)</t>
  </si>
  <si>
    <t>14</t>
  </si>
  <si>
    <t>Valor Pago no Terreno</t>
  </si>
  <si>
    <t>Receita Bruta</t>
  </si>
  <si>
    <t>Custo Efetivo Terreno (Obra)</t>
  </si>
  <si>
    <t>Custo Efetivo Terreno (Venda)</t>
  </si>
  <si>
    <t>=EVTE!K42+EVTE!K46</t>
  </si>
  <si>
    <t>Impostos</t>
  </si>
  <si>
    <t>Investimento Máximo (Saldo)</t>
  </si>
  <si>
    <t>Investimento Total (Saldo)</t>
  </si>
  <si>
    <t>EBITDA</t>
  </si>
  <si>
    <t>Comissão</t>
  </si>
  <si>
    <t>Margem Resultado Bruto</t>
  </si>
  <si>
    <t>Comissão s/ Venda</t>
  </si>
  <si>
    <t>Margem EBITDA</t>
  </si>
  <si>
    <t>Receita Líquida</t>
  </si>
  <si>
    <t>Saldo</t>
  </si>
  <si>
    <t>VPL  (0,00%)</t>
  </si>
  <si>
    <t>LandBank</t>
  </si>
  <si>
    <t>Exposição Máxima  (14º mês)</t>
  </si>
  <si>
    <t>Pagamento á Vista Terreno Cidade Jardim</t>
  </si>
  <si>
    <t>Exposição Média  (16º meses)</t>
  </si>
  <si>
    <t>VPL / Receita</t>
  </si>
  <si>
    <t>Taxa Administração Obra</t>
  </si>
  <si>
    <t>VPL / Terreno</t>
  </si>
  <si>
    <t>Custos Eventuais Obra</t>
  </si>
  <si>
    <t>VPL / Exp. Máxima</t>
  </si>
  <si>
    <t>Gerenciamento</t>
  </si>
  <si>
    <t>VPL / Inv. Máximo</t>
  </si>
  <si>
    <t>Gestão Imobiliária</t>
  </si>
  <si>
    <t>VPL / Inv. Total</t>
  </si>
  <si>
    <t>Taxa Desenvolvimento imobi</t>
  </si>
  <si>
    <t>TIR Inv. x Ret. (a.a.)</t>
  </si>
  <si>
    <t>Incorporação</t>
  </si>
  <si>
    <t>TIR Inv. x Ret. (a.m.)</t>
  </si>
  <si>
    <t>Taxa de Administração s/ Carteira</t>
  </si>
  <si>
    <t xml:space="preserve">Pay-Back  </t>
  </si>
  <si>
    <t>18º Mês (Fev/24)</t>
  </si>
  <si>
    <t>Arquitetura e Engenharia</t>
  </si>
  <si>
    <t>Resultado Bruto</t>
  </si>
  <si>
    <t>% taxa de juros do Fundo</t>
  </si>
  <si>
    <t>Ganho do Terrenista</t>
  </si>
  <si>
    <t>Despesas Comerciais</t>
  </si>
  <si>
    <t>Ganho do Investidor Terreno</t>
  </si>
  <si>
    <t>Propaganda (% Propaganda)</t>
  </si>
  <si>
    <t>Casa Modelo In House</t>
  </si>
  <si>
    <t>Marketing</t>
  </si>
  <si>
    <t>Funding</t>
  </si>
  <si>
    <t>Retorno Funding (Juros)</t>
  </si>
  <si>
    <t>Resultado Operacional</t>
  </si>
  <si>
    <t>RET (4%)</t>
  </si>
  <si>
    <t>Saldo pós-Juros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</si>
</sst>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_-[$R$-416]\ * #,##0.00_-;\-[$R$-416]\ * #,##0.00_-;_-[$R$-416]\ * &quot;-&quot;??_-;_-@_-"/>
    <numFmt numFmtId="165" formatCode="_(&quot;$&quot;* #,##0.00_);_(&quot;$&quot;* \(#,##0.00\);_(&quot;$&quot;* &quot;-&quot;??_);_(@_)"/>
    <numFmt numFmtId="166" formatCode="0.0%"/>
    <numFmt numFmtId="167" formatCode="#,##0.00&quot; m²&quot;"/>
    <numFmt numFmtId="168" formatCode="#,##0.0&quot; x&quot;"/>
    <numFmt numFmtId="169" formatCode="#,##0&quot; meses&quot;"/>
    <numFmt numFmtId="170" formatCode="#,##0_);\(#,##0\);\-"/>
    <numFmt numFmtId="171" formatCode="#,##0.0"/>
    <numFmt numFmtId="172" formatCode="_(* #,##0.00_);_(* \(#,##0.00\);_(* &quot;-&quot;??_);_(@_)"/>
    <numFmt numFmtId="173" formatCode="#,##0.00\ &quot;m²&quot;"/>
    <numFmt numFmtId="174" formatCode="#,##0.000"/>
    <numFmt numFmtId="175" formatCode="_-&quot;R$&quot;* #,##0.00_-;\-&quot;R$&quot;* #,##0.00_-;_-&quot;R$&quot;* &quot;-&quot;??_-;_-@_-"/>
    <numFmt numFmtId="176" formatCode="[$-416]mmm/yy;@"/>
    <numFmt numFmtId="177" formatCode="&quot;Participação: &quot;\ 0.00%;_(* &quot;&quot;_);_(* &quot;&quot;_);_(@_)"/>
    <numFmt numFmtId="178" formatCode="&quot;Total VP - &quot;0.00%"/>
    <numFmt numFmtId="179" formatCode="&quot;@&quot;\ 0.0%;&quot;@&quot;\ \(0.0%\);_(* &quot;&quot;_);_(@_)"/>
    <numFmt numFmtId="180" formatCode="_-* #,##0_-;* \-#,##0_-;_-* &quot;-&quot;_-;_-@_-"/>
    <numFmt numFmtId="181" formatCode="0.0%;\-0.0%;&quot;&quot;"/>
    <numFmt numFmtId="182" formatCode="_-0.0%;0.0%;&quot;&quot;"/>
    <numFmt numFmtId="183" formatCode="&quot;Ponto de Equilíbrio (&quot;0&quot; Unid.)&quot;\ "/>
    <numFmt numFmtId="184" formatCode="&quot;Ganho XP&quot;\ &quot; &quot;0.00%"/>
    <numFmt numFmtId="185" formatCode="&quot;Ganho SPE&quot;\ &quot; &quot;0.00%"/>
    <numFmt numFmtId="186" formatCode="&quot;R$&quot;#,##0"/>
  </numFmts>
  <fonts count="5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</font>
    <font>
      <b/>
      <sz val="10"/>
      <color rgb="FF008000"/>
      <name val="Calibri"/>
      <family val="2"/>
    </font>
    <font>
      <u/>
      <sz val="10"/>
      <color theme="1" tint="0.499984740745262"/>
      <name val="Calibri"/>
      <family val="2"/>
    </font>
    <font>
      <b/>
      <sz val="10"/>
      <color rgb="FF0000FF"/>
      <name val="Calibri"/>
      <family val="2"/>
    </font>
    <font>
      <b/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 tint="0.499984740745262"/>
      <name val="Calibri"/>
      <family val="2"/>
    </font>
    <font>
      <b/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3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rgb="FF008000"/>
      <name val="Arial"/>
      <family val="2"/>
    </font>
    <font>
      <sz val="9"/>
      <color theme="0"/>
      <name val="Arial"/>
      <family val="2"/>
    </font>
    <font>
      <sz val="12"/>
      <color theme="0"/>
      <name val="Arial"/>
      <family val="2"/>
    </font>
    <font>
      <sz val="12"/>
      <color rgb="FF0070C0"/>
      <name val="Arial"/>
      <family val="2"/>
    </font>
    <font>
      <sz val="12"/>
      <color theme="3"/>
      <name val="Arial"/>
      <family val="2"/>
    </font>
    <font>
      <sz val="6"/>
      <color theme="0"/>
      <name val="Arial"/>
      <family val="2"/>
    </font>
    <font>
      <b/>
      <sz val="5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0FEB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2F0D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1" fillId="0" borderId="0"/>
    <xf numFmtId="172" fontId="25" fillId="0" borderId="0" applyFont="0" applyFill="0" applyBorder="0" applyAlignment="0" applyProtection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3">
    <xf numFmtId="0" fontId="0" fillId="0" borderId="0" xfId="0"/>
    <xf numFmtId="0" fontId="3" fillId="2" borderId="0" xfId="0" applyFont="1" applyFill="1" applyAlignment="1" applyProtection="1">
      <alignment horizontal="left"/>
      <protection hidden="1"/>
    </xf>
    <xf numFmtId="0" fontId="0" fillId="2" borderId="0" xfId="0" applyFill="1" applyProtection="1"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3" borderId="0" xfId="0" applyFont="1" applyFill="1" applyAlignment="1" applyProtection="1">
      <alignment horizontal="left"/>
      <protection hidden="1"/>
    </xf>
    <xf numFmtId="0" fontId="5" fillId="3" borderId="0" xfId="0" applyFont="1" applyFill="1" applyProtection="1">
      <protection hidden="1"/>
    </xf>
    <xf numFmtId="0" fontId="6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8" fillId="0" borderId="0" xfId="0" applyFont="1" applyProtection="1">
      <protection hidden="1"/>
    </xf>
    <xf numFmtId="164" fontId="0" fillId="0" borderId="0" xfId="0" applyNumberFormat="1" applyProtection="1">
      <protection hidden="1"/>
    </xf>
    <xf numFmtId="0" fontId="6" fillId="0" borderId="1" xfId="0" applyFont="1" applyBorder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 indent="1"/>
      <protection hidden="1"/>
    </xf>
    <xf numFmtId="0" fontId="0" fillId="0" borderId="0" xfId="0" applyAlignment="1" applyProtection="1">
      <alignment horizontal="center"/>
      <protection hidden="1"/>
    </xf>
    <xf numFmtId="164" fontId="13" fillId="4" borderId="0" xfId="2" applyNumberFormat="1" applyFont="1" applyFill="1" applyProtection="1">
      <protection locked="0"/>
    </xf>
    <xf numFmtId="0" fontId="14" fillId="0" borderId="0" xfId="0" applyFont="1" applyProtection="1">
      <protection hidden="1"/>
    </xf>
    <xf numFmtId="166" fontId="13" fillId="4" borderId="0" xfId="1" applyNumberFormat="1" applyFont="1" applyFill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left" indent="1"/>
      <protection hidden="1"/>
    </xf>
    <xf numFmtId="0" fontId="15" fillId="0" borderId="2" xfId="0" applyFont="1" applyBorder="1" applyProtection="1">
      <protection hidden="1"/>
    </xf>
    <xf numFmtId="164" fontId="15" fillId="0" borderId="2" xfId="0" applyNumberFormat="1" applyFont="1" applyBorder="1" applyProtection="1">
      <protection hidden="1"/>
    </xf>
    <xf numFmtId="166" fontId="13" fillId="0" borderId="0" xfId="1" applyNumberFormat="1" applyFont="1" applyFill="1" applyAlignment="1" applyProtection="1">
      <alignment horizontal="center"/>
      <protection hidden="1"/>
    </xf>
    <xf numFmtId="167" fontId="13" fillId="4" borderId="0" xfId="2" applyNumberFormat="1" applyFont="1" applyFill="1" applyProtection="1">
      <protection locked="0"/>
    </xf>
    <xf numFmtId="166" fontId="13" fillId="4" borderId="0" xfId="1" applyNumberFormat="1" applyFont="1" applyFill="1" applyAlignment="1" applyProtection="1">
      <alignment horizontal="right"/>
      <protection locked="0"/>
    </xf>
    <xf numFmtId="0" fontId="15" fillId="0" borderId="2" xfId="0" applyFont="1" applyBorder="1" applyAlignment="1" applyProtection="1">
      <alignment horizontal="left"/>
      <protection hidden="1"/>
    </xf>
    <xf numFmtId="166" fontId="16" fillId="0" borderId="0" xfId="1" applyNumberFormat="1" applyFont="1" applyFill="1" applyAlignment="1" applyProtection="1">
      <alignment horizontal="center"/>
      <protection hidden="1"/>
    </xf>
    <xf numFmtId="10" fontId="16" fillId="0" borderId="0" xfId="1" applyNumberFormat="1" applyFont="1" applyFill="1" applyAlignment="1" applyProtection="1">
      <alignment horizontal="center"/>
      <protection hidden="1"/>
    </xf>
    <xf numFmtId="0" fontId="17" fillId="0" borderId="0" xfId="0" applyFont="1" applyAlignment="1" applyProtection="1">
      <alignment horizontal="center"/>
      <protection hidden="1"/>
    </xf>
    <xf numFmtId="15" fontId="13" fillId="4" borderId="0" xfId="1" applyNumberFormat="1" applyFont="1" applyFill="1" applyAlignment="1" applyProtection="1">
      <alignment horizontal="center"/>
      <protection locked="0"/>
    </xf>
    <xf numFmtId="168" fontId="13" fillId="4" borderId="0" xfId="1" applyNumberFormat="1" applyFont="1" applyFill="1" applyAlignment="1" applyProtection="1">
      <alignment horizontal="center"/>
      <protection locked="0"/>
    </xf>
    <xf numFmtId="15" fontId="18" fillId="0" borderId="0" xfId="0" applyNumberFormat="1" applyFont="1" applyProtection="1">
      <protection hidden="1"/>
    </xf>
    <xf numFmtId="0" fontId="19" fillId="0" borderId="0" xfId="0" applyFont="1" applyAlignment="1" applyProtection="1">
      <alignment horizontal="left" indent="1"/>
      <protection hidden="1"/>
    </xf>
    <xf numFmtId="0" fontId="16" fillId="0" borderId="0" xfId="0" applyFont="1" applyProtection="1">
      <protection hidden="1"/>
    </xf>
    <xf numFmtId="164" fontId="16" fillId="0" borderId="0" xfId="0" applyNumberFormat="1" applyFont="1" applyProtection="1">
      <protection hidden="1"/>
    </xf>
    <xf numFmtId="0" fontId="16" fillId="0" borderId="0" xfId="0" applyFont="1" applyAlignment="1" applyProtection="1">
      <alignment horizontal="left" indent="1"/>
      <protection hidden="1"/>
    </xf>
    <xf numFmtId="0" fontId="16" fillId="0" borderId="0" xfId="0" applyFont="1" applyAlignment="1" applyProtection="1">
      <alignment horizontal="left"/>
      <protection hidden="1"/>
    </xf>
    <xf numFmtId="0" fontId="20" fillId="0" borderId="2" xfId="0" applyFont="1" applyBorder="1" applyProtection="1">
      <protection hidden="1"/>
    </xf>
    <xf numFmtId="164" fontId="20" fillId="0" borderId="2" xfId="1" applyNumberFormat="1" applyFont="1" applyFill="1" applyBorder="1" applyProtection="1">
      <protection hidden="1"/>
    </xf>
    <xf numFmtId="0" fontId="15" fillId="0" borderId="0" xfId="0" applyFont="1" applyProtection="1">
      <protection hidden="1"/>
    </xf>
    <xf numFmtId="166" fontId="15" fillId="0" borderId="0" xfId="1" applyNumberFormat="1" applyFont="1" applyFill="1" applyAlignment="1" applyProtection="1">
      <alignment horizontal="right" indent="1"/>
      <protection hidden="1"/>
    </xf>
    <xf numFmtId="4" fontId="15" fillId="0" borderId="0" xfId="1" applyNumberFormat="1" applyFont="1" applyAlignment="1" applyProtection="1">
      <alignment horizontal="right" indent="1"/>
      <protection hidden="1"/>
    </xf>
    <xf numFmtId="166" fontId="0" fillId="0" borderId="0" xfId="1" applyNumberFormat="1" applyFont="1" applyProtection="1">
      <protection hidden="1"/>
    </xf>
    <xf numFmtId="169" fontId="0" fillId="0" borderId="0" xfId="0" applyNumberFormat="1" applyAlignment="1" applyProtection="1">
      <alignment horizontal="right"/>
      <protection hidden="1"/>
    </xf>
    <xf numFmtId="0" fontId="0" fillId="5" borderId="0" xfId="0" applyFill="1" applyProtection="1">
      <protection hidden="1"/>
    </xf>
    <xf numFmtId="0" fontId="6" fillId="6" borderId="3" xfId="0" applyFont="1" applyFill="1" applyBorder="1"/>
    <xf numFmtId="0" fontId="21" fillId="0" borderId="0" xfId="0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17" fontId="4" fillId="8" borderId="0" xfId="0" applyNumberFormat="1" applyFont="1" applyFill="1" applyAlignment="1" applyProtection="1">
      <alignment horizontal="center"/>
      <protection hidden="1"/>
    </xf>
    <xf numFmtId="17" fontId="4" fillId="9" borderId="0" xfId="0" applyNumberFormat="1" applyFont="1" applyFill="1" applyAlignment="1" applyProtection="1">
      <alignment horizontal="center"/>
      <protection hidden="1"/>
    </xf>
    <xf numFmtId="0" fontId="6" fillId="0" borderId="5" xfId="0" applyFont="1" applyBorder="1" applyProtection="1">
      <protection hidden="1"/>
    </xf>
    <xf numFmtId="170" fontId="23" fillId="0" borderId="5" xfId="0" applyNumberFormat="1" applyFont="1" applyBorder="1" applyAlignment="1" applyProtection="1">
      <alignment horizontal="center"/>
      <protection hidden="1"/>
    </xf>
    <xf numFmtId="17" fontId="24" fillId="0" borderId="5" xfId="0" applyNumberFormat="1" applyFont="1" applyBorder="1" applyAlignment="1" applyProtection="1">
      <alignment horizontal="center"/>
      <protection hidden="1"/>
    </xf>
    <xf numFmtId="171" fontId="24" fillId="0" borderId="5" xfId="0" applyNumberFormat="1" applyFont="1" applyBorder="1" applyAlignment="1" applyProtection="1">
      <alignment horizontal="center"/>
      <protection hidden="1"/>
    </xf>
    <xf numFmtId="170" fontId="0" fillId="0" borderId="5" xfId="0" applyNumberFormat="1" applyBorder="1" applyAlignment="1" applyProtection="1">
      <alignment horizontal="center"/>
      <protection hidden="1"/>
    </xf>
    <xf numFmtId="0" fontId="6" fillId="0" borderId="6" xfId="0" applyFont="1" applyBorder="1" applyProtection="1">
      <protection hidden="1"/>
    </xf>
    <xf numFmtId="170" fontId="23" fillId="0" borderId="6" xfId="0" applyNumberFormat="1" applyFont="1" applyBorder="1" applyAlignment="1" applyProtection="1">
      <alignment horizontal="center"/>
      <protection hidden="1"/>
    </xf>
    <xf numFmtId="17" fontId="24" fillId="0" borderId="6" xfId="0" applyNumberFormat="1" applyFont="1" applyBorder="1" applyAlignment="1" applyProtection="1">
      <alignment horizontal="center"/>
      <protection hidden="1"/>
    </xf>
    <xf numFmtId="171" fontId="24" fillId="0" borderId="6" xfId="0" applyNumberFormat="1" applyFont="1" applyBorder="1" applyAlignment="1" applyProtection="1">
      <alignment horizontal="center"/>
      <protection hidden="1"/>
    </xf>
    <xf numFmtId="170" fontId="0" fillId="0" borderId="6" xfId="0" applyNumberFormat="1" applyBorder="1" applyAlignment="1" applyProtection="1">
      <alignment horizontal="center"/>
      <protection hidden="1"/>
    </xf>
    <xf numFmtId="170" fontId="23" fillId="0" borderId="0" xfId="0" applyNumberFormat="1" applyFont="1" applyAlignment="1" applyProtection="1">
      <alignment horizontal="center"/>
      <protection hidden="1"/>
    </xf>
    <xf numFmtId="17" fontId="0" fillId="0" borderId="0" xfId="0" applyNumberFormat="1" applyAlignment="1" applyProtection="1">
      <alignment horizontal="center"/>
      <protection hidden="1"/>
    </xf>
    <xf numFmtId="171" fontId="0" fillId="0" borderId="0" xfId="0" applyNumberFormat="1" applyAlignment="1" applyProtection="1">
      <alignment horizontal="center"/>
      <protection hidden="1"/>
    </xf>
    <xf numFmtId="170" fontId="0" fillId="0" borderId="0" xfId="0" applyNumberFormat="1" applyAlignment="1" applyProtection="1">
      <alignment horizontal="center"/>
      <protection hidden="1"/>
    </xf>
    <xf numFmtId="9" fontId="0" fillId="0" borderId="0" xfId="0" applyNumberFormat="1" applyProtection="1">
      <protection hidden="1"/>
    </xf>
    <xf numFmtId="0" fontId="19" fillId="0" borderId="5" xfId="0" applyFont="1" applyBorder="1" applyAlignment="1" applyProtection="1">
      <alignment horizontal="left" indent="1"/>
      <protection hidden="1"/>
    </xf>
    <xf numFmtId="0" fontId="19" fillId="0" borderId="6" xfId="0" applyFont="1" applyBorder="1" applyAlignment="1" applyProtection="1">
      <alignment horizontal="left" indent="1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0" fillId="0" borderId="2" xfId="0" applyBorder="1" applyProtection="1">
      <protection hidden="1"/>
    </xf>
    <xf numFmtId="170" fontId="0" fillId="0" borderId="2" xfId="0" applyNumberFormat="1" applyBorder="1" applyProtection="1">
      <protection hidden="1"/>
    </xf>
    <xf numFmtId="0" fontId="26" fillId="0" borderId="0" xfId="3" applyFont="1"/>
    <xf numFmtId="0" fontId="25" fillId="0" borderId="0" xfId="3" applyAlignment="1">
      <alignment vertical="center"/>
    </xf>
    <xf numFmtId="0" fontId="25" fillId="0" borderId="8" xfId="3" applyBorder="1" applyAlignment="1">
      <alignment vertical="center"/>
    </xf>
    <xf numFmtId="0" fontId="27" fillId="0" borderId="11" xfId="3" applyFont="1" applyBorder="1" applyAlignment="1">
      <alignment vertical="center"/>
    </xf>
    <xf numFmtId="0" fontId="27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9" fontId="25" fillId="0" borderId="0" xfId="4" applyFont="1" applyBorder="1" applyAlignment="1">
      <alignment vertical="center"/>
    </xf>
    <xf numFmtId="0" fontId="32" fillId="0" borderId="0" xfId="3" applyFont="1" applyAlignment="1">
      <alignment vertical="center"/>
    </xf>
    <xf numFmtId="0" fontId="33" fillId="10" borderId="10" xfId="3" applyFont="1" applyFill="1" applyBorder="1" applyAlignment="1">
      <alignment horizontal="center" vertical="center"/>
    </xf>
    <xf numFmtId="0" fontId="34" fillId="0" borderId="9" xfId="3" applyFont="1" applyBorder="1" applyAlignment="1">
      <alignment vertical="center" shrinkToFit="1"/>
    </xf>
    <xf numFmtId="0" fontId="32" fillId="0" borderId="11" xfId="3" applyFont="1" applyBorder="1" applyAlignment="1">
      <alignment vertical="center"/>
    </xf>
    <xf numFmtId="2" fontId="32" fillId="0" borderId="0" xfId="6" applyNumberFormat="1" applyFont="1" applyBorder="1" applyAlignment="1">
      <alignment vertical="center"/>
    </xf>
    <xf numFmtId="0" fontId="32" fillId="0" borderId="12" xfId="3" applyFont="1" applyBorder="1" applyAlignment="1">
      <alignment vertical="center"/>
    </xf>
    <xf numFmtId="0" fontId="34" fillId="0" borderId="11" xfId="3" applyFont="1" applyBorder="1" applyAlignment="1">
      <alignment vertical="center" shrinkToFit="1"/>
    </xf>
    <xf numFmtId="4" fontId="34" fillId="0" borderId="1" xfId="4" applyNumberFormat="1" applyFont="1" applyBorder="1" applyAlignment="1">
      <alignment vertical="center" shrinkToFit="1"/>
    </xf>
    <xf numFmtId="0" fontId="34" fillId="0" borderId="17" xfId="3" applyFont="1" applyBorder="1" applyAlignment="1">
      <alignment vertical="center" shrinkToFit="1"/>
    </xf>
    <xf numFmtId="0" fontId="32" fillId="0" borderId="1" xfId="3" applyFont="1" applyBorder="1" applyAlignment="1">
      <alignment vertical="center"/>
    </xf>
    <xf numFmtId="2" fontId="32" fillId="0" borderId="1" xfId="6" applyNumberFormat="1" applyFont="1" applyBorder="1" applyAlignment="1">
      <alignment vertical="center"/>
    </xf>
    <xf numFmtId="0" fontId="34" fillId="0" borderId="8" xfId="3" applyFont="1" applyBorder="1" applyAlignment="1">
      <alignment vertical="center" shrinkToFit="1"/>
    </xf>
    <xf numFmtId="0" fontId="34" fillId="0" borderId="0" xfId="4" applyNumberFormat="1" applyFont="1" applyBorder="1" applyAlignment="1">
      <alignment vertical="center" shrinkToFit="1"/>
    </xf>
    <xf numFmtId="0" fontId="34" fillId="0" borderId="12" xfId="3" applyFont="1" applyBorder="1" applyAlignment="1">
      <alignment vertical="center" shrinkToFit="1"/>
    </xf>
    <xf numFmtId="0" fontId="32" fillId="0" borderId="0" xfId="3" applyFont="1" applyAlignment="1">
      <alignment horizontal="center" vertical="center" shrinkToFit="1"/>
    </xf>
    <xf numFmtId="0" fontId="34" fillId="0" borderId="0" xfId="6" applyNumberFormat="1" applyFont="1" applyBorder="1" applyAlignment="1">
      <alignment vertical="center" shrinkToFit="1"/>
    </xf>
    <xf numFmtId="0" fontId="25" fillId="0" borderId="0" xfId="6" applyNumberFormat="1" applyFont="1" applyBorder="1" applyAlignment="1">
      <alignment vertical="center"/>
    </xf>
    <xf numFmtId="0" fontId="34" fillId="0" borderId="1" xfId="6" applyNumberFormat="1" applyFont="1" applyBorder="1" applyAlignment="1">
      <alignment vertical="center" shrinkToFit="1"/>
    </xf>
    <xf numFmtId="0" fontId="25" fillId="0" borderId="8" xfId="3" applyBorder="1" applyAlignment="1">
      <alignment vertical="center" shrinkToFit="1"/>
    </xf>
    <xf numFmtId="0" fontId="34" fillId="0" borderId="9" xfId="4" applyNumberFormat="1" applyFont="1" applyBorder="1" applyAlignment="1">
      <alignment vertical="center" shrinkToFit="1"/>
    </xf>
    <xf numFmtId="0" fontId="34" fillId="0" borderId="10" xfId="3" applyFont="1" applyBorder="1" applyAlignment="1">
      <alignment vertical="center" shrinkToFit="1"/>
    </xf>
    <xf numFmtId="3" fontId="34" fillId="0" borderId="0" xfId="3" applyNumberFormat="1" applyFont="1" applyAlignment="1">
      <alignment horizontal="center" vertical="center" shrinkToFit="1"/>
    </xf>
    <xf numFmtId="0" fontId="34" fillId="0" borderId="11" xfId="4" applyNumberFormat="1" applyFont="1" applyBorder="1" applyAlignment="1">
      <alignment vertical="center" shrinkToFit="1"/>
    </xf>
    <xf numFmtId="0" fontId="34" fillId="0" borderId="13" xfId="4" applyNumberFormat="1" applyFont="1" applyBorder="1" applyAlignment="1">
      <alignment vertical="center" shrinkToFit="1"/>
    </xf>
    <xf numFmtId="0" fontId="32" fillId="0" borderId="13" xfId="3" applyFont="1" applyBorder="1" applyAlignment="1">
      <alignment vertical="center"/>
    </xf>
    <xf numFmtId="0" fontId="32" fillId="0" borderId="17" xfId="3" applyFont="1" applyBorder="1" applyAlignment="1">
      <alignment vertical="center"/>
    </xf>
    <xf numFmtId="9" fontId="39" fillId="0" borderId="0" xfId="8" applyFont="1" applyAlignment="1">
      <alignment vertical="center"/>
    </xf>
    <xf numFmtId="0" fontId="40" fillId="3" borderId="7" xfId="5" applyFont="1" applyFill="1" applyBorder="1" applyAlignment="1">
      <alignment horizontal="left" vertical="center"/>
    </xf>
    <xf numFmtId="0" fontId="33" fillId="3" borderId="14" xfId="5" applyFont="1" applyFill="1" applyBorder="1" applyAlignment="1">
      <alignment vertical="center"/>
    </xf>
    <xf numFmtId="0" fontId="33" fillId="3" borderId="16" xfId="5" applyFont="1" applyFill="1" applyBorder="1" applyAlignment="1">
      <alignment vertical="center"/>
    </xf>
    <xf numFmtId="0" fontId="1" fillId="3" borderId="14" xfId="5" applyFill="1" applyBorder="1"/>
    <xf numFmtId="0" fontId="41" fillId="3" borderId="15" xfId="5" applyFont="1" applyFill="1" applyBorder="1" applyAlignment="1">
      <alignment horizontal="right" vertical="center"/>
    </xf>
    <xf numFmtId="0" fontId="28" fillId="12" borderId="13" xfId="5" applyFont="1" applyFill="1" applyBorder="1" applyAlignment="1">
      <alignment vertical="center"/>
    </xf>
    <xf numFmtId="0" fontId="28" fillId="12" borderId="1" xfId="5" applyFont="1" applyFill="1" applyBorder="1" applyAlignment="1">
      <alignment vertical="center"/>
    </xf>
    <xf numFmtId="0" fontId="42" fillId="12" borderId="17" xfId="5" applyFont="1" applyFill="1" applyBorder="1" applyAlignment="1">
      <alignment horizontal="right" vertical="center"/>
    </xf>
    <xf numFmtId="0" fontId="25" fillId="12" borderId="1" xfId="5" applyFont="1" applyFill="1" applyBorder="1" applyAlignment="1">
      <alignment horizontal="center" vertical="center"/>
    </xf>
    <xf numFmtId="0" fontId="25" fillId="12" borderId="15" xfId="5" applyFont="1" applyFill="1" applyBorder="1" applyAlignment="1">
      <alignment horizontal="center" vertical="center"/>
    </xf>
    <xf numFmtId="0" fontId="43" fillId="12" borderId="17" xfId="5" applyFont="1" applyFill="1" applyBorder="1" applyAlignment="1">
      <alignment horizontal="center" vertical="center"/>
    </xf>
    <xf numFmtId="0" fontId="28" fillId="12" borderId="16" xfId="3" applyFont="1" applyFill="1" applyBorder="1" applyAlignment="1">
      <alignment vertical="center"/>
    </xf>
    <xf numFmtId="0" fontId="28" fillId="12" borderId="14" xfId="3" applyFont="1" applyFill="1" applyBorder="1" applyAlignment="1">
      <alignment vertical="center"/>
    </xf>
    <xf numFmtId="49" fontId="28" fillId="12" borderId="14" xfId="4" applyNumberFormat="1" applyFont="1" applyFill="1" applyBorder="1" applyAlignment="1">
      <alignment vertical="center"/>
    </xf>
    <xf numFmtId="0" fontId="35" fillId="13" borderId="9" xfId="5" applyFont="1" applyFill="1" applyBorder="1" applyAlignment="1">
      <alignment vertical="center"/>
    </xf>
    <xf numFmtId="0" fontId="35" fillId="13" borderId="8" xfId="5" applyFont="1" applyFill="1" applyBorder="1" applyAlignment="1">
      <alignment vertical="center"/>
    </xf>
    <xf numFmtId="0" fontId="35" fillId="13" borderId="8" xfId="3" applyFont="1" applyFill="1" applyBorder="1" applyAlignment="1">
      <alignment vertical="center"/>
    </xf>
    <xf numFmtId="0" fontId="43" fillId="13" borderId="10" xfId="3" applyFont="1" applyFill="1" applyBorder="1" applyAlignment="1">
      <alignment horizontal="right" vertical="center"/>
    </xf>
    <xf numFmtId="181" fontId="29" fillId="13" borderId="20" xfId="3" applyNumberFormat="1" applyFont="1" applyFill="1" applyBorder="1" applyAlignment="1">
      <alignment horizontal="center" vertical="center" shrinkToFit="1"/>
    </xf>
    <xf numFmtId="182" fontId="29" fillId="13" borderId="20" xfId="3" applyNumberFormat="1" applyFont="1" applyFill="1" applyBorder="1" applyAlignment="1">
      <alignment horizontal="center" vertical="center" shrinkToFit="1"/>
    </xf>
    <xf numFmtId="166" fontId="29" fillId="13" borderId="21" xfId="3" applyNumberFormat="1" applyFont="1" applyFill="1" applyBorder="1" applyAlignment="1">
      <alignment horizontal="right" vertical="center" shrinkToFit="1"/>
    </xf>
    <xf numFmtId="10" fontId="28" fillId="12" borderId="14" xfId="4" applyNumberFormat="1" applyFont="1" applyFill="1" applyBorder="1" applyAlignment="1">
      <alignment horizontal="center" vertical="center"/>
    </xf>
    <xf numFmtId="10" fontId="28" fillId="12" borderId="15" xfId="4" applyNumberFormat="1" applyFont="1" applyFill="1" applyBorder="1" applyAlignment="1">
      <alignment vertical="center"/>
    </xf>
    <xf numFmtId="0" fontId="35" fillId="14" borderId="11" xfId="5" applyFont="1" applyFill="1" applyBorder="1" applyAlignment="1">
      <alignment vertical="center"/>
    </xf>
    <xf numFmtId="0" fontId="34" fillId="14" borderId="0" xfId="5" applyFont="1" applyFill="1" applyAlignment="1">
      <alignment vertical="center"/>
    </xf>
    <xf numFmtId="0" fontId="34" fillId="14" borderId="0" xfId="3" applyFont="1" applyFill="1" applyAlignment="1">
      <alignment vertical="center"/>
    </xf>
    <xf numFmtId="0" fontId="43" fillId="14" borderId="12" xfId="3" applyFont="1" applyFill="1" applyBorder="1" applyAlignment="1">
      <alignment horizontal="right" vertical="center"/>
    </xf>
    <xf numFmtId="181" fontId="45" fillId="14" borderId="24" xfId="3" applyNumberFormat="1" applyFont="1" applyFill="1" applyBorder="1" applyAlignment="1">
      <alignment horizontal="center" vertical="center" shrinkToFit="1"/>
    </xf>
    <xf numFmtId="182" fontId="45" fillId="14" borderId="24" xfId="3" applyNumberFormat="1" applyFont="1" applyFill="1" applyBorder="1" applyAlignment="1">
      <alignment horizontal="center" vertical="center" shrinkToFit="1"/>
    </xf>
    <xf numFmtId="166" fontId="45" fillId="14" borderId="21" xfId="3" applyNumberFormat="1" applyFont="1" applyFill="1" applyBorder="1" applyAlignment="1">
      <alignment horizontal="right" vertical="center" shrinkToFit="1"/>
    </xf>
    <xf numFmtId="0" fontId="34" fillId="14" borderId="9" xfId="5" applyFont="1" applyFill="1" applyBorder="1" applyAlignment="1">
      <alignment vertical="center"/>
    </xf>
    <xf numFmtId="0" fontId="34" fillId="14" borderId="8" xfId="5" applyFont="1" applyFill="1" applyBorder="1" applyAlignment="1">
      <alignment vertical="center"/>
    </xf>
    <xf numFmtId="0" fontId="34" fillId="14" borderId="8" xfId="3" applyFont="1" applyFill="1" applyBorder="1" applyAlignment="1">
      <alignment vertical="center"/>
    </xf>
    <xf numFmtId="49" fontId="28" fillId="14" borderId="8" xfId="6" applyNumberFormat="1" applyFont="1" applyFill="1" applyBorder="1" applyAlignment="1">
      <alignment horizontal="center" vertical="center"/>
    </xf>
    <xf numFmtId="49" fontId="42" fillId="14" borderId="12" xfId="3" applyNumberFormat="1" applyFont="1" applyFill="1" applyBorder="1" applyAlignment="1">
      <alignment vertical="center" shrinkToFit="1"/>
    </xf>
    <xf numFmtId="0" fontId="35" fillId="15" borderId="11" xfId="5" applyFont="1" applyFill="1" applyBorder="1" applyAlignment="1">
      <alignment vertical="center"/>
    </xf>
    <xf numFmtId="0" fontId="34" fillId="15" borderId="0" xfId="5" applyFont="1" applyFill="1" applyAlignment="1">
      <alignment vertical="center"/>
    </xf>
    <xf numFmtId="0" fontId="34" fillId="15" borderId="0" xfId="3" applyFont="1" applyFill="1" applyAlignment="1">
      <alignment vertical="center"/>
    </xf>
    <xf numFmtId="0" fontId="43" fillId="15" borderId="12" xfId="3" applyFont="1" applyFill="1" applyBorder="1" applyAlignment="1">
      <alignment horizontal="right" vertical="center"/>
    </xf>
    <xf numFmtId="181" fontId="45" fillId="15" borderId="24" xfId="3" applyNumberFormat="1" applyFont="1" applyFill="1" applyBorder="1" applyAlignment="1">
      <alignment horizontal="center" vertical="center" shrinkToFit="1"/>
    </xf>
    <xf numFmtId="182" fontId="45" fillId="15" borderId="24" xfId="3" applyNumberFormat="1" applyFont="1" applyFill="1" applyBorder="1" applyAlignment="1">
      <alignment horizontal="center" vertical="center" shrinkToFit="1"/>
    </xf>
    <xf numFmtId="182" fontId="45" fillId="15" borderId="24" xfId="3" applyNumberFormat="1" applyFont="1" applyFill="1" applyBorder="1" applyAlignment="1">
      <alignment horizontal="right" vertical="center" shrinkToFit="1"/>
    </xf>
    <xf numFmtId="0" fontId="34" fillId="15" borderId="11" xfId="5" applyFont="1" applyFill="1" applyBorder="1" applyAlignment="1">
      <alignment vertical="center"/>
    </xf>
    <xf numFmtId="49" fontId="34" fillId="15" borderId="0" xfId="6" applyNumberFormat="1" applyFont="1" applyFill="1" applyBorder="1" applyAlignment="1">
      <alignment horizontal="center" vertical="center"/>
    </xf>
    <xf numFmtId="49" fontId="28" fillId="15" borderId="0" xfId="6" applyNumberFormat="1" applyFont="1" applyFill="1" applyBorder="1" applyAlignment="1">
      <alignment horizontal="center" vertical="center"/>
    </xf>
    <xf numFmtId="49" fontId="32" fillId="15" borderId="12" xfId="3" applyNumberFormat="1" applyFont="1" applyFill="1" applyBorder="1" applyAlignment="1">
      <alignment vertical="center" shrinkToFit="1"/>
    </xf>
    <xf numFmtId="0" fontId="34" fillId="14" borderId="11" xfId="5" applyFont="1" applyFill="1" applyBorder="1" applyAlignment="1">
      <alignment vertical="center"/>
    </xf>
    <xf numFmtId="49" fontId="28" fillId="14" borderId="0" xfId="6" applyNumberFormat="1" applyFont="1" applyFill="1" applyBorder="1" applyAlignment="1">
      <alignment horizontal="center" vertical="center"/>
    </xf>
    <xf numFmtId="49" fontId="32" fillId="14" borderId="12" xfId="3" applyNumberFormat="1" applyFont="1" applyFill="1" applyBorder="1" applyAlignment="1">
      <alignment vertical="center" shrinkToFit="1"/>
    </xf>
    <xf numFmtId="0" fontId="35" fillId="16" borderId="11" xfId="5" applyFont="1" applyFill="1" applyBorder="1" applyAlignment="1">
      <alignment vertical="center"/>
    </xf>
    <xf numFmtId="0" fontId="35" fillId="16" borderId="0" xfId="5" applyFont="1" applyFill="1" applyAlignment="1">
      <alignment vertical="center"/>
    </xf>
    <xf numFmtId="0" fontId="35" fillId="16" borderId="0" xfId="3" applyFont="1" applyFill="1" applyAlignment="1">
      <alignment vertical="center"/>
    </xf>
    <xf numFmtId="0" fontId="43" fillId="16" borderId="12" xfId="3" applyFont="1" applyFill="1" applyBorder="1" applyAlignment="1">
      <alignment horizontal="right" vertical="center"/>
    </xf>
    <xf numFmtId="181" fontId="29" fillId="16" borderId="24" xfId="3" applyNumberFormat="1" applyFont="1" applyFill="1" applyBorder="1" applyAlignment="1">
      <alignment horizontal="center" vertical="center" shrinkToFit="1"/>
    </xf>
    <xf numFmtId="182" fontId="29" fillId="16" borderId="24" xfId="3" applyNumberFormat="1" applyFont="1" applyFill="1" applyBorder="1" applyAlignment="1">
      <alignment horizontal="center" vertical="center" shrinkToFit="1"/>
    </xf>
    <xf numFmtId="166" fontId="29" fillId="16" borderId="21" xfId="3" applyNumberFormat="1" applyFont="1" applyFill="1" applyBorder="1" applyAlignment="1">
      <alignment horizontal="right" vertical="center" shrinkToFit="1"/>
    </xf>
    <xf numFmtId="0" fontId="35" fillId="0" borderId="11" xfId="5" applyFont="1" applyBorder="1" applyAlignment="1">
      <alignment vertical="center"/>
    </xf>
    <xf numFmtId="0" fontId="34" fillId="0" borderId="0" xfId="5" applyFont="1" applyAlignment="1">
      <alignment vertical="center"/>
    </xf>
    <xf numFmtId="0" fontId="34" fillId="0" borderId="0" xfId="3" applyFont="1" applyAlignment="1">
      <alignment vertical="center"/>
    </xf>
    <xf numFmtId="0" fontId="43" fillId="0" borderId="12" xfId="3" applyFont="1" applyBorder="1" applyAlignment="1">
      <alignment horizontal="right" vertical="center"/>
    </xf>
    <xf numFmtId="181" fontId="45" fillId="0" borderId="24" xfId="3" applyNumberFormat="1" applyFont="1" applyBorder="1" applyAlignment="1">
      <alignment horizontal="center" vertical="center" shrinkToFit="1"/>
    </xf>
    <xf numFmtId="182" fontId="45" fillId="0" borderId="24" xfId="3" applyNumberFormat="1" applyFont="1" applyBorder="1" applyAlignment="1">
      <alignment horizontal="center" vertical="center" shrinkToFit="1"/>
    </xf>
    <xf numFmtId="166" fontId="45" fillId="0" borderId="21" xfId="3" applyNumberFormat="1" applyFont="1" applyBorder="1" applyAlignment="1">
      <alignment horizontal="right" vertical="center" shrinkToFit="1"/>
    </xf>
    <xf numFmtId="0" fontId="35" fillId="13" borderId="11" xfId="5" applyFont="1" applyFill="1" applyBorder="1" applyAlignment="1">
      <alignment vertical="center"/>
    </xf>
    <xf numFmtId="0" fontId="35" fillId="13" borderId="0" xfId="5" applyFont="1" applyFill="1" applyAlignment="1">
      <alignment vertical="center"/>
    </xf>
    <xf numFmtId="0" fontId="35" fillId="13" borderId="0" xfId="3" applyFont="1" applyFill="1" applyAlignment="1">
      <alignment vertical="center"/>
    </xf>
    <xf numFmtId="0" fontId="43" fillId="13" borderId="12" xfId="3" applyFont="1" applyFill="1" applyBorder="1" applyAlignment="1">
      <alignment horizontal="right" vertical="center"/>
    </xf>
    <xf numFmtId="181" fontId="29" fillId="13" borderId="24" xfId="3" applyNumberFormat="1" applyFont="1" applyFill="1" applyBorder="1" applyAlignment="1">
      <alignment horizontal="center" vertical="center" shrinkToFit="1"/>
    </xf>
    <xf numFmtId="182" fontId="29" fillId="13" borderId="24" xfId="3" applyNumberFormat="1" applyFont="1" applyFill="1" applyBorder="1" applyAlignment="1">
      <alignment horizontal="center" vertical="center" shrinkToFit="1"/>
    </xf>
    <xf numFmtId="166" fontId="45" fillId="15" borderId="21" xfId="5" applyNumberFormat="1" applyFont="1" applyFill="1" applyBorder="1" applyAlignment="1">
      <alignment horizontal="right" vertical="center" shrinkToFit="1"/>
    </xf>
    <xf numFmtId="180" fontId="32" fillId="0" borderId="0" xfId="3" applyNumberFormat="1" applyFont="1" applyAlignment="1">
      <alignment vertical="center"/>
    </xf>
    <xf numFmtId="49" fontId="46" fillId="14" borderId="0" xfId="6" applyNumberFormat="1" applyFont="1" applyFill="1" applyBorder="1" applyAlignment="1">
      <alignment horizontal="center" vertical="center"/>
    </xf>
    <xf numFmtId="49" fontId="46" fillId="15" borderId="0" xfId="6" applyNumberFormat="1" applyFont="1" applyFill="1" applyBorder="1" applyAlignment="1">
      <alignment horizontal="center" vertical="center"/>
    </xf>
    <xf numFmtId="4" fontId="32" fillId="0" borderId="0" xfId="3" applyNumberFormat="1" applyFont="1" applyAlignment="1">
      <alignment vertical="center"/>
    </xf>
    <xf numFmtId="49" fontId="34" fillId="15" borderId="0" xfId="6" applyNumberFormat="1" applyFont="1" applyFill="1" applyBorder="1" applyAlignment="1">
      <alignment horizontal="right" vertical="center"/>
    </xf>
    <xf numFmtId="0" fontId="34" fillId="0" borderId="11" xfId="3" applyFont="1" applyBorder="1" applyAlignment="1">
      <alignment vertical="center"/>
    </xf>
    <xf numFmtId="49" fontId="32" fillId="0" borderId="12" xfId="3" applyNumberFormat="1" applyFont="1" applyBorder="1" applyAlignment="1">
      <alignment vertical="center" shrinkToFit="1"/>
    </xf>
    <xf numFmtId="180" fontId="34" fillId="0" borderId="0" xfId="3" applyNumberFormat="1" applyFont="1" applyAlignment="1">
      <alignment vertical="center"/>
    </xf>
    <xf numFmtId="49" fontId="28" fillId="0" borderId="0" xfId="6" applyNumberFormat="1" applyFont="1" applyBorder="1" applyAlignment="1">
      <alignment vertical="center" wrapText="1"/>
    </xf>
    <xf numFmtId="49" fontId="28" fillId="0" borderId="12" xfId="6" applyNumberFormat="1" applyFont="1" applyBorder="1" applyAlignment="1">
      <alignment vertical="center" wrapText="1"/>
    </xf>
    <xf numFmtId="49" fontId="28" fillId="0" borderId="0" xfId="6" applyNumberFormat="1" applyFont="1" applyBorder="1" applyAlignment="1">
      <alignment horizontal="center" vertical="center"/>
    </xf>
    <xf numFmtId="49" fontId="34" fillId="0" borderId="0" xfId="6" applyNumberFormat="1" applyFont="1" applyBorder="1" applyAlignment="1">
      <alignment horizontal="right" vertical="center"/>
    </xf>
    <xf numFmtId="9" fontId="52" fillId="0" borderId="0" xfId="3" applyNumberFormat="1" applyFont="1" applyAlignment="1">
      <alignment vertical="center"/>
    </xf>
    <xf numFmtId="166" fontId="45" fillId="15" borderId="21" xfId="3" applyNumberFormat="1" applyFont="1" applyFill="1" applyBorder="1" applyAlignment="1">
      <alignment horizontal="right" vertical="center" shrinkToFit="1"/>
    </xf>
    <xf numFmtId="0" fontId="42" fillId="0" borderId="13" xfId="3" applyFont="1" applyBorder="1" applyAlignment="1">
      <alignment vertical="center"/>
    </xf>
    <xf numFmtId="0" fontId="34" fillId="0" borderId="1" xfId="3" applyFont="1" applyBorder="1" applyAlignment="1">
      <alignment vertical="center"/>
    </xf>
    <xf numFmtId="0" fontId="43" fillId="0" borderId="17" xfId="3" applyFont="1" applyBorder="1" applyAlignment="1">
      <alignment horizontal="right" vertical="center"/>
    </xf>
    <xf numFmtId="181" fontId="45" fillId="0" borderId="29" xfId="3" applyNumberFormat="1" applyFont="1" applyBorder="1" applyAlignment="1">
      <alignment horizontal="center" vertical="center" shrinkToFit="1"/>
    </xf>
    <xf numFmtId="182" fontId="45" fillId="0" borderId="29" xfId="3" applyNumberFormat="1" applyFont="1" applyBorder="1" applyAlignment="1">
      <alignment horizontal="center" vertical="center" shrinkToFit="1"/>
    </xf>
    <xf numFmtId="0" fontId="44" fillId="0" borderId="13" xfId="3" applyFont="1" applyBorder="1" applyAlignment="1">
      <alignment vertical="center"/>
    </xf>
    <xf numFmtId="49" fontId="28" fillId="0" borderId="1" xfId="6" applyNumberFormat="1" applyFont="1" applyBorder="1" applyAlignment="1">
      <alignment horizontal="center" vertical="center"/>
    </xf>
    <xf numFmtId="49" fontId="32" fillId="0" borderId="17" xfId="3" applyNumberFormat="1" applyFont="1" applyBorder="1" applyAlignment="1">
      <alignment vertical="center" shrinkToFit="1"/>
    </xf>
    <xf numFmtId="0" fontId="45" fillId="0" borderId="0" xfId="3" applyFont="1" applyAlignment="1">
      <alignment vertical="center"/>
    </xf>
    <xf numFmtId="180" fontId="25" fillId="0" borderId="0" xfId="3" applyNumberFormat="1" applyAlignment="1">
      <alignment vertical="center"/>
    </xf>
    <xf numFmtId="166" fontId="45" fillId="0" borderId="30" xfId="3" applyNumberFormat="1" applyFont="1" applyBorder="1" applyAlignment="1">
      <alignment horizontal="right" vertical="center" shrinkToFit="1"/>
    </xf>
    <xf numFmtId="0" fontId="6" fillId="7" borderId="4" xfId="0" applyFont="1" applyFill="1" applyBorder="1" applyAlignment="1" applyProtection="1">
      <alignment horizontal="center"/>
      <protection hidden="1"/>
    </xf>
    <xf numFmtId="0" fontId="6" fillId="7" borderId="0" xfId="0" applyFont="1" applyFill="1" applyAlignment="1" applyProtection="1">
      <alignment horizontal="center"/>
      <protection hidden="1"/>
    </xf>
    <xf numFmtId="175" fontId="45" fillId="0" borderId="0" xfId="3" applyNumberFormat="1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9" fontId="45" fillId="0" borderId="0" xfId="8" applyFont="1" applyAlignment="1">
      <alignment horizontal="center" vertical="center"/>
    </xf>
    <xf numFmtId="180" fontId="34" fillId="0" borderId="0" xfId="3" applyNumberFormat="1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180" fontId="44" fillId="0" borderId="27" xfId="6" applyNumberFormat="1" applyFont="1" applyFill="1" applyBorder="1" applyAlignment="1">
      <alignment horizontal="center" vertical="center"/>
    </xf>
    <xf numFmtId="180" fontId="44" fillId="0" borderId="28" xfId="6" applyNumberFormat="1" applyFont="1" applyFill="1" applyBorder="1" applyAlignment="1">
      <alignment horizontal="center" vertical="center"/>
    </xf>
    <xf numFmtId="180" fontId="44" fillId="0" borderId="13" xfId="6" applyNumberFormat="1" applyFont="1" applyFill="1" applyBorder="1" applyAlignment="1">
      <alignment horizontal="center" vertical="center"/>
    </xf>
    <xf numFmtId="180" fontId="44" fillId="0" borderId="1" xfId="6" applyNumberFormat="1" applyFont="1" applyFill="1" applyBorder="1" applyAlignment="1">
      <alignment horizontal="center" vertical="center"/>
    </xf>
    <xf numFmtId="180" fontId="34" fillId="0" borderId="13" xfId="6" applyNumberFormat="1" applyFont="1" applyFill="1" applyBorder="1" applyAlignment="1">
      <alignment horizontal="center" vertical="center"/>
    </xf>
    <xf numFmtId="180" fontId="34" fillId="0" borderId="17" xfId="6" applyNumberFormat="1" applyFont="1" applyFill="1" applyBorder="1" applyAlignment="1">
      <alignment horizontal="center" vertical="center"/>
    </xf>
    <xf numFmtId="186" fontId="34" fillId="0" borderId="1" xfId="3" applyNumberFormat="1" applyFont="1" applyBorder="1" applyAlignment="1">
      <alignment horizontal="center" vertical="center"/>
    </xf>
    <xf numFmtId="180" fontId="30" fillId="16" borderId="25" xfId="6" applyNumberFormat="1" applyFont="1" applyFill="1" applyBorder="1" applyAlignment="1">
      <alignment horizontal="center" vertical="center"/>
    </xf>
    <xf numFmtId="180" fontId="30" fillId="16" borderId="26" xfId="6" applyNumberFormat="1" applyFont="1" applyFill="1" applyBorder="1" applyAlignment="1">
      <alignment horizontal="center" vertical="center"/>
    </xf>
    <xf numFmtId="180" fontId="30" fillId="16" borderId="11" xfId="6" applyNumberFormat="1" applyFont="1" applyFill="1" applyBorder="1" applyAlignment="1">
      <alignment horizontal="center" vertical="center"/>
    </xf>
    <xf numFmtId="180" fontId="30" fillId="16" borderId="0" xfId="6" applyNumberFormat="1" applyFont="1" applyFill="1" applyBorder="1" applyAlignment="1">
      <alignment horizontal="center" vertical="center"/>
    </xf>
    <xf numFmtId="180" fontId="35" fillId="16" borderId="11" xfId="6" applyNumberFormat="1" applyFont="1" applyFill="1" applyBorder="1" applyAlignment="1">
      <alignment horizontal="center" vertical="center"/>
    </xf>
    <xf numFmtId="180" fontId="35" fillId="16" borderId="12" xfId="6" applyNumberFormat="1" applyFont="1" applyFill="1" applyBorder="1" applyAlignment="1">
      <alignment horizontal="center" vertical="center"/>
    </xf>
    <xf numFmtId="0" fontId="25" fillId="0" borderId="11" xfId="3" applyBorder="1" applyAlignment="1">
      <alignment horizontal="center" vertical="center"/>
    </xf>
    <xf numFmtId="0" fontId="25" fillId="0" borderId="0" xfId="3" applyAlignment="1">
      <alignment horizontal="center" vertical="center"/>
    </xf>
    <xf numFmtId="0" fontId="34" fillId="0" borderId="1" xfId="3" applyFont="1" applyBorder="1" applyAlignment="1">
      <alignment horizontal="center" vertical="center"/>
    </xf>
    <xf numFmtId="180" fontId="25" fillId="0" borderId="8" xfId="3" applyNumberFormat="1" applyBorder="1" applyAlignment="1">
      <alignment horizontal="center" vertical="center"/>
    </xf>
    <xf numFmtId="0" fontId="25" fillId="0" borderId="8" xfId="3" applyBorder="1" applyAlignment="1">
      <alignment horizontal="center" vertical="center"/>
    </xf>
    <xf numFmtId="180" fontId="25" fillId="0" borderId="11" xfId="3" applyNumberFormat="1" applyBorder="1" applyAlignment="1">
      <alignment horizontal="center" vertical="center"/>
    </xf>
    <xf numFmtId="180" fontId="25" fillId="0" borderId="0" xfId="3" applyNumberFormat="1" applyAlignment="1">
      <alignment horizontal="center" vertical="center"/>
    </xf>
    <xf numFmtId="180" fontId="34" fillId="0" borderId="12" xfId="3" applyNumberFormat="1" applyFont="1" applyBorder="1" applyAlignment="1">
      <alignment horizontal="center" vertical="center"/>
    </xf>
    <xf numFmtId="180" fontId="44" fillId="14" borderId="25" xfId="6" applyNumberFormat="1" applyFont="1" applyFill="1" applyBorder="1" applyAlignment="1">
      <alignment horizontal="center" vertical="center"/>
    </xf>
    <xf numFmtId="180" fontId="44" fillId="14" borderId="26" xfId="6" applyNumberFormat="1" applyFont="1" applyFill="1" applyBorder="1" applyAlignment="1">
      <alignment horizontal="center" vertical="center"/>
    </xf>
    <xf numFmtId="180" fontId="44" fillId="14" borderId="11" xfId="6" applyNumberFormat="1" applyFont="1" applyFill="1" applyBorder="1" applyAlignment="1">
      <alignment horizontal="center" vertical="center"/>
    </xf>
    <xf numFmtId="180" fontId="44" fillId="14" borderId="0" xfId="6" applyNumberFormat="1" applyFont="1" applyFill="1" applyBorder="1" applyAlignment="1">
      <alignment horizontal="center" vertical="center"/>
    </xf>
    <xf numFmtId="180" fontId="34" fillId="14" borderId="11" xfId="6" applyNumberFormat="1" applyFont="1" applyFill="1" applyBorder="1" applyAlignment="1">
      <alignment horizontal="center" vertical="center"/>
    </xf>
    <xf numFmtId="180" fontId="34" fillId="14" borderId="12" xfId="6" applyNumberFormat="1" applyFont="1" applyFill="1" applyBorder="1" applyAlignment="1">
      <alignment horizontal="center" vertical="center"/>
    </xf>
    <xf numFmtId="180" fontId="30" fillId="13" borderId="25" xfId="6" applyNumberFormat="1" applyFont="1" applyFill="1" applyBorder="1" applyAlignment="1">
      <alignment horizontal="center" vertical="center"/>
    </xf>
    <xf numFmtId="180" fontId="30" fillId="13" borderId="26" xfId="6" applyNumberFormat="1" applyFont="1" applyFill="1" applyBorder="1" applyAlignment="1">
      <alignment horizontal="center" vertical="center"/>
    </xf>
    <xf numFmtId="180" fontId="30" fillId="13" borderId="11" xfId="6" applyNumberFormat="1" applyFont="1" applyFill="1" applyBorder="1" applyAlignment="1">
      <alignment horizontal="center" vertical="center"/>
    </xf>
    <xf numFmtId="180" fontId="30" fillId="13" borderId="0" xfId="6" applyNumberFormat="1" applyFont="1" applyFill="1" applyBorder="1" applyAlignment="1">
      <alignment horizontal="center" vertical="center"/>
    </xf>
    <xf numFmtId="180" fontId="35" fillId="13" borderId="11" xfId="6" applyNumberFormat="1" applyFont="1" applyFill="1" applyBorder="1" applyAlignment="1">
      <alignment horizontal="center" vertical="center"/>
    </xf>
    <xf numFmtId="180" fontId="35" fillId="13" borderId="12" xfId="6" applyNumberFormat="1" applyFont="1" applyFill="1" applyBorder="1" applyAlignment="1">
      <alignment horizontal="center" vertical="center"/>
    </xf>
    <xf numFmtId="180" fontId="34" fillId="0" borderId="0" xfId="3" applyNumberFormat="1" applyFont="1" applyAlignment="1">
      <alignment horizontal="center" vertical="center" wrapText="1"/>
    </xf>
    <xf numFmtId="180" fontId="34" fillId="0" borderId="12" xfId="3" applyNumberFormat="1" applyFont="1" applyBorder="1" applyAlignment="1">
      <alignment horizontal="center" vertical="center" wrapText="1"/>
    </xf>
    <xf numFmtId="180" fontId="44" fillId="15" borderId="25" xfId="6" applyNumberFormat="1" applyFont="1" applyFill="1" applyBorder="1" applyAlignment="1">
      <alignment horizontal="center" vertical="center"/>
    </xf>
    <xf numFmtId="180" fontId="44" fillId="15" borderId="26" xfId="6" applyNumberFormat="1" applyFont="1" applyFill="1" applyBorder="1" applyAlignment="1">
      <alignment horizontal="center" vertical="center"/>
    </xf>
    <xf numFmtId="180" fontId="34" fillId="15" borderId="11" xfId="6" applyNumberFormat="1" applyFont="1" applyFill="1" applyBorder="1" applyAlignment="1">
      <alignment horizontal="center" vertical="center"/>
    </xf>
    <xf numFmtId="180" fontId="34" fillId="15" borderId="12" xfId="6" applyNumberFormat="1" applyFont="1" applyFill="1" applyBorder="1" applyAlignment="1">
      <alignment horizontal="center" vertical="center"/>
    </xf>
    <xf numFmtId="180" fontId="44" fillId="0" borderId="25" xfId="6" applyNumberFormat="1" applyFont="1" applyFill="1" applyBorder="1" applyAlignment="1">
      <alignment horizontal="center" vertical="center"/>
    </xf>
    <xf numFmtId="180" fontId="44" fillId="0" borderId="26" xfId="6" applyNumberFormat="1" applyFont="1" applyFill="1" applyBorder="1" applyAlignment="1">
      <alignment horizontal="center" vertical="center"/>
    </xf>
    <xf numFmtId="180" fontId="44" fillId="0" borderId="11" xfId="6" applyNumberFormat="1" applyFont="1" applyFill="1" applyBorder="1" applyAlignment="1">
      <alignment horizontal="center" vertical="center"/>
    </xf>
    <xf numFmtId="180" fontId="44" fillId="0" borderId="0" xfId="6" applyNumberFormat="1" applyFont="1" applyFill="1" applyBorder="1" applyAlignment="1">
      <alignment horizontal="center" vertical="center"/>
    </xf>
    <xf numFmtId="180" fontId="34" fillId="0" borderId="11" xfId="6" applyNumberFormat="1" applyFont="1" applyFill="1" applyBorder="1" applyAlignment="1">
      <alignment horizontal="center" vertical="center"/>
    </xf>
    <xf numFmtId="180" fontId="34" fillId="0" borderId="12" xfId="6" applyNumberFormat="1" applyFont="1" applyFill="1" applyBorder="1" applyAlignment="1">
      <alignment horizontal="center" vertical="center"/>
    </xf>
    <xf numFmtId="175" fontId="51" fillId="0" borderId="0" xfId="7" applyFont="1" applyAlignment="1">
      <alignment horizontal="center" vertical="center"/>
    </xf>
    <xf numFmtId="0" fontId="45" fillId="0" borderId="11" xfId="3" applyFont="1" applyBorder="1" applyAlignment="1">
      <alignment horizontal="center" vertical="center"/>
    </xf>
    <xf numFmtId="3" fontId="50" fillId="14" borderId="8" xfId="6" applyNumberFormat="1" applyFont="1" applyFill="1" applyBorder="1" applyAlignment="1">
      <alignment horizontal="center" vertical="center"/>
    </xf>
    <xf numFmtId="3" fontId="50" fillId="14" borderId="10" xfId="6" applyNumberFormat="1" applyFont="1" applyFill="1" applyBorder="1" applyAlignment="1">
      <alignment horizontal="center" vertical="center"/>
    </xf>
    <xf numFmtId="185" fontId="34" fillId="0" borderId="13" xfId="3" applyNumberFormat="1" applyFont="1" applyBorder="1" applyAlignment="1">
      <alignment horizontal="center" vertical="center"/>
    </xf>
    <xf numFmtId="185" fontId="34" fillId="0" borderId="1" xfId="3" applyNumberFormat="1" applyFont="1" applyBorder="1" applyAlignment="1">
      <alignment horizontal="center" vertical="center"/>
    </xf>
    <xf numFmtId="9" fontId="49" fillId="0" borderId="1" xfId="8" applyFont="1" applyBorder="1" applyAlignment="1">
      <alignment horizontal="center" vertical="center"/>
    </xf>
    <xf numFmtId="3" fontId="34" fillId="14" borderId="1" xfId="6" applyNumberFormat="1" applyFont="1" applyFill="1" applyBorder="1" applyAlignment="1">
      <alignment horizontal="center" vertical="center"/>
    </xf>
    <xf numFmtId="3" fontId="34" fillId="14" borderId="17" xfId="6" applyNumberFormat="1" applyFont="1" applyFill="1" applyBorder="1" applyAlignment="1">
      <alignment horizontal="center" vertical="center"/>
    </xf>
    <xf numFmtId="185" fontId="34" fillId="0" borderId="9" xfId="3" applyNumberFormat="1" applyFont="1" applyBorder="1" applyAlignment="1">
      <alignment horizontal="center" vertical="center"/>
    </xf>
    <xf numFmtId="185" fontId="34" fillId="0" borderId="8" xfId="3" applyNumberFormat="1" applyFont="1" applyBorder="1" applyAlignment="1">
      <alignment horizontal="center" vertical="center"/>
    </xf>
    <xf numFmtId="10" fontId="49" fillId="0" borderId="8" xfId="8" applyNumberFormat="1" applyFont="1" applyBorder="1" applyAlignment="1">
      <alignment horizontal="center" vertical="center"/>
    </xf>
    <xf numFmtId="3" fontId="34" fillId="14" borderId="0" xfId="6" applyNumberFormat="1" applyFont="1" applyFill="1" applyBorder="1" applyAlignment="1">
      <alignment horizontal="center" vertical="center"/>
    </xf>
    <xf numFmtId="185" fontId="34" fillId="0" borderId="11" xfId="3" applyNumberFormat="1" applyFont="1" applyBorder="1" applyAlignment="1">
      <alignment horizontal="center" vertical="center"/>
    </xf>
    <xf numFmtId="185" fontId="34" fillId="0" borderId="0" xfId="3" applyNumberFormat="1" applyFont="1" applyAlignment="1">
      <alignment horizontal="center" vertical="center"/>
    </xf>
    <xf numFmtId="10" fontId="49" fillId="0" borderId="0" xfId="8" applyNumberFormat="1" applyFont="1" applyAlignment="1">
      <alignment horizontal="center" vertical="center"/>
    </xf>
    <xf numFmtId="9" fontId="49" fillId="0" borderId="0" xfId="8" applyFont="1" applyBorder="1" applyAlignment="1">
      <alignment horizontal="center" vertical="center"/>
    </xf>
    <xf numFmtId="3" fontId="50" fillId="14" borderId="0" xfId="6" applyNumberFormat="1" applyFont="1" applyFill="1" applyBorder="1" applyAlignment="1">
      <alignment horizontal="center" vertical="center"/>
    </xf>
    <xf numFmtId="0" fontId="47" fillId="0" borderId="11" xfId="3" applyFont="1" applyBorder="1" applyAlignment="1">
      <alignment horizontal="center" vertical="center"/>
    </xf>
    <xf numFmtId="0" fontId="47" fillId="0" borderId="0" xfId="3" applyFont="1" applyAlignment="1">
      <alignment horizontal="center" vertical="center"/>
    </xf>
    <xf numFmtId="180" fontId="48" fillId="0" borderId="0" xfId="3" applyNumberFormat="1" applyFont="1" applyAlignment="1">
      <alignment horizontal="center" vertical="center"/>
    </xf>
    <xf numFmtId="184" fontId="42" fillId="0" borderId="11" xfId="3" applyNumberFormat="1" applyFont="1" applyBorder="1" applyAlignment="1">
      <alignment horizontal="center" vertical="center"/>
    </xf>
    <xf numFmtId="184" fontId="42" fillId="0" borderId="0" xfId="3" applyNumberFormat="1" applyFont="1" applyAlignment="1">
      <alignment horizontal="center" vertical="center"/>
    </xf>
    <xf numFmtId="180" fontId="36" fillId="0" borderId="0" xfId="3" applyNumberFormat="1" applyFont="1" applyAlignment="1">
      <alignment horizontal="center" vertical="center"/>
    </xf>
    <xf numFmtId="0" fontId="34" fillId="0" borderId="11" xfId="3" applyFont="1" applyBorder="1" applyAlignment="1">
      <alignment horizontal="center" vertical="center"/>
    </xf>
    <xf numFmtId="10" fontId="35" fillId="14" borderId="0" xfId="6" applyNumberFormat="1" applyFont="1" applyFill="1" applyBorder="1" applyAlignment="1">
      <alignment horizontal="center" vertical="center"/>
    </xf>
    <xf numFmtId="180" fontId="44" fillId="15" borderId="11" xfId="6" applyNumberFormat="1" applyFont="1" applyFill="1" applyBorder="1" applyAlignment="1">
      <alignment horizontal="center" vertical="center"/>
    </xf>
    <xf numFmtId="180" fontId="44" fillId="15" borderId="0" xfId="6" applyNumberFormat="1" applyFont="1" applyFill="1" applyBorder="1" applyAlignment="1">
      <alignment horizontal="center" vertical="center"/>
    </xf>
    <xf numFmtId="166" fontId="42" fillId="0" borderId="0" xfId="6" applyNumberFormat="1" applyFont="1" applyBorder="1" applyAlignment="1">
      <alignment horizontal="center" vertical="center"/>
    </xf>
    <xf numFmtId="10" fontId="35" fillId="15" borderId="0" xfId="6" applyNumberFormat="1" applyFont="1" applyFill="1" applyBorder="1" applyAlignment="1">
      <alignment horizontal="center" vertical="center"/>
    </xf>
    <xf numFmtId="183" fontId="34" fillId="15" borderId="11" xfId="5" applyNumberFormat="1" applyFont="1" applyFill="1" applyBorder="1" applyAlignment="1">
      <alignment horizontal="left" vertical="center"/>
    </xf>
    <xf numFmtId="183" fontId="34" fillId="15" borderId="0" xfId="5" applyNumberFormat="1" applyFont="1" applyFill="1" applyAlignment="1">
      <alignment horizontal="left" vertical="center"/>
    </xf>
    <xf numFmtId="3" fontId="34" fillId="15" borderId="0" xfId="6" applyNumberFormat="1" applyFont="1" applyFill="1" applyBorder="1" applyAlignment="1">
      <alignment horizontal="center" vertical="center"/>
    </xf>
    <xf numFmtId="0" fontId="35" fillId="16" borderId="11" xfId="3" applyFont="1" applyFill="1" applyBorder="1" applyAlignment="1">
      <alignment horizontal="center" vertical="center"/>
    </xf>
    <xf numFmtId="0" fontId="35" fillId="16" borderId="0" xfId="3" applyFont="1" applyFill="1" applyAlignment="1">
      <alignment horizontal="center" vertical="center"/>
    </xf>
    <xf numFmtId="0" fontId="35" fillId="16" borderId="12" xfId="3" applyFont="1" applyFill="1" applyBorder="1" applyAlignment="1">
      <alignment horizontal="center" vertical="center"/>
    </xf>
    <xf numFmtId="10" fontId="35" fillId="14" borderId="0" xfId="4" applyNumberFormat="1" applyFont="1" applyFill="1" applyBorder="1" applyAlignment="1">
      <alignment horizontal="center" vertical="center"/>
    </xf>
    <xf numFmtId="180" fontId="44" fillId="14" borderId="22" xfId="6" applyNumberFormat="1" applyFont="1" applyFill="1" applyBorder="1" applyAlignment="1">
      <alignment horizontal="center" vertical="center"/>
    </xf>
    <xf numFmtId="180" fontId="44" fillId="14" borderId="23" xfId="6" applyNumberFormat="1" applyFont="1" applyFill="1" applyBorder="1" applyAlignment="1">
      <alignment horizontal="center" vertical="center"/>
    </xf>
    <xf numFmtId="10" fontId="35" fillId="15" borderId="0" xfId="4" applyNumberFormat="1" applyFont="1" applyFill="1" applyBorder="1" applyAlignment="1">
      <alignment horizontal="center" vertical="center"/>
    </xf>
    <xf numFmtId="180" fontId="30" fillId="13" borderId="22" xfId="6" applyNumberFormat="1" applyFont="1" applyFill="1" applyBorder="1" applyAlignment="1">
      <alignment horizontal="center" vertical="center"/>
    </xf>
    <xf numFmtId="180" fontId="30" fillId="13" borderId="23" xfId="6" applyNumberFormat="1" applyFont="1" applyFill="1" applyBorder="1" applyAlignment="1">
      <alignment horizontal="center" vertical="center"/>
    </xf>
    <xf numFmtId="3" fontId="35" fillId="14" borderId="0" xfId="6" applyNumberFormat="1" applyFont="1" applyFill="1" applyBorder="1" applyAlignment="1">
      <alignment horizontal="center" vertical="center"/>
    </xf>
    <xf numFmtId="3" fontId="35" fillId="15" borderId="0" xfId="6" applyNumberFormat="1" applyFont="1" applyFill="1" applyBorder="1" applyAlignment="1">
      <alignment horizontal="center" vertical="center"/>
    </xf>
    <xf numFmtId="180" fontId="35" fillId="15" borderId="0" xfId="3" applyNumberFormat="1" applyFont="1" applyFill="1" applyAlignment="1">
      <alignment horizontal="center" vertical="center"/>
    </xf>
    <xf numFmtId="180" fontId="44" fillId="0" borderId="22" xfId="6" applyNumberFormat="1" applyFont="1" applyFill="1" applyBorder="1" applyAlignment="1">
      <alignment horizontal="center" vertical="center"/>
    </xf>
    <xf numFmtId="180" fontId="44" fillId="0" borderId="23" xfId="6" applyNumberFormat="1" applyFont="1" applyFill="1" applyBorder="1" applyAlignment="1">
      <alignment horizontal="center" vertical="center"/>
    </xf>
    <xf numFmtId="180" fontId="30" fillId="16" borderId="22" xfId="6" applyNumberFormat="1" applyFont="1" applyFill="1" applyBorder="1" applyAlignment="1">
      <alignment horizontal="center" vertical="center"/>
    </xf>
    <xf numFmtId="180" fontId="30" fillId="16" borderId="23" xfId="6" applyNumberFormat="1" applyFont="1" applyFill="1" applyBorder="1" applyAlignment="1">
      <alignment horizontal="center" vertical="center"/>
    </xf>
    <xf numFmtId="3" fontId="34" fillId="15" borderId="0" xfId="3" applyNumberFormat="1" applyFont="1" applyFill="1" applyAlignment="1">
      <alignment horizontal="center" vertical="center"/>
    </xf>
    <xf numFmtId="3" fontId="34" fillId="14" borderId="8" xfId="6" applyNumberFormat="1" applyFont="1" applyFill="1" applyBorder="1" applyAlignment="1">
      <alignment horizontal="center" vertical="center"/>
    </xf>
    <xf numFmtId="180" fontId="44" fillId="15" borderId="22" xfId="6" applyNumberFormat="1" applyFont="1" applyFill="1" applyBorder="1" applyAlignment="1">
      <alignment horizontal="center" vertical="center"/>
    </xf>
    <xf numFmtId="180" fontId="44" fillId="15" borderId="23" xfId="6" applyNumberFormat="1" applyFont="1" applyFill="1" applyBorder="1" applyAlignment="1">
      <alignment horizontal="center" vertical="center"/>
    </xf>
    <xf numFmtId="180" fontId="35" fillId="13" borderId="9" xfId="6" applyNumberFormat="1" applyFont="1" applyFill="1" applyBorder="1" applyAlignment="1">
      <alignment horizontal="center" vertical="center"/>
    </xf>
    <xf numFmtId="180" fontId="35" fillId="13" borderId="10" xfId="6" applyNumberFormat="1" applyFont="1" applyFill="1" applyBorder="1" applyAlignment="1">
      <alignment horizontal="center" vertical="center"/>
    </xf>
    <xf numFmtId="0" fontId="28" fillId="12" borderId="16" xfId="5" applyFont="1" applyFill="1" applyBorder="1" applyAlignment="1">
      <alignment horizontal="left" vertical="center"/>
    </xf>
    <xf numFmtId="0" fontId="28" fillId="12" borderId="14" xfId="5" applyFont="1" applyFill="1" applyBorder="1" applyAlignment="1">
      <alignment horizontal="left" vertical="center"/>
    </xf>
    <xf numFmtId="10" fontId="28" fillId="12" borderId="14" xfId="4" applyNumberFormat="1" applyFont="1" applyFill="1" applyBorder="1" applyAlignment="1">
      <alignment horizontal="center" vertical="center"/>
    </xf>
    <xf numFmtId="180" fontId="30" fillId="13" borderId="9" xfId="6" applyNumberFormat="1" applyFont="1" applyFill="1" applyBorder="1" applyAlignment="1">
      <alignment horizontal="center" vertical="center"/>
    </xf>
    <xf numFmtId="180" fontId="30" fillId="13" borderId="18" xfId="6" applyNumberFormat="1" applyFont="1" applyFill="1" applyBorder="1" applyAlignment="1">
      <alignment horizontal="center" vertical="center"/>
    </xf>
    <xf numFmtId="180" fontId="30" fillId="13" borderId="19" xfId="6" applyNumberFormat="1" applyFont="1" applyFill="1" applyBorder="1" applyAlignment="1">
      <alignment horizontal="center" vertical="center"/>
    </xf>
    <xf numFmtId="0" fontId="33" fillId="3" borderId="16" xfId="3" applyFont="1" applyFill="1" applyBorder="1" applyAlignment="1">
      <alignment horizontal="center" vertical="center"/>
    </xf>
    <xf numFmtId="0" fontId="33" fillId="3" borderId="14" xfId="3" applyFont="1" applyFill="1" applyBorder="1" applyAlignment="1">
      <alignment horizontal="center" vertical="center"/>
    </xf>
    <xf numFmtId="0" fontId="33" fillId="3" borderId="15" xfId="3" applyFont="1" applyFill="1" applyBorder="1" applyAlignment="1">
      <alignment horizontal="center" vertical="center"/>
    </xf>
    <xf numFmtId="0" fontId="28" fillId="12" borderId="16" xfId="5" applyFont="1" applyFill="1" applyBorder="1" applyAlignment="1">
      <alignment horizontal="center" vertical="center"/>
    </xf>
    <xf numFmtId="0" fontId="28" fillId="12" borderId="14" xfId="5" applyFont="1" applyFill="1" applyBorder="1" applyAlignment="1">
      <alignment horizontal="center" vertical="center"/>
    </xf>
    <xf numFmtId="0" fontId="28" fillId="12" borderId="15" xfId="5" applyFont="1" applyFill="1" applyBorder="1" applyAlignment="1">
      <alignment horizontal="center" vertical="center"/>
    </xf>
    <xf numFmtId="178" fontId="28" fillId="12" borderId="16" xfId="5" applyNumberFormat="1" applyFont="1" applyFill="1" applyBorder="1" applyAlignment="1">
      <alignment horizontal="center" vertical="center"/>
    </xf>
    <xf numFmtId="178" fontId="28" fillId="12" borderId="15" xfId="5" applyNumberFormat="1" applyFont="1" applyFill="1" applyBorder="1" applyAlignment="1">
      <alignment horizontal="center" vertical="center"/>
    </xf>
    <xf numFmtId="179" fontId="28" fillId="12" borderId="14" xfId="3" applyNumberFormat="1" applyFont="1" applyFill="1" applyBorder="1" applyAlignment="1">
      <alignment horizontal="center" vertical="center"/>
    </xf>
    <xf numFmtId="49" fontId="28" fillId="12" borderId="14" xfId="4" applyNumberFormat="1" applyFont="1" applyFill="1" applyBorder="1" applyAlignment="1">
      <alignment horizontal="center" vertical="center"/>
    </xf>
    <xf numFmtId="49" fontId="28" fillId="12" borderId="15" xfId="4" applyNumberFormat="1" applyFont="1" applyFill="1" applyBorder="1" applyAlignment="1">
      <alignment horizontal="center" vertical="center"/>
    </xf>
    <xf numFmtId="177" fontId="37" fillId="0" borderId="14" xfId="3" applyNumberFormat="1" applyFont="1" applyBorder="1" applyAlignment="1">
      <alignment horizontal="left" vertical="center"/>
    </xf>
    <xf numFmtId="10" fontId="38" fillId="0" borderId="14" xfId="1" applyNumberFormat="1" applyFont="1" applyBorder="1" applyAlignment="1">
      <alignment horizontal="center" vertical="center"/>
    </xf>
    <xf numFmtId="0" fontId="33" fillId="3" borderId="16" xfId="5" applyFont="1" applyFill="1" applyBorder="1" applyAlignment="1">
      <alignment horizontal="center" vertical="center"/>
    </xf>
    <xf numFmtId="0" fontId="33" fillId="3" borderId="14" xfId="5" applyFont="1" applyFill="1" applyBorder="1" applyAlignment="1">
      <alignment horizontal="center" vertical="center"/>
    </xf>
    <xf numFmtId="0" fontId="25" fillId="0" borderId="0" xfId="6" applyNumberFormat="1" applyFont="1" applyBorder="1" applyAlignment="1">
      <alignment horizontal="center" vertical="center" shrinkToFit="1"/>
    </xf>
    <xf numFmtId="3" fontId="35" fillId="0" borderId="0" xfId="6" applyNumberFormat="1" applyFont="1" applyBorder="1" applyAlignment="1">
      <alignment horizontal="center" vertical="center" shrinkToFit="1"/>
    </xf>
    <xf numFmtId="0" fontId="25" fillId="0" borderId="0" xfId="3" applyAlignment="1">
      <alignment horizontal="center" vertical="center" shrinkToFit="1"/>
    </xf>
    <xf numFmtId="0" fontId="25" fillId="0" borderId="12" xfId="3" applyBorder="1" applyAlignment="1">
      <alignment horizontal="center" vertical="center" shrinkToFit="1"/>
    </xf>
    <xf numFmtId="0" fontId="25" fillId="0" borderId="0" xfId="5" applyFont="1" applyAlignment="1">
      <alignment horizontal="center" vertical="center" shrinkToFit="1"/>
    </xf>
    <xf numFmtId="0" fontId="34" fillId="0" borderId="8" xfId="4" applyNumberFormat="1" applyFont="1" applyBorder="1" applyAlignment="1">
      <alignment horizontal="center" vertical="center" shrinkToFit="1"/>
    </xf>
    <xf numFmtId="0" fontId="34" fillId="0" borderId="0" xfId="4" applyNumberFormat="1" applyFont="1" applyBorder="1" applyAlignment="1">
      <alignment horizontal="center" vertical="center" shrinkToFit="1"/>
    </xf>
    <xf numFmtId="0" fontId="34" fillId="0" borderId="1" xfId="4" applyNumberFormat="1" applyFont="1" applyBorder="1" applyAlignment="1">
      <alignment horizontal="center" vertical="center" shrinkToFit="1"/>
    </xf>
    <xf numFmtId="176" fontId="34" fillId="11" borderId="11" xfId="3" applyNumberFormat="1" applyFont="1" applyFill="1" applyBorder="1" applyAlignment="1">
      <alignment horizontal="center" vertical="center" shrinkToFit="1"/>
    </xf>
    <xf numFmtId="176" fontId="34" fillId="11" borderId="0" xfId="3" applyNumberFormat="1" applyFont="1" applyFill="1" applyAlignment="1">
      <alignment horizontal="center" vertical="center" shrinkToFit="1"/>
    </xf>
    <xf numFmtId="176" fontId="34" fillId="11" borderId="12" xfId="3" applyNumberFormat="1" applyFont="1" applyFill="1" applyBorder="1" applyAlignment="1">
      <alignment horizontal="center" vertical="center" shrinkToFit="1"/>
    </xf>
    <xf numFmtId="3" fontId="35" fillId="0" borderId="0" xfId="4" applyNumberFormat="1" applyFont="1" applyBorder="1" applyAlignment="1">
      <alignment horizontal="center" vertical="center" shrinkToFit="1"/>
    </xf>
    <xf numFmtId="10" fontId="34" fillId="0" borderId="11" xfId="3" applyNumberFormat="1" applyFont="1" applyBorder="1" applyAlignment="1">
      <alignment horizontal="center" vertical="center" shrinkToFit="1"/>
    </xf>
    <xf numFmtId="10" fontId="34" fillId="0" borderId="0" xfId="3" applyNumberFormat="1" applyFont="1" applyAlignment="1">
      <alignment horizontal="center" vertical="center" shrinkToFit="1"/>
    </xf>
    <xf numFmtId="0" fontId="25" fillId="0" borderId="0" xfId="4" applyNumberFormat="1" applyFont="1" applyBorder="1" applyAlignment="1">
      <alignment horizontal="center" vertical="center" shrinkToFit="1"/>
    </xf>
    <xf numFmtId="0" fontId="25" fillId="0" borderId="11" xfId="3" applyBorder="1" applyAlignment="1">
      <alignment horizontal="center" vertical="center" shrinkToFit="1"/>
    </xf>
    <xf numFmtId="176" fontId="34" fillId="11" borderId="13" xfId="3" applyNumberFormat="1" applyFont="1" applyFill="1" applyBorder="1" applyAlignment="1">
      <alignment horizontal="center" vertical="center" shrinkToFit="1"/>
    </xf>
    <xf numFmtId="176" fontId="34" fillId="11" borderId="1" xfId="3" applyNumberFormat="1" applyFont="1" applyFill="1" applyBorder="1" applyAlignment="1">
      <alignment horizontal="center" vertical="center" shrinkToFit="1"/>
    </xf>
    <xf numFmtId="176" fontId="34" fillId="11" borderId="17" xfId="3" applyNumberFormat="1" applyFont="1" applyFill="1" applyBorder="1" applyAlignment="1">
      <alignment horizontal="center" vertical="center" shrinkToFit="1"/>
    </xf>
    <xf numFmtId="3" fontId="34" fillId="0" borderId="1" xfId="4" applyNumberFormat="1" applyFont="1" applyBorder="1" applyAlignment="1">
      <alignment horizontal="center" vertical="center" shrinkToFit="1"/>
    </xf>
    <xf numFmtId="3" fontId="34" fillId="0" borderId="1" xfId="3" applyNumberFormat="1" applyFont="1" applyBorder="1" applyAlignment="1">
      <alignment horizontal="center" vertical="center" shrinkToFit="1"/>
    </xf>
    <xf numFmtId="3" fontId="34" fillId="0" borderId="17" xfId="3" applyNumberFormat="1" applyFont="1" applyBorder="1" applyAlignment="1">
      <alignment horizontal="center" vertical="center" shrinkToFit="1"/>
    </xf>
    <xf numFmtId="10" fontId="34" fillId="0" borderId="13" xfId="3" applyNumberFormat="1" applyFont="1" applyBorder="1" applyAlignment="1">
      <alignment horizontal="center" vertical="center" shrinkToFit="1"/>
    </xf>
    <xf numFmtId="10" fontId="34" fillId="0" borderId="1" xfId="3" applyNumberFormat="1" applyFont="1" applyBorder="1" applyAlignment="1">
      <alignment horizontal="center" vertical="center" shrinkToFit="1"/>
    </xf>
    <xf numFmtId="10" fontId="34" fillId="0" borderId="17" xfId="3" applyNumberFormat="1" applyFont="1" applyBorder="1" applyAlignment="1">
      <alignment horizontal="center" vertical="center" shrinkToFit="1"/>
    </xf>
    <xf numFmtId="0" fontId="32" fillId="0" borderId="8" xfId="3" applyFont="1" applyBorder="1" applyAlignment="1">
      <alignment horizontal="center" vertical="center" shrinkToFit="1"/>
    </xf>
    <xf numFmtId="173" fontId="34" fillId="0" borderId="0" xfId="3" applyNumberFormat="1" applyFont="1" applyAlignment="1">
      <alignment horizontal="center" vertical="center" shrinkToFit="1"/>
    </xf>
    <xf numFmtId="173" fontId="34" fillId="0" borderId="12" xfId="3" applyNumberFormat="1" applyFont="1" applyBorder="1" applyAlignment="1">
      <alignment horizontal="center" vertical="center" shrinkToFit="1"/>
    </xf>
    <xf numFmtId="173" fontId="34" fillId="11" borderId="0" xfId="5" applyNumberFormat="1" applyFont="1" applyFill="1" applyAlignment="1">
      <alignment horizontal="center" vertical="center" shrinkToFit="1"/>
    </xf>
    <xf numFmtId="3" fontId="34" fillId="11" borderId="0" xfId="6" applyNumberFormat="1" applyFont="1" applyFill="1" applyBorder="1" applyAlignment="1">
      <alignment horizontal="center" vertical="center" shrinkToFit="1"/>
    </xf>
    <xf numFmtId="10" fontId="25" fillId="0" borderId="0" xfId="6" applyNumberFormat="1" applyFont="1" applyBorder="1" applyAlignment="1">
      <alignment horizontal="center" vertical="center" shrinkToFit="1"/>
    </xf>
    <xf numFmtId="0" fontId="25" fillId="0" borderId="9" xfId="3" applyBorder="1" applyAlignment="1">
      <alignment horizontal="center" vertical="center" shrinkToFit="1"/>
    </xf>
    <xf numFmtId="0" fontId="25" fillId="0" borderId="8" xfId="3" applyBorder="1" applyAlignment="1">
      <alignment horizontal="center" vertical="center" shrinkToFit="1"/>
    </xf>
    <xf numFmtId="0" fontId="25" fillId="0" borderId="10" xfId="3" applyBorder="1" applyAlignment="1">
      <alignment horizontal="center" vertical="center" shrinkToFit="1"/>
    </xf>
    <xf numFmtId="0" fontId="25" fillId="0" borderId="8" xfId="4" applyNumberFormat="1" applyFont="1" applyBorder="1" applyAlignment="1">
      <alignment horizontal="center" vertical="center" shrinkToFit="1"/>
    </xf>
    <xf numFmtId="0" fontId="25" fillId="0" borderId="8" xfId="5" applyFont="1" applyBorder="1" applyAlignment="1">
      <alignment horizontal="center" vertical="center" shrinkToFit="1"/>
    </xf>
    <xf numFmtId="174" fontId="35" fillId="0" borderId="11" xfId="3" applyNumberFormat="1" applyFont="1" applyBorder="1" applyAlignment="1">
      <alignment horizontal="center" vertical="center" shrinkToFit="1"/>
    </xf>
    <xf numFmtId="174" fontId="35" fillId="0" borderId="0" xfId="3" applyNumberFormat="1" applyFont="1" applyAlignment="1">
      <alignment horizontal="center" vertical="center" shrinkToFit="1"/>
    </xf>
    <xf numFmtId="174" fontId="35" fillId="0" borderId="12" xfId="3" applyNumberFormat="1" applyFont="1" applyBorder="1" applyAlignment="1">
      <alignment horizontal="center" vertical="center" shrinkToFit="1"/>
    </xf>
    <xf numFmtId="173" fontId="35" fillId="0" borderId="1" xfId="5" applyNumberFormat="1" applyFont="1" applyBorder="1" applyAlignment="1">
      <alignment horizontal="center" vertical="center" shrinkToFit="1"/>
    </xf>
    <xf numFmtId="3" fontId="35" fillId="11" borderId="1" xfId="6" applyNumberFormat="1" applyFont="1" applyFill="1" applyBorder="1" applyAlignment="1">
      <alignment horizontal="center" vertical="center" shrinkToFit="1"/>
    </xf>
    <xf numFmtId="0" fontId="34" fillId="0" borderId="1" xfId="6" applyNumberFormat="1" applyFont="1" applyBorder="1" applyAlignment="1">
      <alignment horizontal="center" vertical="center" shrinkToFit="1"/>
    </xf>
    <xf numFmtId="3" fontId="35" fillId="0" borderId="1" xfId="6" applyNumberFormat="1" applyFont="1" applyBorder="1" applyAlignment="1">
      <alignment horizontal="center" vertical="center" shrinkToFit="1"/>
    </xf>
    <xf numFmtId="9" fontId="25" fillId="11" borderId="0" xfId="7" applyNumberFormat="1" applyFont="1" applyFill="1" applyBorder="1" applyAlignment="1">
      <alignment horizontal="center" vertical="center" shrinkToFit="1"/>
    </xf>
    <xf numFmtId="175" fontId="25" fillId="11" borderId="0" xfId="7" applyFont="1" applyFill="1" applyBorder="1" applyAlignment="1">
      <alignment horizontal="center" vertical="center" shrinkToFit="1"/>
    </xf>
    <xf numFmtId="2" fontId="36" fillId="0" borderId="1" xfId="6" applyNumberFormat="1" applyFont="1" applyBorder="1" applyAlignment="1">
      <alignment horizontal="center" vertical="center" shrinkToFit="1"/>
    </xf>
    <xf numFmtId="173" fontId="35" fillId="0" borderId="0" xfId="5" applyNumberFormat="1" applyFont="1" applyAlignment="1">
      <alignment horizontal="center" vertical="center" shrinkToFit="1"/>
    </xf>
    <xf numFmtId="0" fontId="34" fillId="0" borderId="0" xfId="6" applyNumberFormat="1" applyFont="1" applyBorder="1" applyAlignment="1">
      <alignment horizontal="center" vertical="center" shrinkToFit="1"/>
    </xf>
    <xf numFmtId="10" fontId="34" fillId="11" borderId="0" xfId="6" applyNumberFormat="1" applyFont="1" applyFill="1" applyBorder="1" applyAlignment="1">
      <alignment horizontal="center" vertical="center" shrinkToFit="1"/>
    </xf>
    <xf numFmtId="0" fontId="25" fillId="0" borderId="0" xfId="4" applyNumberFormat="1" applyFont="1" applyBorder="1" applyAlignment="1">
      <alignment horizontal="center" vertical="center"/>
    </xf>
    <xf numFmtId="0" fontId="25" fillId="0" borderId="12" xfId="4" applyNumberFormat="1" applyFont="1" applyBorder="1" applyAlignment="1">
      <alignment horizontal="center" vertical="center"/>
    </xf>
    <xf numFmtId="4" fontId="34" fillId="11" borderId="1" xfId="3" applyNumberFormat="1" applyFont="1" applyFill="1" applyBorder="1" applyAlignment="1">
      <alignment horizontal="center" vertical="center" shrinkToFit="1"/>
    </xf>
    <xf numFmtId="3" fontId="34" fillId="11" borderId="1" xfId="3" applyNumberFormat="1" applyFont="1" applyFill="1" applyBorder="1" applyAlignment="1">
      <alignment horizontal="center" vertical="center" shrinkToFit="1"/>
    </xf>
    <xf numFmtId="37" fontId="35" fillId="0" borderId="1" xfId="6" applyNumberFormat="1" applyFont="1" applyBorder="1" applyAlignment="1">
      <alignment horizontal="center" vertical="center" shrinkToFit="1"/>
    </xf>
    <xf numFmtId="3" fontId="34" fillId="11" borderId="1" xfId="4" applyNumberFormat="1" applyFont="1" applyFill="1" applyBorder="1" applyAlignment="1">
      <alignment horizontal="center" vertical="center" shrinkToFit="1"/>
    </xf>
    <xf numFmtId="3" fontId="35" fillId="0" borderId="1" xfId="4" applyNumberFormat="1" applyFont="1" applyBorder="1" applyAlignment="1">
      <alignment horizontal="center" vertical="center" shrinkToFit="1"/>
    </xf>
    <xf numFmtId="0" fontId="25" fillId="0" borderId="7" xfId="3" applyBorder="1" applyAlignment="1">
      <alignment horizontal="center" vertical="center"/>
    </xf>
    <xf numFmtId="0" fontId="25" fillId="0" borderId="9" xfId="3" applyBorder="1" applyAlignment="1">
      <alignment horizontal="center" vertical="center"/>
    </xf>
    <xf numFmtId="0" fontId="25" fillId="0" borderId="10" xfId="3" applyBorder="1" applyAlignment="1">
      <alignment horizontal="center" vertical="center"/>
    </xf>
    <xf numFmtId="0" fontId="25" fillId="0" borderId="12" xfId="3" applyBorder="1" applyAlignment="1">
      <alignment horizontal="center" vertical="center"/>
    </xf>
    <xf numFmtId="4" fontId="29" fillId="0" borderId="0" xfId="3" applyNumberFormat="1" applyFont="1" applyAlignment="1">
      <alignment horizontal="center" vertical="center"/>
    </xf>
    <xf numFmtId="0" fontId="30" fillId="0" borderId="11" xfId="3" applyFont="1" applyBorder="1" applyAlignment="1">
      <alignment horizontal="left" vertical="center" wrapText="1"/>
    </xf>
    <xf numFmtId="0" fontId="30" fillId="0" borderId="0" xfId="3" applyFont="1" applyAlignment="1">
      <alignment horizontal="left" vertical="center" wrapText="1"/>
    </xf>
    <xf numFmtId="0" fontId="30" fillId="0" borderId="12" xfId="3" applyFont="1" applyBorder="1" applyAlignment="1">
      <alignment horizontal="left" vertical="center" wrapText="1"/>
    </xf>
    <xf numFmtId="0" fontId="27" fillId="0" borderId="13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27" fillId="0" borderId="14" xfId="3" applyFont="1" applyBorder="1" applyAlignment="1">
      <alignment horizontal="center" vertical="center"/>
    </xf>
    <xf numFmtId="0" fontId="27" fillId="0" borderId="15" xfId="3" applyFont="1" applyBorder="1" applyAlignment="1">
      <alignment horizontal="center" vertical="center"/>
    </xf>
    <xf numFmtId="3" fontId="25" fillId="0" borderId="1" xfId="3" applyNumberFormat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33" fillId="10" borderId="16" xfId="5" applyFont="1" applyFill="1" applyBorder="1" applyAlignment="1">
      <alignment horizontal="center" vertical="center"/>
    </xf>
    <xf numFmtId="0" fontId="33" fillId="10" borderId="14" xfId="5" applyFont="1" applyFill="1" applyBorder="1" applyAlignment="1">
      <alignment horizontal="center" vertical="center"/>
    </xf>
    <xf numFmtId="0" fontId="33" fillId="3" borderId="9" xfId="3" applyFont="1" applyFill="1" applyBorder="1" applyAlignment="1">
      <alignment horizontal="center" vertical="center"/>
    </xf>
    <xf numFmtId="0" fontId="33" fillId="3" borderId="8" xfId="3" applyFont="1" applyFill="1" applyBorder="1" applyAlignment="1">
      <alignment horizontal="center" vertical="center"/>
    </xf>
    <xf numFmtId="0" fontId="33" fillId="3" borderId="10" xfId="3" applyFont="1" applyFill="1" applyBorder="1" applyAlignment="1">
      <alignment horizontal="center" vertical="center"/>
    </xf>
  </cellXfs>
  <cellStyles count="9">
    <cellStyle name="Moeda 2" xfId="2" xr:uid="{194F712E-024D-FF48-A36F-E9DCA919E928}"/>
    <cellStyle name="Moeda 3" xfId="7" xr:uid="{B6C66FF0-9EE1-5B4E-88B3-A12BED3738F0}"/>
    <cellStyle name="Normal" xfId="0" builtinId="0"/>
    <cellStyle name="Normal 3" xfId="5" xr:uid="{E561A60F-6A35-1047-8781-C600EA508325}"/>
    <cellStyle name="Normal 4" xfId="3" xr:uid="{6F832EC0-F33B-7340-914D-A896C455D981}"/>
    <cellStyle name="Porcentagem" xfId="1" builtinId="5"/>
    <cellStyle name="Porcentagem 2" xfId="8" xr:uid="{335008ED-AEC5-FD48-90C7-641D404B0C5A}"/>
    <cellStyle name="Porcentagem 3" xfId="4" xr:uid="{A57BB074-4E63-D24D-A28C-4D03B16C5784}"/>
    <cellStyle name="Vírgula 3" xfId="6" xr:uid="{AA3A6674-0982-9E4F-9AF3-6F76871B8C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Fluxo de Caixa - Investimento em Casas</a:t>
            </a:r>
          </a:p>
        </c:rich>
      </c:tx>
      <c:layout>
        <c:manualLayout>
          <c:xMode val="edge"/>
          <c:yMode val="edge"/>
          <c:x val="0.30271136640989965"/>
          <c:y val="3.7313432835820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078468103629198E-2"/>
          <c:y val="0.21909840560974655"/>
          <c:w val="0.91044308503885185"/>
          <c:h val="0.675648529008500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'Fluxo_de_Caixa Casas'!$B$5</c:f>
              <c:strCache>
                <c:ptCount val="1"/>
                <c:pt idx="0">
                  <c:v>Aquisição do terreno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'Fluxo_de_Caixa Casas'!$G$4:$AD$4</c:f>
              <c:numCache>
                <c:formatCode>mmm\-yy</c:formatCode>
                <c:ptCount val="24"/>
                <c:pt idx="0">
                  <c:v>45030</c:v>
                </c:pt>
                <c:pt idx="1">
                  <c:v>45077</c:v>
                </c:pt>
                <c:pt idx="2">
                  <c:v>45107</c:v>
                </c:pt>
                <c:pt idx="3">
                  <c:v>45138</c:v>
                </c:pt>
                <c:pt idx="4">
                  <c:v>45169</c:v>
                </c:pt>
                <c:pt idx="5">
                  <c:v>45199</c:v>
                </c:pt>
                <c:pt idx="6">
                  <c:v>45230</c:v>
                </c:pt>
                <c:pt idx="7">
                  <c:v>45260</c:v>
                </c:pt>
                <c:pt idx="8">
                  <c:v>45291</c:v>
                </c:pt>
                <c:pt idx="9">
                  <c:v>45322</c:v>
                </c:pt>
                <c:pt idx="10">
                  <c:v>45351</c:v>
                </c:pt>
                <c:pt idx="11">
                  <c:v>45382</c:v>
                </c:pt>
                <c:pt idx="12">
                  <c:v>45412</c:v>
                </c:pt>
                <c:pt idx="13">
                  <c:v>45443</c:v>
                </c:pt>
                <c:pt idx="14">
                  <c:v>45473</c:v>
                </c:pt>
                <c:pt idx="15">
                  <c:v>45504</c:v>
                </c:pt>
                <c:pt idx="16">
                  <c:v>45535</c:v>
                </c:pt>
                <c:pt idx="17">
                  <c:v>45565</c:v>
                </c:pt>
                <c:pt idx="18">
                  <c:v>45596</c:v>
                </c:pt>
                <c:pt idx="19">
                  <c:v>45626</c:v>
                </c:pt>
                <c:pt idx="20">
                  <c:v>45657</c:v>
                </c:pt>
                <c:pt idx="21">
                  <c:v>45688</c:v>
                </c:pt>
                <c:pt idx="22">
                  <c:v>45716</c:v>
                </c:pt>
                <c:pt idx="23">
                  <c:v>45747</c:v>
                </c:pt>
              </c:numCache>
            </c:numRef>
          </c:cat>
          <c:val>
            <c:numRef>
              <c:f>'Fluxo_de_Caixa Casas'!$G$12:$AD$12</c:f>
              <c:numCache>
                <c:formatCode>#,##0_);\(#,##0\);\-</c:formatCode>
                <c:ptCount val="24"/>
                <c:pt idx="0">
                  <c:v>-45653038.18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41414634.04078076</c:v>
                </c:pt>
                <c:pt idx="9">
                  <c:v>1318276.1609155112</c:v>
                </c:pt>
                <c:pt idx="10">
                  <c:v>531517.52507588314</c:v>
                </c:pt>
                <c:pt idx="11">
                  <c:v>1525116.9890162696</c:v>
                </c:pt>
                <c:pt idx="12">
                  <c:v>984551.65027908841</c:v>
                </c:pt>
                <c:pt idx="13">
                  <c:v>495250.498870946</c:v>
                </c:pt>
                <c:pt idx="14">
                  <c:v>660038.8220249638</c:v>
                </c:pt>
                <c:pt idx="15">
                  <c:v>-1293238.7115252893</c:v>
                </c:pt>
                <c:pt idx="16">
                  <c:v>-3353366.8128934829</c:v>
                </c:pt>
                <c:pt idx="17">
                  <c:v>1352606.6296850224</c:v>
                </c:pt>
                <c:pt idx="18">
                  <c:v>-4830755.30869334</c:v>
                </c:pt>
                <c:pt idx="19">
                  <c:v>-6096647.4536384586</c:v>
                </c:pt>
                <c:pt idx="20">
                  <c:v>-3679817.7125073629</c:v>
                </c:pt>
                <c:pt idx="21">
                  <c:v>-2082572.4596929294</c:v>
                </c:pt>
                <c:pt idx="22">
                  <c:v>-468225.60420973506</c:v>
                </c:pt>
                <c:pt idx="23">
                  <c:v>6380703.2366381157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B-B741-A939-00C2716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2199680"/>
        <c:axId val="134546944"/>
      </c:barChart>
      <c:lineChart>
        <c:grouping val="standard"/>
        <c:varyColors val="0"/>
        <c:ser>
          <c:idx val="0"/>
          <c:order val="1"/>
          <c:tx>
            <c:strRef>
              <c:f>'Fluxo_de_Caixa Casas'!$B$13</c:f>
              <c:strCache>
                <c:ptCount val="1"/>
                <c:pt idx="0">
                  <c:v>Fluxo de Caixa Acumulado</c:v>
                </c:pt>
              </c:strCache>
            </c:strRef>
          </c:tx>
          <c:spPr>
            <a:ln>
              <a:solidFill>
                <a:srgbClr val="002060">
                  <a:alpha val="69804"/>
                </a:srgbClr>
              </a:solidFill>
            </a:ln>
          </c:spPr>
          <c:marker>
            <c:symbol val="none"/>
          </c:marker>
          <c:cat>
            <c:numRef>
              <c:f>'Fluxo_de_Caixa Casas'!$G$4:$AD$4</c:f>
              <c:numCache>
                <c:formatCode>mmm\-yy</c:formatCode>
                <c:ptCount val="24"/>
                <c:pt idx="0">
                  <c:v>45030</c:v>
                </c:pt>
                <c:pt idx="1">
                  <c:v>45077</c:v>
                </c:pt>
                <c:pt idx="2">
                  <c:v>45107</c:v>
                </c:pt>
                <c:pt idx="3">
                  <c:v>45138</c:v>
                </c:pt>
                <c:pt idx="4">
                  <c:v>45169</c:v>
                </c:pt>
                <c:pt idx="5">
                  <c:v>45199</c:v>
                </c:pt>
                <c:pt idx="6">
                  <c:v>45230</c:v>
                </c:pt>
                <c:pt idx="7">
                  <c:v>45260</c:v>
                </c:pt>
                <c:pt idx="8">
                  <c:v>45291</c:v>
                </c:pt>
                <c:pt idx="9">
                  <c:v>45322</c:v>
                </c:pt>
                <c:pt idx="10">
                  <c:v>45351</c:v>
                </c:pt>
                <c:pt idx="11">
                  <c:v>45382</c:v>
                </c:pt>
                <c:pt idx="12">
                  <c:v>45412</c:v>
                </c:pt>
                <c:pt idx="13">
                  <c:v>45443</c:v>
                </c:pt>
                <c:pt idx="14">
                  <c:v>45473</c:v>
                </c:pt>
                <c:pt idx="15">
                  <c:v>45504</c:v>
                </c:pt>
                <c:pt idx="16">
                  <c:v>45535</c:v>
                </c:pt>
                <c:pt idx="17">
                  <c:v>45565</c:v>
                </c:pt>
                <c:pt idx="18">
                  <c:v>45596</c:v>
                </c:pt>
                <c:pt idx="19">
                  <c:v>45626</c:v>
                </c:pt>
                <c:pt idx="20">
                  <c:v>45657</c:v>
                </c:pt>
                <c:pt idx="21">
                  <c:v>45688</c:v>
                </c:pt>
                <c:pt idx="22">
                  <c:v>45716</c:v>
                </c:pt>
                <c:pt idx="23">
                  <c:v>45747</c:v>
                </c:pt>
              </c:numCache>
            </c:numRef>
          </c:cat>
          <c:val>
            <c:numRef>
              <c:f>'Fluxo_de_Caixa Casas'!$G$13:$AD$13</c:f>
              <c:numCache>
                <c:formatCode>#,##0_);\(#,##0\);\-</c:formatCode>
                <c:ptCount val="24"/>
                <c:pt idx="0">
                  <c:v>-45653038.18</c:v>
                </c:pt>
                <c:pt idx="1">
                  <c:v>-45653038.18</c:v>
                </c:pt>
                <c:pt idx="2">
                  <c:v>-45653038.18</c:v>
                </c:pt>
                <c:pt idx="3">
                  <c:v>-45653038.18</c:v>
                </c:pt>
                <c:pt idx="4">
                  <c:v>-30653038.18</c:v>
                </c:pt>
                <c:pt idx="5">
                  <c:v>-30653038.18</c:v>
                </c:pt>
                <c:pt idx="6">
                  <c:v>-30653038.18</c:v>
                </c:pt>
                <c:pt idx="7">
                  <c:v>-30653038.18</c:v>
                </c:pt>
                <c:pt idx="8">
                  <c:v>10761595.860780761</c:v>
                </c:pt>
                <c:pt idx="9">
                  <c:v>12079872.021696271</c:v>
                </c:pt>
                <c:pt idx="10">
                  <c:v>12611389.546772154</c:v>
                </c:pt>
                <c:pt idx="11">
                  <c:v>14136506.535788424</c:v>
                </c:pt>
                <c:pt idx="12">
                  <c:v>15121058.186067512</c:v>
                </c:pt>
                <c:pt idx="13">
                  <c:v>15616308.684938459</c:v>
                </c:pt>
                <c:pt idx="14">
                  <c:v>16276347.506963423</c:v>
                </c:pt>
                <c:pt idx="15">
                  <c:v>14983108.795438133</c:v>
                </c:pt>
                <c:pt idx="16">
                  <c:v>11629741.982544649</c:v>
                </c:pt>
                <c:pt idx="17">
                  <c:v>12982348.612229671</c:v>
                </c:pt>
                <c:pt idx="18">
                  <c:v>8151593.3035363313</c:v>
                </c:pt>
                <c:pt idx="19">
                  <c:v>2054945.8498978727</c:v>
                </c:pt>
                <c:pt idx="20">
                  <c:v>-1624871.8626094903</c:v>
                </c:pt>
                <c:pt idx="21">
                  <c:v>-3707444.3223024197</c:v>
                </c:pt>
                <c:pt idx="22">
                  <c:v>-4175669.9265121548</c:v>
                </c:pt>
                <c:pt idx="23">
                  <c:v>2205033.310125961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B-B741-A939-00C2716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9680"/>
        <c:axId val="134546944"/>
      </c:lineChart>
      <c:dateAx>
        <c:axId val="421996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[$-416]mmm\-yy;@" sourceLinked="0"/>
        <c:majorTickMark val="out"/>
        <c:minorTickMark val="none"/>
        <c:tickLblPos val="low"/>
        <c:crossAx val="134546944"/>
        <c:crosses val="autoZero"/>
        <c:auto val="1"/>
        <c:lblOffset val="100"/>
        <c:baseTimeUnit val="months"/>
      </c:dateAx>
      <c:valAx>
        <c:axId val="134546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ln>
            <a:noFill/>
          </a:ln>
        </c:spPr>
        <c:crossAx val="4219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Futura Bk BT" panose="020B0502020204020303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eqdi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</xdr:col>
      <xdr:colOff>586741</xdr:colOff>
      <xdr:row>2</xdr:row>
      <xdr:rowOff>108441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2B96E-3759-7A45-B423-EDBB73401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04800"/>
          <a:ext cx="815341" cy="362441"/>
        </a:xfrm>
        <a:prstGeom prst="rect">
          <a:avLst/>
        </a:prstGeom>
      </xdr:spPr>
    </xdr:pic>
    <xdr:clientData/>
  </xdr:twoCellAnchor>
  <xdr:twoCellAnchor editAs="oneCell">
    <xdr:from>
      <xdr:col>7</xdr:col>
      <xdr:colOff>104395</xdr:colOff>
      <xdr:row>34</xdr:row>
      <xdr:rowOff>106680</xdr:rowOff>
    </xdr:from>
    <xdr:to>
      <xdr:col>11</xdr:col>
      <xdr:colOff>533400</xdr:colOff>
      <xdr:row>49</xdr:row>
      <xdr:rowOff>60960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FDA0D4-6AC9-E142-BCF7-78C35699D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295" y="6786880"/>
          <a:ext cx="7299705" cy="281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95250</xdr:rowOff>
    </xdr:from>
    <xdr:to>
      <xdr:col>18</xdr:col>
      <xdr:colOff>180975</xdr:colOff>
      <xdr:row>40</xdr:row>
      <xdr:rowOff>57150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8EF09D3-5EE5-2B4A-B20A-3EED47EB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6100</xdr:colOff>
      <xdr:row>1</xdr:row>
      <xdr:rowOff>17720</xdr:rowOff>
    </xdr:from>
    <xdr:to>
      <xdr:col>36</xdr:col>
      <xdr:colOff>86476</xdr:colOff>
      <xdr:row>4</xdr:row>
      <xdr:rowOff>158712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0AB159-EF04-5149-8AD8-DD963E01F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9800" y="208220"/>
          <a:ext cx="2391776" cy="8013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/JOAO/PERFIL/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RRANE/Desktop/Cidade%20Jardim%20III/Cidade%20Jardim/DRE%20Cidade%20Jardim%20III%20Paineiras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AREACTR/TRABLOT/Orc2000/Apresent/Cam-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WINDOWS/TEMP/Veicul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Meus%20documentos/EXCEL/Orcto2000/Orcto99/FEA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0.0.62/ri-nn/NOVOSNEGOCIOS/NOVOSNEGOCIOS/Green%20Field/Iguatemi%20Bras&#237;lia/BP/BP_SCIBRA_200608_v08_novo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kiescc09/Publico/DIVERSOS/CONTROLA/Divs_2002/Rel_Ger_2002/Rel_03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jn/Library/Containers/com.microsoft.Excel/Data/Documents/about:blank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AL%20ESTATE/GESTAO/Gestao%20do%20Portfolio/Controladoria/Fluxo%20de%20Caixa/Controle%20Budget%20SPEs%20-%20ago-13%20-%20test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jn/Desktop/Projeto%20Paineiras/Pasta%20Incorporadores-Construtores/Planilha%20Completa%20Cidade%20Jardim%20III%20-%20Paineiras%20Final%20vs%20Equac&#807;a&#771;o%20-%2013%20ca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 Real"/>
      <sheetName val="CJ III"/>
      <sheetName val="Quadro de Áreas"/>
      <sheetName val="Desembolso - LV"/>
      <sheetName val="EVTE"/>
      <sheetName val="FlCx_Invest_Mutuo"/>
      <sheetName val="Permuta Funding"/>
      <sheetName val="Projeto"/>
    </sheetNames>
    <sheetDataSet>
      <sheetData sheetId="0">
        <row r="11">
          <cell r="O11">
            <v>14</v>
          </cell>
        </row>
        <row r="30">
          <cell r="C30" t="str">
            <v>IBTI, Escritura, Registro, Iptu (Obra), Advogado</v>
          </cell>
        </row>
        <row r="31">
          <cell r="C31" t="str">
            <v>Comissão de Vendas Terreno</v>
          </cell>
          <cell r="O31">
            <v>-2000.0000000000005</v>
          </cell>
        </row>
      </sheetData>
      <sheetData sheetId="1">
        <row r="11">
          <cell r="C11">
            <v>1000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Vendas"/>
      <sheetName val="Receitas"/>
      <sheetName val="Comparativo"/>
      <sheetName val="Base Caixa"/>
      <sheetName val="Despord"/>
      <sheetName val="Invest-Imobil"/>
      <sheetName val="PESSOAL12"/>
      <sheetName val="Pessoal6"/>
      <sheetName val="CASH 2000"/>
      <sheetName val="CASH 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esas Condominiais"/>
      <sheetName val="A"/>
      <sheetName val="Current"/>
      <sheetName val="B"/>
      <sheetName val="C"/>
      <sheetName val="D"/>
      <sheetName val="E"/>
      <sheetName val="F"/>
      <sheetName val="G"/>
      <sheetName val="H"/>
      <sheetName val="Prest"/>
      <sheetName val="Graf_Segurança"/>
      <sheetName val="Transparencias"/>
      <sheetName val="Prestacao"/>
      <sheetName val="Gráf_Prest"/>
      <sheetName val="Feac"/>
      <sheetName val="DEZ00"/>
      <sheetName val="NOV00"/>
      <sheetName val="OUT00"/>
      <sheetName val="SET00"/>
      <sheetName val="AGO00"/>
      <sheetName val="JUL00"/>
      <sheetName val="JUN00"/>
      <sheetName val="MAI00"/>
      <sheetName val="ABR00"/>
      <sheetName val="MAR00"/>
      <sheetName val="FEV00"/>
      <sheetName val="JAN00"/>
      <sheetName val="DEZ99"/>
      <sheetName val="NOV99"/>
      <sheetName val="OUT99"/>
      <sheetName val="SET99"/>
      <sheetName val="AGO99"/>
      <sheetName val="JUL99"/>
      <sheetName val="JUN99"/>
      <sheetName val="MAI99"/>
      <sheetName val="ABR99"/>
      <sheetName val="MAR99"/>
      <sheetName val="FEV99"/>
      <sheetName val="JAN9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5">
          <cell r="A55" t="str">
            <v>MES</v>
          </cell>
        </row>
        <row r="56">
          <cell r="A56" t="str">
            <v>JAN</v>
          </cell>
          <cell r="C56">
            <v>224131</v>
          </cell>
          <cell r="H56">
            <v>252312</v>
          </cell>
          <cell r="L56">
            <v>348305</v>
          </cell>
          <cell r="N56">
            <v>359237</v>
          </cell>
          <cell r="P56">
            <v>391991</v>
          </cell>
          <cell r="R56">
            <v>403411</v>
          </cell>
        </row>
        <row r="57">
          <cell r="A57" t="str">
            <v>FEV</v>
          </cell>
          <cell r="C57">
            <v>208998</v>
          </cell>
          <cell r="H57">
            <v>240718</v>
          </cell>
          <cell r="L57">
            <v>315447</v>
          </cell>
          <cell r="N57">
            <v>337205</v>
          </cell>
          <cell r="P57">
            <v>343372</v>
          </cell>
          <cell r="R57">
            <v>369324</v>
          </cell>
        </row>
        <row r="58">
          <cell r="A58" t="str">
            <v>MAR</v>
          </cell>
          <cell r="C58">
            <v>242371</v>
          </cell>
          <cell r="H58">
            <v>283876</v>
          </cell>
          <cell r="L58">
            <v>389996</v>
          </cell>
          <cell r="N58">
            <v>340679</v>
          </cell>
          <cell r="P58">
            <v>386633</v>
          </cell>
          <cell r="R58">
            <v>455373</v>
          </cell>
        </row>
        <row r="59">
          <cell r="A59" t="str">
            <v>ABR</v>
          </cell>
          <cell r="C59">
            <v>236842</v>
          </cell>
          <cell r="H59">
            <v>267409</v>
          </cell>
          <cell r="L59">
            <v>342400</v>
          </cell>
          <cell r="N59">
            <v>345417</v>
          </cell>
          <cell r="P59">
            <v>391904</v>
          </cell>
          <cell r="R59">
            <v>405177</v>
          </cell>
        </row>
        <row r="60">
          <cell r="A60" t="str">
            <v>MAI</v>
          </cell>
          <cell r="C60">
            <v>251180</v>
          </cell>
          <cell r="H60">
            <v>288641</v>
          </cell>
          <cell r="L60">
            <v>370779</v>
          </cell>
          <cell r="N60">
            <v>373442</v>
          </cell>
          <cell r="P60">
            <v>399744</v>
          </cell>
          <cell r="R60">
            <v>419518</v>
          </cell>
        </row>
        <row r="61">
          <cell r="A61" t="str">
            <v>JUN</v>
          </cell>
          <cell r="C61">
            <v>225220</v>
          </cell>
          <cell r="H61">
            <v>286483</v>
          </cell>
          <cell r="L61">
            <v>356097</v>
          </cell>
          <cell r="N61">
            <v>351260</v>
          </cell>
          <cell r="P61">
            <v>389412</v>
          </cell>
          <cell r="R61">
            <v>404663</v>
          </cell>
        </row>
        <row r="62">
          <cell r="A62" t="str">
            <v>JUL</v>
          </cell>
          <cell r="C62">
            <v>271568</v>
          </cell>
          <cell r="H62">
            <v>432632</v>
          </cell>
          <cell r="L62">
            <v>422659</v>
          </cell>
          <cell r="N62">
            <v>385286</v>
          </cell>
          <cell r="P62">
            <v>420321</v>
          </cell>
          <cell r="R62">
            <v>431615</v>
          </cell>
        </row>
        <row r="63">
          <cell r="A63" t="str">
            <v>AGO</v>
          </cell>
          <cell r="C63">
            <v>270154</v>
          </cell>
          <cell r="H63">
            <v>501913</v>
          </cell>
          <cell r="L63">
            <v>400995</v>
          </cell>
          <cell r="N63">
            <v>387724</v>
          </cell>
          <cell r="P63">
            <v>391061</v>
          </cell>
          <cell r="R63">
            <v>458194</v>
          </cell>
        </row>
        <row r="64">
          <cell r="A64" t="str">
            <v>SET</v>
          </cell>
          <cell r="C64">
            <v>253947</v>
          </cell>
          <cell r="H64">
            <v>466148</v>
          </cell>
          <cell r="L64">
            <v>346207</v>
          </cell>
          <cell r="N64">
            <v>376173</v>
          </cell>
          <cell r="P64">
            <v>379322</v>
          </cell>
          <cell r="R64">
            <v>441013</v>
          </cell>
        </row>
        <row r="65">
          <cell r="A65" t="str">
            <v>OUT</v>
          </cell>
          <cell r="C65">
            <v>271595</v>
          </cell>
          <cell r="H65">
            <v>444405</v>
          </cell>
          <cell r="L65">
            <v>368287</v>
          </cell>
          <cell r="N65">
            <v>401228</v>
          </cell>
          <cell r="P65">
            <v>424805</v>
          </cell>
          <cell r="R65">
            <v>467350</v>
          </cell>
        </row>
        <row r="66">
          <cell r="A66" t="str">
            <v>NOV</v>
          </cell>
          <cell r="C66">
            <v>279398</v>
          </cell>
          <cell r="H66">
            <v>430310</v>
          </cell>
          <cell r="L66">
            <v>350322</v>
          </cell>
          <cell r="N66">
            <v>380918</v>
          </cell>
          <cell r="P66">
            <v>408470</v>
          </cell>
          <cell r="R66">
            <v>476895</v>
          </cell>
        </row>
        <row r="67">
          <cell r="A67" t="str">
            <v>DEZ</v>
          </cell>
          <cell r="C67">
            <v>404044</v>
          </cell>
          <cell r="H67">
            <v>609648</v>
          </cell>
          <cell r="L67">
            <v>510433</v>
          </cell>
          <cell r="N67">
            <v>560646</v>
          </cell>
          <cell r="P67">
            <v>598405</v>
          </cell>
          <cell r="R67">
            <v>656344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 (2)"/>
      <sheetName val="AGRUPADA"/>
      <sheetName val="CONTRATOS"/>
      <sheetName val="TRANSP_VACANCIA"/>
      <sheetName val="TRANSP_VENDAS"/>
      <sheetName val="VACANCIA"/>
      <sheetName val="VENREC"/>
      <sheetName val="ABLS"/>
      <sheetName val="RESUMOS"/>
      <sheetName val="PROFIT"/>
      <sheetName val="GRAF-VENDAS"/>
      <sheetName val="GRAF-RECEITAS"/>
      <sheetName val="Módulo1"/>
      <sheetName val="F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ç. Comp. rev01"/>
      <sheetName val="Orç. Padrao rev01"/>
      <sheetName val="com_SCIBRA_030708_rev05"/>
      <sheetName val="Entrada de Dados"/>
      <sheetName val="Premissas Básicas"/>
      <sheetName val="Premissas"/>
      <sheetName val="TMP_Aux"/>
      <sheetName val="Fluxo"/>
      <sheetName val="TMP_Gauss"/>
      <sheetName val="OUT_Graphics"/>
      <sheetName val="TMP_Luvas"/>
      <sheetName val="TMP_StoreBenef"/>
      <sheetName val="TMP_OthIncome"/>
      <sheetName val="TMP_SpecFin"/>
      <sheetName val="Module1"/>
      <sheetName val="Módulo1"/>
      <sheetName val="Module4"/>
      <sheetName val="Module5"/>
      <sheetName val="Módulo3"/>
      <sheetName val="#REF"/>
    </sheetNames>
    <sheetDataSet>
      <sheetData sheetId="0"/>
      <sheetData sheetId="1"/>
      <sheetData sheetId="2"/>
      <sheetData sheetId="3">
        <row r="49">
          <cell r="D49" t="str">
            <v>Projeto Iguatemi Brasília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s int."/>
      <sheetName val="Capas internas"/>
      <sheetName val="Capa"/>
      <sheetName val="funcesp"/>
      <sheetName val="Demontrativo"/>
      <sheetName val="Condir"/>
      <sheetName val="Rec_ven"/>
      <sheetName val="graf_ven"/>
      <sheetName val="graf_rec"/>
      <sheetName val="veic"/>
      <sheetName val="graf_veic"/>
      <sheetName val="Cash_est"/>
      <sheetName val="ATRASOS_5"/>
      <sheetName val="Dados Atraso_6"/>
      <sheetName val="dev"/>
      <sheetName val="Vacancy"/>
      <sheetName val="outros"/>
      <sheetName val="Desempenho"/>
      <sheetName val="DESPESAS 2"/>
      <sheetName val="DCTD"/>
      <sheetName val="DCCC"/>
      <sheetName val="Graf_DO"/>
      <sheetName val="M2"/>
      <sheetName val="OVER"/>
      <sheetName val="Receita"/>
      <sheetName val="End.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_Proj"/>
      <sheetName val="Assump Inpu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-Control"/>
      <sheetName val="Orcamento"/>
      <sheetName val="Contratos"/>
      <sheetName val="Orcamento-revisoes"/>
      <sheetName val="Base_Pagamentos"/>
      <sheetName val="Listas"/>
      <sheetName val="Consulta a Pagamentos"/>
      <sheetName val="Layout para preenchimento"/>
      <sheetName val="Estrutura de Centro de Custo"/>
      <sheetName val="Sheet2"/>
      <sheetName val="Controle Budget SPEs - ago-13 -"/>
    </sheetNames>
    <sheetDataSet>
      <sheetData sheetId="0">
        <row r="8">
          <cell r="D8" t="str">
            <v>RE IX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 de Controle para SCP-Inv"/>
      <sheetName val="Fluxo de caixa"/>
      <sheetName val="Preco-de-Custo"/>
      <sheetName val="Inputs"/>
      <sheetName val="Fluxos_mensais"/>
      <sheetName val="Investimento_Casas"/>
      <sheetName val="Fluxo_de_Caixa Casas"/>
      <sheetName val="Permuta Funding"/>
      <sheetName val="Cidade Jardim III"/>
      <sheetName val="Quadro de Áreas"/>
      <sheetName val="Desembolso - LV"/>
      <sheetName val="FlCx_Invest_Mutuo - PROJETADO"/>
      <sheetName val="EVTE - Projetado"/>
      <sheetName val="EVTE - SEM PERMUTA FUNDING"/>
      <sheetName val="FlCx_Invest_Mutuo - SEM PERMUTA"/>
      <sheetName val="Projeto"/>
      <sheetName val="Dash_Viab"/>
      <sheetName val="Dash_Disp"/>
      <sheetName val="Dash_Proj"/>
      <sheetName val="Dash_Fin"/>
      <sheetName val="Dash_Cen"/>
      <sheetName val="Termos_de_Uso"/>
    </sheetNames>
    <sheetDataSet>
      <sheetData sheetId="0"/>
      <sheetData sheetId="1"/>
      <sheetData sheetId="2"/>
      <sheetData sheetId="3">
        <row r="13">
          <cell r="F13">
            <v>40000000</v>
          </cell>
        </row>
        <row r="14">
          <cell r="F14">
            <v>4378206.7200000025</v>
          </cell>
          <cell r="Q14">
            <v>108358.74</v>
          </cell>
        </row>
        <row r="15">
          <cell r="F15">
            <v>1200000</v>
          </cell>
        </row>
        <row r="16">
          <cell r="Q16">
            <v>87048.24</v>
          </cell>
        </row>
        <row r="17">
          <cell r="Q17">
            <v>2000000</v>
          </cell>
        </row>
        <row r="18">
          <cell r="Q18">
            <v>1857631.2</v>
          </cell>
        </row>
        <row r="22">
          <cell r="F22">
            <v>7589</v>
          </cell>
        </row>
        <row r="43">
          <cell r="F43">
            <v>203728159.99999997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5">
          <cell r="A5">
            <v>45322</v>
          </cell>
          <cell r="B5">
            <v>1255852.3471334944</v>
          </cell>
          <cell r="C5">
            <v>1255852.3471334944</v>
          </cell>
          <cell r="D5">
            <v>1.9623428802540931E-2</v>
          </cell>
          <cell r="E5">
            <v>1.9623428802540931E-2</v>
          </cell>
        </row>
        <row r="6">
          <cell r="A6">
            <v>45351</v>
          </cell>
          <cell r="B6">
            <v>2042610.9829731225</v>
          </cell>
          <cell r="C6">
            <v>3298463.330106617</v>
          </cell>
          <cell r="D6">
            <v>3.1916993496211125E-2</v>
          </cell>
          <cell r="E6">
            <v>5.1540422298752053E-2</v>
          </cell>
        </row>
        <row r="7">
          <cell r="A7">
            <v>45382</v>
          </cell>
          <cell r="B7">
            <v>1049011.5190327361</v>
          </cell>
          <cell r="C7">
            <v>4347474.8491393533</v>
          </cell>
          <cell r="D7">
            <v>1.6391419663123855E-2</v>
          </cell>
          <cell r="E7">
            <v>6.7931841961875905E-2</v>
          </cell>
        </row>
        <row r="8">
          <cell r="A8">
            <v>45412</v>
          </cell>
          <cell r="B8">
            <v>1589576.8577699172</v>
          </cell>
          <cell r="C8">
            <v>5937051.706909271</v>
          </cell>
          <cell r="D8">
            <v>2.4838069830273573E-2</v>
          </cell>
          <cell r="E8">
            <v>9.2769911792149481E-2</v>
          </cell>
        </row>
        <row r="9">
          <cell r="A9">
            <v>45443</v>
          </cell>
          <cell r="B9">
            <v>2078878.0091780596</v>
          </cell>
          <cell r="C9">
            <v>8015929.7160873301</v>
          </cell>
          <cell r="D9">
            <v>3.2483687031670844E-2</v>
          </cell>
          <cell r="E9">
            <v>0.12525359882382031</v>
          </cell>
        </row>
        <row r="10">
          <cell r="A10">
            <v>45473</v>
          </cell>
          <cell r="B10">
            <v>1914089.6860240418</v>
          </cell>
          <cell r="C10">
            <v>9930019.402111372</v>
          </cell>
          <cell r="D10">
            <v>2.9908772923110248E-2</v>
          </cell>
          <cell r="E10">
            <v>0.15516237174693057</v>
          </cell>
        </row>
        <row r="11">
          <cell r="A11">
            <v>45504</v>
          </cell>
          <cell r="B11">
            <v>3867367.219574295</v>
          </cell>
          <cell r="C11">
            <v>13797386.621685667</v>
          </cell>
          <cell r="D11">
            <v>6.042987892630805E-2</v>
          </cell>
          <cell r="E11">
            <v>0.21559225067323862</v>
          </cell>
        </row>
        <row r="12">
          <cell r="A12">
            <v>45535</v>
          </cell>
          <cell r="B12">
            <v>5927495.3209424885</v>
          </cell>
          <cell r="C12">
            <v>19724881.942628156</v>
          </cell>
          <cell r="D12">
            <v>9.2620587661763634E-2</v>
          </cell>
          <cell r="E12">
            <v>0.30821283833500224</v>
          </cell>
        </row>
        <row r="13">
          <cell r="A13">
            <v>45565</v>
          </cell>
          <cell r="B13">
            <v>6679081.7009011982</v>
          </cell>
          <cell r="C13">
            <v>26403963.643529356</v>
          </cell>
          <cell r="D13">
            <v>0.10436456524777794</v>
          </cell>
          <cell r="E13">
            <v>0.41257740358278017</v>
          </cell>
        </row>
        <row r="14">
          <cell r="A14">
            <v>45596</v>
          </cell>
          <cell r="B14">
            <v>7850398.9042964038</v>
          </cell>
          <cell r="C14">
            <v>34254362.547825761</v>
          </cell>
          <cell r="D14">
            <v>0.1226670828952398</v>
          </cell>
          <cell r="E14">
            <v>0.53524448647801992</v>
          </cell>
        </row>
        <row r="15">
          <cell r="A15">
            <v>45626</v>
          </cell>
          <cell r="B15">
            <v>9116291.0492415223</v>
          </cell>
          <cell r="C15">
            <v>43370653.597067282</v>
          </cell>
          <cell r="D15">
            <v>0.14244738942150198</v>
          </cell>
          <cell r="E15">
            <v>0.67769187589952185</v>
          </cell>
        </row>
        <row r="16">
          <cell r="A16">
            <v>45657</v>
          </cell>
          <cell r="B16">
            <v>6699461.3081104271</v>
          </cell>
          <cell r="C16">
            <v>50070114.905177712</v>
          </cell>
          <cell r="D16">
            <v>0.10468300855204606</v>
          </cell>
          <cell r="E16">
            <v>0.78237488445156789</v>
          </cell>
        </row>
        <row r="17">
          <cell r="A17">
            <v>45688</v>
          </cell>
          <cell r="B17">
            <v>5102216.0552959936</v>
          </cell>
          <cell r="C17">
            <v>55172330.960473709</v>
          </cell>
          <cell r="D17">
            <v>7.9725115555833184E-2</v>
          </cell>
          <cell r="E17">
            <v>0.86210000000740106</v>
          </cell>
        </row>
        <row r="18">
          <cell r="A18">
            <v>45716</v>
          </cell>
          <cell r="B18">
            <v>3487869.1998127992</v>
          </cell>
          <cell r="C18">
            <v>58660200.160286509</v>
          </cell>
          <cell r="D18">
            <v>5.449999999707484E-2</v>
          </cell>
          <cell r="E18">
            <v>0.91660000000447595</v>
          </cell>
        </row>
        <row r="19">
          <cell r="A19">
            <v>45747</v>
          </cell>
          <cell r="B19">
            <v>2393510.2398715355</v>
          </cell>
          <cell r="C19">
            <v>61053710.400158048</v>
          </cell>
          <cell r="D19">
            <v>3.7399999997992643E-2</v>
          </cell>
          <cell r="E19">
            <v>0.95400000000246854</v>
          </cell>
        </row>
        <row r="20">
          <cell r="A20">
            <v>45777</v>
          </cell>
          <cell r="B20">
            <v>1139157.2799388592</v>
          </cell>
          <cell r="C20">
            <v>62192867.680096909</v>
          </cell>
          <cell r="D20">
            <v>1.7799999999044625E-2</v>
          </cell>
          <cell r="E20">
            <v>0.97180000000151312</v>
          </cell>
        </row>
        <row r="21">
          <cell r="A21">
            <v>45808</v>
          </cell>
          <cell r="B21">
            <v>575978.39996908593</v>
          </cell>
          <cell r="C21">
            <v>62768846.080065995</v>
          </cell>
          <cell r="D21">
            <v>8.999999999516943E-3</v>
          </cell>
          <cell r="E21">
            <v>0.98080000000103007</v>
          </cell>
        </row>
        <row r="22">
          <cell r="A22">
            <v>45838</v>
          </cell>
          <cell r="B22">
            <v>383985.59997939074</v>
          </cell>
          <cell r="C22">
            <v>63152831.680045389</v>
          </cell>
          <cell r="D22">
            <v>5.9999999996779643E-3</v>
          </cell>
          <cell r="E22">
            <v>0.986800000000708</v>
          </cell>
        </row>
        <row r="23">
          <cell r="A23">
            <v>45869</v>
          </cell>
          <cell r="B23">
            <v>255990.39998626048</v>
          </cell>
          <cell r="C23">
            <v>63408822.080031648</v>
          </cell>
          <cell r="D23">
            <v>3.999999999785309E-3</v>
          </cell>
          <cell r="E23">
            <v>0.99080000000049329</v>
          </cell>
        </row>
        <row r="24">
          <cell r="A24">
            <v>45900</v>
          </cell>
          <cell r="B24">
            <v>204792.31998900842</v>
          </cell>
          <cell r="C24">
            <v>63613614.400020659</v>
          </cell>
          <cell r="D24">
            <v>3.1999999998282478E-3</v>
          </cell>
          <cell r="E24">
            <v>0.99400000000032152</v>
          </cell>
        </row>
        <row r="25">
          <cell r="A25">
            <v>45930</v>
          </cell>
          <cell r="B25">
            <v>153594.23999175624</v>
          </cell>
          <cell r="C25">
            <v>63767208.640012413</v>
          </cell>
          <cell r="D25">
            <v>2.3999999998711849E-3</v>
          </cell>
          <cell r="E25">
            <v>0.99640000000019269</v>
          </cell>
        </row>
        <row r="26">
          <cell r="A26">
            <v>45961</v>
          </cell>
          <cell r="B26">
            <v>95996.399994847685</v>
          </cell>
          <cell r="C26">
            <v>63863205.040007263</v>
          </cell>
          <cell r="D26">
            <v>1.4999999999194911E-3</v>
          </cell>
          <cell r="E26">
            <v>0.99790000000011214</v>
          </cell>
        </row>
        <row r="27">
          <cell r="A27">
            <v>45991</v>
          </cell>
          <cell r="B27">
            <v>89596.639995191159</v>
          </cell>
          <cell r="C27">
            <v>63952801.680002451</v>
          </cell>
          <cell r="D27">
            <v>1.3999999999248581E-3</v>
          </cell>
          <cell r="E27">
            <v>0.99930000000003705</v>
          </cell>
        </row>
        <row r="28">
          <cell r="A28">
            <v>46022</v>
          </cell>
          <cell r="B28">
            <v>44798.319997595579</v>
          </cell>
          <cell r="C28">
            <v>63997600.000000045</v>
          </cell>
          <cell r="D28">
            <v>6.9999999996242903E-4</v>
          </cell>
          <cell r="E28">
            <v>0.99999999999999944</v>
          </cell>
        </row>
      </sheetData>
      <sheetData sheetId="11">
        <row r="26">
          <cell r="E26">
            <v>-5317116.1585714277</v>
          </cell>
        </row>
      </sheetData>
      <sheetData sheetId="12">
        <row r="22">
          <cell r="K22">
            <v>40000000</v>
          </cell>
        </row>
        <row r="42">
          <cell r="K42">
            <v>57140714.285714276</v>
          </cell>
        </row>
        <row r="46">
          <cell r="K46">
            <v>42300000</v>
          </cell>
        </row>
        <row r="102">
          <cell r="J102">
            <v>0.92179220053865008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87F8-8B99-0746-839F-255ABD8527FC}">
  <sheetPr>
    <tabColor rgb="FF00B050"/>
  </sheetPr>
  <dimension ref="C2:H57"/>
  <sheetViews>
    <sheetView showGridLines="0" topLeftCell="A15" zoomScaleNormal="100" workbookViewId="0">
      <selection activeCell="F17" sqref="F17"/>
    </sheetView>
  </sheetViews>
  <sheetFormatPr baseColWidth="10" defaultColWidth="9.1640625" defaultRowHeight="15"/>
  <cols>
    <col min="1" max="1" width="3" style="4" customWidth="1"/>
    <col min="2" max="2" width="9.1640625" style="4"/>
    <col min="3" max="3" width="6.83203125" style="7" customWidth="1"/>
    <col min="4" max="4" width="44.83203125" style="4" bestFit="1" customWidth="1"/>
    <col min="5" max="5" width="14.33203125" style="4" bestFit="1" customWidth="1"/>
    <col min="6" max="6" width="20.5" style="4" bestFit="1" customWidth="1"/>
    <col min="7" max="7" width="10.83203125" style="4" bestFit="1" customWidth="1"/>
    <col min="8" max="8" width="61.33203125" style="4" customWidth="1"/>
    <col min="9" max="9" width="10.5" style="4" bestFit="1" customWidth="1"/>
    <col min="10" max="16384" width="9.1640625" style="4"/>
  </cols>
  <sheetData>
    <row r="2" spans="3:8" ht="29">
      <c r="C2" s="1" t="s">
        <v>0</v>
      </c>
      <c r="D2" s="2"/>
      <c r="E2" s="2"/>
      <c r="F2" s="2"/>
      <c r="G2" s="2"/>
      <c r="H2" s="3" t="s">
        <v>1</v>
      </c>
    </row>
    <row r="3" spans="3:8">
      <c r="C3" s="5" t="s">
        <v>2</v>
      </c>
      <c r="D3" s="6"/>
      <c r="E3" s="6"/>
      <c r="F3" s="6"/>
      <c r="G3" s="6"/>
      <c r="H3" s="6"/>
    </row>
    <row r="5" spans="3:8">
      <c r="D5" s="8" t="s">
        <v>3</v>
      </c>
    </row>
    <row r="6" spans="3:8">
      <c r="D6" s="9" t="s">
        <v>4</v>
      </c>
    </row>
    <row r="7" spans="3:8">
      <c r="D7" s="9" t="s">
        <v>5</v>
      </c>
    </row>
    <row r="8" spans="3:8">
      <c r="D8" s="9" t="s">
        <v>6</v>
      </c>
    </row>
    <row r="9" spans="3:8">
      <c r="D9" s="9" t="s">
        <v>7</v>
      </c>
    </row>
    <row r="10" spans="3:8">
      <c r="H10" s="10"/>
    </row>
    <row r="11" spans="3:8">
      <c r="C11" s="11" t="s">
        <v>8</v>
      </c>
      <c r="D11" s="11" t="s">
        <v>9</v>
      </c>
      <c r="E11" s="12"/>
      <c r="F11" s="13"/>
    </row>
    <row r="12" spans="3:8">
      <c r="D12" s="14" t="s">
        <v>10</v>
      </c>
      <c r="E12" s="15"/>
      <c r="F12" s="16">
        <f>[9]Inputs!F13</f>
        <v>40000000</v>
      </c>
      <c r="H12" s="17" t="s">
        <v>11</v>
      </c>
    </row>
    <row r="13" spans="3:8">
      <c r="D13" s="14" t="s">
        <v>12</v>
      </c>
      <c r="E13" s="18">
        <v>0.03</v>
      </c>
      <c r="F13" s="10">
        <f>E13*F12</f>
        <v>1200000</v>
      </c>
      <c r="H13" s="17" t="s">
        <v>13</v>
      </c>
    </row>
    <row r="14" spans="3:8">
      <c r="D14" s="14" t="s">
        <v>14</v>
      </c>
      <c r="E14" s="18">
        <f>F14/F12</f>
        <v>9.9149748500000009E-2</v>
      </c>
      <c r="F14" s="16">
        <f>SUM([9]Inputs!Q17:Q18)+[9]Inputs!Q14</f>
        <v>3965989.9400000004</v>
      </c>
      <c r="H14" s="17" t="s">
        <v>15</v>
      </c>
    </row>
    <row r="15" spans="3:8">
      <c r="D15" s="14" t="s">
        <v>16</v>
      </c>
      <c r="E15" s="18">
        <f>F15/F12</f>
        <v>2.176206E-3</v>
      </c>
      <c r="F15" s="16">
        <f>[9]Inputs!Q16</f>
        <v>87048.24</v>
      </c>
      <c r="H15" s="17" t="s">
        <v>17</v>
      </c>
    </row>
    <row r="16" spans="3:8">
      <c r="D16" s="14" t="s">
        <v>18</v>
      </c>
      <c r="E16" s="18">
        <v>0.01</v>
      </c>
      <c r="F16" s="16">
        <f>E16*F12</f>
        <v>400000</v>
      </c>
      <c r="H16" s="17" t="s">
        <v>19</v>
      </c>
    </row>
    <row r="17" spans="3:8" ht="16" thickBot="1">
      <c r="D17" s="19" t="s">
        <v>20</v>
      </c>
      <c r="E17" s="20"/>
      <c r="F17" s="21">
        <f>SUM(F12:F16)</f>
        <v>45653038.18</v>
      </c>
      <c r="H17" s="17"/>
    </row>
    <row r="19" spans="3:8">
      <c r="C19" s="11" t="s">
        <v>21</v>
      </c>
      <c r="D19" s="11" t="s">
        <v>22</v>
      </c>
      <c r="E19" s="12"/>
      <c r="F19" s="13"/>
    </row>
    <row r="20" spans="3:8">
      <c r="D20" s="4" t="s">
        <v>23</v>
      </c>
      <c r="E20" s="22"/>
      <c r="F20" s="23">
        <f>[9]Inputs!F22</f>
        <v>7589</v>
      </c>
      <c r="H20" s="17" t="s">
        <v>24</v>
      </c>
    </row>
    <row r="21" spans="3:8">
      <c r="D21" s="4" t="s">
        <v>25</v>
      </c>
      <c r="E21" s="16">
        <v>400</v>
      </c>
      <c r="F21" s="10">
        <f>E21*F20</f>
        <v>3035600</v>
      </c>
      <c r="H21" s="17" t="s">
        <v>26</v>
      </c>
    </row>
    <row r="22" spans="3:8">
      <c r="D22" s="4" t="s">
        <v>27</v>
      </c>
      <c r="E22" s="22"/>
      <c r="F22" s="16">
        <v>6267.404576799755</v>
      </c>
      <c r="H22" s="17" t="s">
        <v>28</v>
      </c>
    </row>
    <row r="23" spans="3:8">
      <c r="D23" s="4" t="s">
        <v>29</v>
      </c>
      <c r="E23" s="15"/>
      <c r="F23" s="16">
        <v>250000</v>
      </c>
      <c r="H23" s="17" t="s">
        <v>30</v>
      </c>
    </row>
    <row r="24" spans="3:8">
      <c r="D24" s="4" t="s">
        <v>31</v>
      </c>
      <c r="F24" s="24">
        <v>0.27500000000000002</v>
      </c>
      <c r="H24" s="17" t="s">
        <v>32</v>
      </c>
    </row>
    <row r="25" spans="3:8" ht="16" thickBot="1">
      <c r="D25" s="25" t="s">
        <v>33</v>
      </c>
      <c r="E25" s="20"/>
      <c r="F25" s="21">
        <f>(F20*F22+F23)*(1+F24)+F21</f>
        <v>63997600.000000007</v>
      </c>
      <c r="H25" s="17"/>
    </row>
    <row r="26" spans="3:8">
      <c r="E26" s="22"/>
      <c r="F26" s="10"/>
      <c r="H26" s="17"/>
    </row>
    <row r="27" spans="3:8">
      <c r="C27" s="11" t="s">
        <v>34</v>
      </c>
      <c r="D27" s="11" t="s">
        <v>35</v>
      </c>
      <c r="E27" s="11"/>
      <c r="F27" s="11"/>
    </row>
    <row r="28" spans="3:8">
      <c r="D28" s="7" t="s">
        <v>36</v>
      </c>
      <c r="E28" s="7"/>
      <c r="F28" s="16">
        <f>[9]Inputs!F43</f>
        <v>203728159.99999997</v>
      </c>
      <c r="H28" s="17" t="s">
        <v>37</v>
      </c>
    </row>
    <row r="29" spans="3:8">
      <c r="D29" s="14" t="s">
        <v>38</v>
      </c>
      <c r="E29" s="7"/>
      <c r="F29" s="16">
        <f>F28*1%</f>
        <v>2037281.5999999999</v>
      </c>
      <c r="H29" s="17" t="s">
        <v>39</v>
      </c>
    </row>
    <row r="30" spans="3:8">
      <c r="D30" s="14" t="s">
        <v>40</v>
      </c>
      <c r="E30" s="18">
        <v>0.05</v>
      </c>
      <c r="F30" s="10">
        <f>E30*F28</f>
        <v>10186408</v>
      </c>
    </row>
    <row r="31" spans="3:8">
      <c r="D31" s="7" t="s">
        <v>41</v>
      </c>
      <c r="F31" s="18" t="s">
        <v>42</v>
      </c>
    </row>
    <row r="32" spans="3:8">
      <c r="D32" s="14" t="s">
        <v>43</v>
      </c>
      <c r="E32" s="26">
        <v>0.15</v>
      </c>
      <c r="F32" s="10">
        <f>(F28-F29-F30-F17-F25)*E32*((F28-F29-F30-F17-F25)&gt;0)</f>
        <v>12278074.832999995</v>
      </c>
      <c r="H32" s="17" t="s">
        <v>44</v>
      </c>
    </row>
    <row r="33" spans="3:8">
      <c r="D33" s="14" t="s">
        <v>45</v>
      </c>
      <c r="E33" s="27">
        <f>0.04</f>
        <v>0.04</v>
      </c>
      <c r="F33" s="10">
        <f>E33*F28</f>
        <v>8149126.3999999994</v>
      </c>
      <c r="H33" s="17" t="s">
        <v>46</v>
      </c>
    </row>
    <row r="35" spans="3:8">
      <c r="C35" s="11" t="s">
        <v>47</v>
      </c>
      <c r="D35" s="11" t="s">
        <v>48</v>
      </c>
      <c r="E35" s="11"/>
      <c r="F35" s="11"/>
    </row>
    <row r="36" spans="3:8">
      <c r="E36" s="28" t="s">
        <v>49</v>
      </c>
      <c r="F36" s="28" t="s">
        <v>50</v>
      </c>
    </row>
    <row r="37" spans="3:8">
      <c r="D37" s="7" t="s">
        <v>51</v>
      </c>
      <c r="E37" s="29">
        <f ca="1">EOMONTH(TODAY(),0)+45</f>
        <v>45030</v>
      </c>
      <c r="F37" s="30">
        <v>1</v>
      </c>
      <c r="G37" s="31">
        <f ca="1">EOMONTH(E37,0)</f>
        <v>45046</v>
      </c>
    </row>
    <row r="38" spans="3:8">
      <c r="D38" s="7" t="s">
        <v>52</v>
      </c>
      <c r="E38" s="29">
        <f ca="1">EOMONTH(E37,1)+365</f>
        <v>45442</v>
      </c>
      <c r="F38" s="30">
        <v>24</v>
      </c>
      <c r="G38" s="31">
        <f t="shared" ref="G38:G42" ca="1" si="0">EOMONTH(E38,0)</f>
        <v>45443</v>
      </c>
    </row>
    <row r="39" spans="3:8">
      <c r="D39" s="7" t="s">
        <v>35</v>
      </c>
    </row>
    <row r="40" spans="3:8">
      <c r="C40" s="18">
        <v>0.3</v>
      </c>
      <c r="D40" s="32" t="s">
        <v>53</v>
      </c>
      <c r="E40" s="29">
        <f ca="1">E38-30</f>
        <v>45412</v>
      </c>
      <c r="F40" s="30">
        <v>1</v>
      </c>
      <c r="G40" s="31">
        <f t="shared" ca="1" si="0"/>
        <v>45412</v>
      </c>
    </row>
    <row r="41" spans="3:8">
      <c r="C41" s="18">
        <v>0.6</v>
      </c>
      <c r="D41" s="32" t="s">
        <v>54</v>
      </c>
      <c r="E41" s="29">
        <f ca="1">E38</f>
        <v>45442</v>
      </c>
      <c r="F41" s="30">
        <f>F38</f>
        <v>24</v>
      </c>
      <c r="G41" s="31">
        <f t="shared" ca="1" si="0"/>
        <v>45443</v>
      </c>
    </row>
    <row r="42" spans="3:8">
      <c r="C42" s="26">
        <f>IF(1-C41-C40&lt;0,"Erro!",1-C41-C40)</f>
        <v>0.10000000000000003</v>
      </c>
      <c r="D42" s="32" t="s">
        <v>55</v>
      </c>
      <c r="E42" s="29">
        <f ca="1">EOMONTH(E41,F41)</f>
        <v>46173</v>
      </c>
      <c r="F42" s="30">
        <v>1</v>
      </c>
      <c r="G42" s="31">
        <f t="shared" ca="1" si="0"/>
        <v>46173</v>
      </c>
    </row>
    <row r="43" spans="3:8">
      <c r="C43" s="4"/>
    </row>
    <row r="44" spans="3:8">
      <c r="C44" s="11" t="s">
        <v>56</v>
      </c>
      <c r="D44" s="11" t="s">
        <v>57</v>
      </c>
      <c r="E44" s="11"/>
      <c r="F44" s="11"/>
    </row>
    <row r="45" spans="3:8">
      <c r="D45" s="7"/>
      <c r="E45" s="7"/>
      <c r="F45" s="7"/>
    </row>
    <row r="46" spans="3:8">
      <c r="D46" s="33" t="s">
        <v>58</v>
      </c>
      <c r="E46" s="33"/>
      <c r="F46" s="34">
        <f>F28</f>
        <v>203728159.99999997</v>
      </c>
    </row>
    <row r="47" spans="3:8">
      <c r="D47" s="35" t="s">
        <v>59</v>
      </c>
      <c r="E47" s="33"/>
      <c r="F47" s="34">
        <f>-(F29+F30+IF(F31="Pessoa física",F32,F33))</f>
        <v>-20372816</v>
      </c>
      <c r="H47" s="17"/>
    </row>
    <row r="48" spans="3:8">
      <c r="D48" s="36" t="s">
        <v>60</v>
      </c>
      <c r="E48" s="33"/>
      <c r="F48" s="34">
        <f>SUM(F46:F47)</f>
        <v>183355343.99999997</v>
      </c>
      <c r="H48" s="17"/>
    </row>
    <row r="49" spans="3:8">
      <c r="D49" s="35" t="s">
        <v>61</v>
      </c>
      <c r="E49" s="33"/>
      <c r="F49" s="34">
        <f>-(F17+F25)</f>
        <v>-109650638.18000001</v>
      </c>
    </row>
    <row r="50" spans="3:8" ht="16" thickBot="1">
      <c r="D50" s="37" t="s">
        <v>62</v>
      </c>
      <c r="E50" s="37"/>
      <c r="F50" s="38">
        <f>F48+F49</f>
        <v>73704705.819999963</v>
      </c>
      <c r="H50" s="17"/>
    </row>
    <row r="51" spans="3:8">
      <c r="D51" s="39" t="s">
        <v>63</v>
      </c>
      <c r="E51" s="39"/>
      <c r="F51" s="40">
        <f>F50/-F49</f>
        <v>0.6721776274480773</v>
      </c>
    </row>
    <row r="52" spans="3:8">
      <c r="D52" s="39" t="s">
        <v>64</v>
      </c>
      <c r="E52" s="39"/>
      <c r="F52" s="41">
        <f>F50/-F49+1</f>
        <v>1.6721776274480773</v>
      </c>
    </row>
    <row r="54" spans="3:8">
      <c r="C54" s="11" t="s">
        <v>65</v>
      </c>
      <c r="D54" s="11" t="s">
        <v>66</v>
      </c>
      <c r="E54" s="11"/>
      <c r="F54" s="11"/>
    </row>
    <row r="55" spans="3:8">
      <c r="D55" s="4" t="s">
        <v>67</v>
      </c>
      <c r="F55" s="34">
        <f ca="1">-MIN('Fluxo_de_Caixa Casas'!G13:BN13)</f>
        <v>45653038.18</v>
      </c>
      <c r="H55" s="17" t="s">
        <v>68</v>
      </c>
    </row>
    <row r="56" spans="3:8">
      <c r="D56" s="4" t="s">
        <v>69</v>
      </c>
      <c r="F56" s="42">
        <f ca="1">XIRR('Fluxo_de_Caixa Casas'!G12:AM12,'Fluxo_de_Caixa Casas'!G4:AM4,)</f>
        <v>1.2429817080497747</v>
      </c>
      <c r="H56" s="17" t="s">
        <v>70</v>
      </c>
    </row>
    <row r="57" spans="3:8">
      <c r="D57" s="4" t="s">
        <v>71</v>
      </c>
      <c r="F57" s="43">
        <f ca="1">IF('Fluxo_de_Caixa Casas'!G13&gt;=0,'Fluxo_de_Caixa Casas'!G3,IF('Fluxo_de_Caixa Casas'!H13&gt;=0,'Fluxo_de_Caixa Casas'!H3,IF('Fluxo_de_Caixa Casas'!I13&gt;=0,'Fluxo_de_Caixa Casas'!I3,IF('Fluxo_de_Caixa Casas'!J13&gt;=0,'Fluxo_de_Caixa Casas'!J3,IF('Fluxo_de_Caixa Casas'!K13&gt;=0,'Fluxo_de_Caixa Casas'!K3,IF('Fluxo_de_Caixa Casas'!L13&gt;=0,'Fluxo_de_Caixa Casas'!L3,IF('Fluxo_de_Caixa Casas'!M13&gt;=0,'Fluxo_de_Caixa Casas'!M3,IF('Fluxo_de_Caixa Casas'!N3&gt;=0,'Fluxo_de_Caixa Casas'!N3,IF('Fluxo_de_Caixa Casas'!O13&gt;=0,'Fluxo_de_Caixa Casas'!O3,IF('Fluxo_de_Caixa Casas'!P13&gt;=0,'Fluxo_de_Caixa Casas'!P3,IF('Fluxo_de_Caixa Casas'!Q13&gt;=0,'Fluxo_de_Caixa Casas'!Q3,IF('Fluxo_de_Caixa Casas'!R13&gt;=0,'Fluxo_de_Caixa Casas'!R3,IF('Fluxo_de_Caixa Casas'!S13&gt;=0,'Fluxo_de_Caixa Casas'!S3,"Erro")))))))))))))+10</f>
        <v>18</v>
      </c>
      <c r="H57" s="17" t="s">
        <v>72</v>
      </c>
    </row>
  </sheetData>
  <dataValidations count="1">
    <dataValidation type="list" allowBlank="1" showInputMessage="1" showErrorMessage="1" sqref="F31" xr:uid="{5FFEADA1-0E8E-894B-AEC6-AACB62B08795}">
      <formula1>"Pessoa física,Pessoa jurídica"</formula1>
    </dataValidation>
  </dataValidations>
  <pageMargins left="0.7" right="0.7" top="0.75" bottom="0.75" header="0.3" footer="0.3"/>
  <pageSetup orientation="portrait" horizontalDpi="90" verticalDpi="90" r:id="rId1"/>
  <headerFooter>
    <oddFooter>&amp;L&amp;1#&amp;"Calibri"&amp;10&amp;K000000Internal Use Only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0A-0511-6740-A9CB-22B2D93211BD}">
  <sheetPr>
    <tabColor rgb="FF00B050"/>
  </sheetPr>
  <dimension ref="A1:BN13"/>
  <sheetViews>
    <sheetView showGridLines="0" topLeftCell="U1" zoomScale="122" workbookViewId="0">
      <selection activeCell="C8" sqref="B8:Z11"/>
    </sheetView>
  </sheetViews>
  <sheetFormatPr baseColWidth="10" defaultColWidth="9.1640625" defaultRowHeight="15" outlineLevelCol="1"/>
  <cols>
    <col min="1" max="1" width="9.1640625" style="4"/>
    <col min="2" max="2" width="24.5" style="4" bestFit="1" customWidth="1"/>
    <col min="3" max="3" width="11.83203125" style="4" bestFit="1" customWidth="1" outlineLevel="1"/>
    <col min="4" max="4" width="7.1640625" style="4" customWidth="1" outlineLevel="1"/>
    <col min="5" max="5" width="8.33203125" style="4" customWidth="1" outlineLevel="1"/>
    <col min="6" max="6" width="2.5" style="4" customWidth="1"/>
    <col min="7" max="66" width="11.6640625" style="4" bestFit="1" customWidth="1"/>
    <col min="67" max="16384" width="9.1640625" style="4"/>
  </cols>
  <sheetData>
    <row r="1" spans="1:66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</row>
    <row r="2" spans="1:66" ht="16" thickBot="1"/>
    <row r="3" spans="1:66" ht="16" thickBot="1">
      <c r="B3" s="45" t="s">
        <v>73</v>
      </c>
      <c r="C3" s="200" t="s">
        <v>74</v>
      </c>
      <c r="D3" s="201"/>
      <c r="G3" s="46">
        <v>1</v>
      </c>
      <c r="H3" s="46">
        <v>2</v>
      </c>
      <c r="I3" s="46">
        <v>3</v>
      </c>
      <c r="J3" s="46">
        <v>4</v>
      </c>
      <c r="K3" s="46">
        <v>5</v>
      </c>
      <c r="L3" s="46">
        <v>6</v>
      </c>
      <c r="M3" s="46">
        <v>7</v>
      </c>
      <c r="N3" s="46">
        <v>8</v>
      </c>
      <c r="O3" s="46">
        <v>9</v>
      </c>
      <c r="P3" s="46">
        <v>10</v>
      </c>
      <c r="Q3" s="46">
        <v>11</v>
      </c>
      <c r="R3" s="46">
        <v>12</v>
      </c>
      <c r="S3" s="46">
        <v>13</v>
      </c>
      <c r="T3" s="46">
        <v>14</v>
      </c>
      <c r="U3" s="46">
        <v>15</v>
      </c>
      <c r="V3" s="46">
        <v>16</v>
      </c>
      <c r="W3" s="46">
        <v>17</v>
      </c>
      <c r="X3" s="46">
        <v>18</v>
      </c>
      <c r="Y3" s="46">
        <v>19</v>
      </c>
      <c r="Z3" s="46">
        <v>20</v>
      </c>
      <c r="AA3" s="46">
        <v>21</v>
      </c>
      <c r="AB3" s="46">
        <v>22</v>
      </c>
      <c r="AC3" s="46">
        <v>23</v>
      </c>
      <c r="AD3" s="46">
        <v>24</v>
      </c>
      <c r="AE3" s="46">
        <v>25</v>
      </c>
      <c r="AF3" s="46">
        <v>26</v>
      </c>
      <c r="AG3" s="46">
        <v>27</v>
      </c>
      <c r="AH3" s="46">
        <v>28</v>
      </c>
      <c r="AI3" s="46">
        <v>29</v>
      </c>
      <c r="AJ3" s="46">
        <v>30</v>
      </c>
      <c r="AK3" s="46">
        <v>31</v>
      </c>
      <c r="AL3" s="46">
        <v>32</v>
      </c>
      <c r="AM3" s="46">
        <v>33</v>
      </c>
      <c r="AN3" s="46">
        <v>34</v>
      </c>
      <c r="AO3" s="46">
        <v>35</v>
      </c>
      <c r="AP3" s="46">
        <v>36</v>
      </c>
      <c r="AQ3" s="46">
        <v>37</v>
      </c>
      <c r="AR3" s="46">
        <v>38</v>
      </c>
      <c r="AS3" s="46">
        <v>39</v>
      </c>
      <c r="AT3" s="46">
        <v>40</v>
      </c>
      <c r="AU3" s="46">
        <v>41</v>
      </c>
      <c r="AV3" s="46">
        <v>42</v>
      </c>
      <c r="AW3" s="46">
        <v>43</v>
      </c>
      <c r="AX3" s="46">
        <v>44</v>
      </c>
      <c r="AY3" s="46">
        <v>45</v>
      </c>
      <c r="AZ3" s="46">
        <v>46</v>
      </c>
      <c r="BA3" s="46">
        <v>47</v>
      </c>
      <c r="BB3" s="46">
        <v>48</v>
      </c>
      <c r="BC3" s="46">
        <v>49</v>
      </c>
      <c r="BD3" s="46">
        <v>50</v>
      </c>
      <c r="BE3" s="46">
        <v>51</v>
      </c>
      <c r="BF3" s="46">
        <v>52</v>
      </c>
      <c r="BG3" s="46">
        <v>53</v>
      </c>
      <c r="BH3" s="46">
        <v>54</v>
      </c>
      <c r="BI3" s="46">
        <v>55</v>
      </c>
      <c r="BJ3" s="46">
        <v>56</v>
      </c>
      <c r="BK3" s="46">
        <v>57</v>
      </c>
      <c r="BL3" s="46">
        <v>58</v>
      </c>
      <c r="BM3" s="46">
        <v>59</v>
      </c>
      <c r="BN3" s="46">
        <v>60</v>
      </c>
    </row>
    <row r="4" spans="1:66">
      <c r="C4" s="47" t="s">
        <v>75</v>
      </c>
      <c r="D4" s="47" t="s">
        <v>76</v>
      </c>
      <c r="E4" s="47" t="s">
        <v>50</v>
      </c>
      <c r="F4" s="47"/>
      <c r="G4" s="48">
        <f ca="1">MIN(Investimento_Casas!E37:E38,Investimento_Casas!E40:E42)</f>
        <v>45030</v>
      </c>
      <c r="H4" s="49">
        <f ca="1">EOMONTH(G4,1)</f>
        <v>45077</v>
      </c>
      <c r="I4" s="49">
        <f t="shared" ref="I4:BN4" ca="1" si="0">EOMONTH(H4,1)</f>
        <v>45107</v>
      </c>
      <c r="J4" s="49">
        <f t="shared" ca="1" si="0"/>
        <v>45138</v>
      </c>
      <c r="K4" s="49">
        <f t="shared" ca="1" si="0"/>
        <v>45169</v>
      </c>
      <c r="L4" s="49">
        <f t="shared" ca="1" si="0"/>
        <v>45199</v>
      </c>
      <c r="M4" s="49">
        <f t="shared" ca="1" si="0"/>
        <v>45230</v>
      </c>
      <c r="N4" s="49">
        <f t="shared" ca="1" si="0"/>
        <v>45260</v>
      </c>
      <c r="O4" s="49">
        <f t="shared" ca="1" si="0"/>
        <v>45291</v>
      </c>
      <c r="P4" s="49">
        <f t="shared" ca="1" si="0"/>
        <v>45322</v>
      </c>
      <c r="Q4" s="49">
        <f t="shared" ca="1" si="0"/>
        <v>45351</v>
      </c>
      <c r="R4" s="49">
        <f t="shared" ca="1" si="0"/>
        <v>45382</v>
      </c>
      <c r="S4" s="49">
        <f t="shared" ca="1" si="0"/>
        <v>45412</v>
      </c>
      <c r="T4" s="49">
        <f t="shared" ca="1" si="0"/>
        <v>45443</v>
      </c>
      <c r="U4" s="49">
        <f t="shared" ca="1" si="0"/>
        <v>45473</v>
      </c>
      <c r="V4" s="49">
        <f t="shared" ca="1" si="0"/>
        <v>45504</v>
      </c>
      <c r="W4" s="49">
        <f t="shared" ca="1" si="0"/>
        <v>45535</v>
      </c>
      <c r="X4" s="49">
        <f t="shared" ca="1" si="0"/>
        <v>45565</v>
      </c>
      <c r="Y4" s="49">
        <f t="shared" ca="1" si="0"/>
        <v>45596</v>
      </c>
      <c r="Z4" s="49">
        <f t="shared" ca="1" si="0"/>
        <v>45626</v>
      </c>
      <c r="AA4" s="49">
        <f t="shared" ca="1" si="0"/>
        <v>45657</v>
      </c>
      <c r="AB4" s="49">
        <f t="shared" ca="1" si="0"/>
        <v>45688</v>
      </c>
      <c r="AC4" s="49">
        <f t="shared" ca="1" si="0"/>
        <v>45716</v>
      </c>
      <c r="AD4" s="49">
        <f t="shared" ca="1" si="0"/>
        <v>45747</v>
      </c>
      <c r="AE4" s="49">
        <f t="shared" ca="1" si="0"/>
        <v>45777</v>
      </c>
      <c r="AF4" s="49">
        <f t="shared" ca="1" si="0"/>
        <v>45808</v>
      </c>
      <c r="AG4" s="49">
        <f t="shared" ca="1" si="0"/>
        <v>45838</v>
      </c>
      <c r="AH4" s="49">
        <f t="shared" ca="1" si="0"/>
        <v>45869</v>
      </c>
      <c r="AI4" s="49">
        <f t="shared" ca="1" si="0"/>
        <v>45900</v>
      </c>
      <c r="AJ4" s="49">
        <f t="shared" ca="1" si="0"/>
        <v>45930</v>
      </c>
      <c r="AK4" s="49">
        <f t="shared" ca="1" si="0"/>
        <v>45961</v>
      </c>
      <c r="AL4" s="49">
        <f t="shared" ca="1" si="0"/>
        <v>45991</v>
      </c>
      <c r="AM4" s="49">
        <f t="shared" ca="1" si="0"/>
        <v>46022</v>
      </c>
      <c r="AN4" s="49">
        <f t="shared" ca="1" si="0"/>
        <v>46053</v>
      </c>
      <c r="AO4" s="49">
        <f t="shared" ca="1" si="0"/>
        <v>46081</v>
      </c>
      <c r="AP4" s="49">
        <f t="shared" ca="1" si="0"/>
        <v>46112</v>
      </c>
      <c r="AQ4" s="49">
        <f t="shared" ca="1" si="0"/>
        <v>46142</v>
      </c>
      <c r="AR4" s="49">
        <f t="shared" ca="1" si="0"/>
        <v>46173</v>
      </c>
      <c r="AS4" s="49">
        <f t="shared" ca="1" si="0"/>
        <v>46203</v>
      </c>
      <c r="AT4" s="49">
        <f t="shared" ca="1" si="0"/>
        <v>46234</v>
      </c>
      <c r="AU4" s="49">
        <f t="shared" ca="1" si="0"/>
        <v>46265</v>
      </c>
      <c r="AV4" s="49">
        <f t="shared" ca="1" si="0"/>
        <v>46295</v>
      </c>
      <c r="AW4" s="49">
        <f t="shared" ca="1" si="0"/>
        <v>46326</v>
      </c>
      <c r="AX4" s="49">
        <f t="shared" ca="1" si="0"/>
        <v>46356</v>
      </c>
      <c r="AY4" s="49">
        <f t="shared" ca="1" si="0"/>
        <v>46387</v>
      </c>
      <c r="AZ4" s="49">
        <f t="shared" ca="1" si="0"/>
        <v>46418</v>
      </c>
      <c r="BA4" s="49">
        <f t="shared" ca="1" si="0"/>
        <v>46446</v>
      </c>
      <c r="BB4" s="49">
        <f t="shared" ca="1" si="0"/>
        <v>46477</v>
      </c>
      <c r="BC4" s="49">
        <f t="shared" ca="1" si="0"/>
        <v>46507</v>
      </c>
      <c r="BD4" s="49">
        <f t="shared" ca="1" si="0"/>
        <v>46538</v>
      </c>
      <c r="BE4" s="49">
        <f t="shared" ca="1" si="0"/>
        <v>46568</v>
      </c>
      <c r="BF4" s="49">
        <f t="shared" ca="1" si="0"/>
        <v>46599</v>
      </c>
      <c r="BG4" s="49">
        <f t="shared" ca="1" si="0"/>
        <v>46630</v>
      </c>
      <c r="BH4" s="49">
        <f t="shared" ca="1" si="0"/>
        <v>46660</v>
      </c>
      <c r="BI4" s="49">
        <f t="shared" ca="1" si="0"/>
        <v>46691</v>
      </c>
      <c r="BJ4" s="49">
        <f t="shared" ca="1" si="0"/>
        <v>46721</v>
      </c>
      <c r="BK4" s="49">
        <f t="shared" ca="1" si="0"/>
        <v>46752</v>
      </c>
      <c r="BL4" s="49">
        <f t="shared" ca="1" si="0"/>
        <v>46783</v>
      </c>
      <c r="BM4" s="49">
        <f t="shared" ca="1" si="0"/>
        <v>46812</v>
      </c>
      <c r="BN4" s="49">
        <f t="shared" ca="1" si="0"/>
        <v>46843</v>
      </c>
    </row>
    <row r="5" spans="1:66">
      <c r="B5" s="50" t="s">
        <v>51</v>
      </c>
      <c r="C5" s="51">
        <f>-Investimento_Casas!F17</f>
        <v>-45653038.18</v>
      </c>
      <c r="D5" s="52">
        <f ca="1">Investimento_Casas!E37</f>
        <v>45030</v>
      </c>
      <c r="E5" s="53">
        <f>Investimento_Casas!F37</f>
        <v>1</v>
      </c>
      <c r="F5" s="53"/>
      <c r="G5" s="54">
        <f>-Investimento_Casas!F17</f>
        <v>-45653038.18</v>
      </c>
      <c r="H5" s="54">
        <f t="shared" ref="H5:W5" ca="1" si="1">IF(AND(H$4&gt;=$D5,H$4&lt;EOMONTH($D5,$E5)),$C5/$E5,0)</f>
        <v>0</v>
      </c>
      <c r="I5" s="54">
        <f t="shared" ca="1" si="1"/>
        <v>0</v>
      </c>
      <c r="J5" s="54">
        <f t="shared" ca="1" si="1"/>
        <v>0</v>
      </c>
      <c r="K5" s="54">
        <f t="shared" ca="1" si="1"/>
        <v>0</v>
      </c>
      <c r="L5" s="54">
        <f t="shared" ca="1" si="1"/>
        <v>0</v>
      </c>
      <c r="M5" s="54">
        <f t="shared" ca="1" si="1"/>
        <v>0</v>
      </c>
      <c r="N5" s="54">
        <f t="shared" ca="1" si="1"/>
        <v>0</v>
      </c>
      <c r="O5" s="54">
        <f t="shared" ca="1" si="1"/>
        <v>0</v>
      </c>
      <c r="P5" s="54">
        <f t="shared" ca="1" si="1"/>
        <v>0</v>
      </c>
      <c r="Q5" s="54">
        <f t="shared" ca="1" si="1"/>
        <v>0</v>
      </c>
      <c r="R5" s="54">
        <f t="shared" ca="1" si="1"/>
        <v>0</v>
      </c>
      <c r="S5" s="54">
        <f t="shared" ca="1" si="1"/>
        <v>0</v>
      </c>
      <c r="T5" s="54">
        <f t="shared" ca="1" si="1"/>
        <v>0</v>
      </c>
      <c r="U5" s="54">
        <f t="shared" ca="1" si="1"/>
        <v>0</v>
      </c>
      <c r="V5" s="54">
        <f t="shared" ca="1" si="1"/>
        <v>0</v>
      </c>
      <c r="W5" s="54">
        <f t="shared" ca="1" si="1"/>
        <v>0</v>
      </c>
      <c r="X5" s="54">
        <f t="shared" ref="X5:BN6" ca="1" si="2">IF(AND(X$4&gt;=$D5,X$4&lt;EOMONTH($D5,$E5)),$C5/$E5,0)</f>
        <v>0</v>
      </c>
      <c r="Y5" s="54">
        <f t="shared" ca="1" si="2"/>
        <v>0</v>
      </c>
      <c r="Z5" s="54">
        <f t="shared" ca="1" si="2"/>
        <v>0</v>
      </c>
      <c r="AA5" s="54">
        <f t="shared" ca="1" si="2"/>
        <v>0</v>
      </c>
      <c r="AB5" s="54">
        <f t="shared" ca="1" si="2"/>
        <v>0</v>
      </c>
      <c r="AC5" s="54">
        <f t="shared" ca="1" si="2"/>
        <v>0</v>
      </c>
      <c r="AD5" s="54">
        <f t="shared" ca="1" si="2"/>
        <v>0</v>
      </c>
      <c r="AE5" s="54">
        <f t="shared" ca="1" si="2"/>
        <v>0</v>
      </c>
      <c r="AF5" s="54">
        <f t="shared" ca="1" si="2"/>
        <v>0</v>
      </c>
      <c r="AG5" s="54">
        <f t="shared" ca="1" si="2"/>
        <v>0</v>
      </c>
      <c r="AH5" s="54">
        <f t="shared" ca="1" si="2"/>
        <v>0</v>
      </c>
      <c r="AI5" s="54">
        <f t="shared" ca="1" si="2"/>
        <v>0</v>
      </c>
      <c r="AJ5" s="54">
        <f t="shared" ca="1" si="2"/>
        <v>0</v>
      </c>
      <c r="AK5" s="54">
        <f t="shared" ca="1" si="2"/>
        <v>0</v>
      </c>
      <c r="AL5" s="54">
        <f t="shared" ca="1" si="2"/>
        <v>0</v>
      </c>
      <c r="AM5" s="54">
        <f t="shared" ca="1" si="2"/>
        <v>0</v>
      </c>
      <c r="AN5" s="54">
        <f t="shared" ca="1" si="2"/>
        <v>0</v>
      </c>
      <c r="AO5" s="54">
        <f t="shared" ca="1" si="2"/>
        <v>0</v>
      </c>
      <c r="AP5" s="54">
        <f t="shared" ca="1" si="2"/>
        <v>0</v>
      </c>
      <c r="AQ5" s="54">
        <f t="shared" ca="1" si="2"/>
        <v>0</v>
      </c>
      <c r="AR5" s="54">
        <f t="shared" ca="1" si="2"/>
        <v>0</v>
      </c>
      <c r="AS5" s="54">
        <f t="shared" ca="1" si="2"/>
        <v>0</v>
      </c>
      <c r="AT5" s="54">
        <f t="shared" ca="1" si="2"/>
        <v>0</v>
      </c>
      <c r="AU5" s="54">
        <f t="shared" ca="1" si="2"/>
        <v>0</v>
      </c>
      <c r="AV5" s="54">
        <f t="shared" ca="1" si="2"/>
        <v>0</v>
      </c>
      <c r="AW5" s="54">
        <f t="shared" ca="1" si="2"/>
        <v>0</v>
      </c>
      <c r="AX5" s="54">
        <f t="shared" ca="1" si="2"/>
        <v>0</v>
      </c>
      <c r="AY5" s="54">
        <f t="shared" ca="1" si="2"/>
        <v>0</v>
      </c>
      <c r="AZ5" s="54">
        <f t="shared" ca="1" si="2"/>
        <v>0</v>
      </c>
      <c r="BA5" s="54">
        <f t="shared" ca="1" si="2"/>
        <v>0</v>
      </c>
      <c r="BB5" s="54">
        <f t="shared" ca="1" si="2"/>
        <v>0</v>
      </c>
      <c r="BC5" s="54">
        <f t="shared" ca="1" si="2"/>
        <v>0</v>
      </c>
      <c r="BD5" s="54">
        <f t="shared" ca="1" si="2"/>
        <v>0</v>
      </c>
      <c r="BE5" s="54">
        <f t="shared" ca="1" si="2"/>
        <v>0</v>
      </c>
      <c r="BF5" s="54">
        <f t="shared" ca="1" si="2"/>
        <v>0</v>
      </c>
      <c r="BG5" s="54">
        <f t="shared" ca="1" si="2"/>
        <v>0</v>
      </c>
      <c r="BH5" s="54">
        <f t="shared" ca="1" si="2"/>
        <v>0</v>
      </c>
      <c r="BI5" s="54">
        <f t="shared" ca="1" si="2"/>
        <v>0</v>
      </c>
      <c r="BJ5" s="54">
        <f t="shared" ca="1" si="2"/>
        <v>0</v>
      </c>
      <c r="BK5" s="54">
        <f t="shared" ca="1" si="2"/>
        <v>0</v>
      </c>
      <c r="BL5" s="54">
        <f t="shared" ca="1" si="2"/>
        <v>0</v>
      </c>
      <c r="BM5" s="54">
        <f t="shared" ca="1" si="2"/>
        <v>0</v>
      </c>
      <c r="BN5" s="54">
        <f t="shared" ca="1" si="2"/>
        <v>0</v>
      </c>
    </row>
    <row r="6" spans="1:66">
      <c r="B6" s="55" t="s">
        <v>52</v>
      </c>
      <c r="C6" s="56">
        <f>-Investimento_Casas!F25</f>
        <v>-63997600.000000007</v>
      </c>
      <c r="D6" s="57">
        <f ca="1">Investimento_Casas!E38</f>
        <v>45442</v>
      </c>
      <c r="E6" s="58">
        <f>Investimento_Casas!F38</f>
        <v>24</v>
      </c>
      <c r="F6" s="58"/>
      <c r="G6" s="59">
        <f t="shared" ref="G6:N6" ca="1" si="3">IF(AND(G$4&gt;=$D6,G$4&lt;EOMONTH($D6,$E6)),$C6/$E6,0)</f>
        <v>0</v>
      </c>
      <c r="H6" s="59">
        <f t="shared" ca="1" si="3"/>
        <v>0</v>
      </c>
      <c r="I6" s="59">
        <f t="shared" ca="1" si="3"/>
        <v>0</v>
      </c>
      <c r="J6" s="59">
        <f t="shared" ca="1" si="3"/>
        <v>0</v>
      </c>
      <c r="K6" s="59">
        <f t="shared" ca="1" si="3"/>
        <v>0</v>
      </c>
      <c r="L6" s="59">
        <f t="shared" ca="1" si="3"/>
        <v>0</v>
      </c>
      <c r="M6" s="59">
        <f t="shared" ca="1" si="3"/>
        <v>0</v>
      </c>
      <c r="N6" s="59">
        <f t="shared" ca="1" si="3"/>
        <v>0</v>
      </c>
      <c r="O6" s="59">
        <f>-'[9]Desembolso - LV'!B5</f>
        <v>-1255852.3471334944</v>
      </c>
      <c r="P6" s="59">
        <f ca="1">-VLOOKUP(P4,'[9]Desembolso - LV'!$A$5:$E$28,2,FALSE)</f>
        <v>-1255852.3471334944</v>
      </c>
      <c r="Q6" s="59">
        <f ca="1">-VLOOKUP(Q4,'[9]Desembolso - LV'!$A$5:$E$28,2,FALSE)</f>
        <v>-2042610.9829731225</v>
      </c>
      <c r="R6" s="59">
        <f ca="1">-VLOOKUP(R4,'[9]Desembolso - LV'!$A$5:$E$28,2,FALSE)</f>
        <v>-1049011.5190327361</v>
      </c>
      <c r="S6" s="59">
        <f ca="1">-VLOOKUP(S4,'[9]Desembolso - LV'!$A$5:$E$28,2,FALSE)</f>
        <v>-1589576.8577699172</v>
      </c>
      <c r="T6" s="59">
        <f ca="1">-VLOOKUP(T4,'[9]Desembolso - LV'!$A$5:$E$28,2,FALSE)</f>
        <v>-2078878.0091780596</v>
      </c>
      <c r="U6" s="59">
        <f ca="1">-VLOOKUP(U4,'[9]Desembolso - LV'!$A$5:$E$28,2,FALSE)</f>
        <v>-1914089.6860240418</v>
      </c>
      <c r="V6" s="59">
        <f ca="1">-VLOOKUP(V4,'[9]Desembolso - LV'!$A$5:$E$28,2,FALSE)</f>
        <v>-3867367.219574295</v>
      </c>
      <c r="W6" s="59">
        <f ca="1">-VLOOKUP(W4,'[9]Desembolso - LV'!$A$5:$E$28,2,FALSE)</f>
        <v>-5927495.3209424885</v>
      </c>
      <c r="X6" s="59">
        <f ca="1">-VLOOKUP(X4,'[9]Desembolso - LV'!$A$5:$E$28,2,FALSE)</f>
        <v>-6679081.7009011982</v>
      </c>
      <c r="Y6" s="59">
        <f ca="1">-VLOOKUP(Y4,'[9]Desembolso - LV'!$A$5:$E$28,2,FALSE)</f>
        <v>-7850398.9042964038</v>
      </c>
      <c r="Z6" s="59">
        <f ca="1">-VLOOKUP(Z4,'[9]Desembolso - LV'!$A$5:$E$28,2,FALSE)</f>
        <v>-9116291.0492415223</v>
      </c>
      <c r="AA6" s="59">
        <f ca="1">-VLOOKUP(AA4,'[9]Desembolso - LV'!$A$5:$E$28,2,FALSE)</f>
        <v>-6699461.3081104271</v>
      </c>
      <c r="AB6" s="59">
        <f ca="1">-VLOOKUP(AB4,'[9]Desembolso - LV'!$A$5:$E$28,2,FALSE)</f>
        <v>-5102216.0552959936</v>
      </c>
      <c r="AC6" s="59">
        <f ca="1">-VLOOKUP(AC4,'[9]Desembolso - LV'!$A$5:$E$28,2,FALSE)</f>
        <v>-3487869.1998127992</v>
      </c>
      <c r="AD6" s="59">
        <f ca="1">-VLOOKUP(AD4,'[9]Desembolso - LV'!$A$5:$E$28,2,FALSE)</f>
        <v>-2393510.2398715355</v>
      </c>
      <c r="AE6" s="59">
        <f ca="1">-VLOOKUP(AE4,'[9]Desembolso - LV'!$A$5:$E$28,2,FALSE)</f>
        <v>-1139157.2799388592</v>
      </c>
      <c r="AF6" s="59">
        <f ca="1">-VLOOKUP(AF4,'[9]Desembolso - LV'!$A$5:$E$28,2,FALSE)</f>
        <v>-575978.39996908593</v>
      </c>
      <c r="AG6" s="59">
        <f ca="1">-VLOOKUP(AG4,'[9]Desembolso - LV'!$A$5:$E$28,2,FALSE)</f>
        <v>-383985.59997939074</v>
      </c>
      <c r="AH6" s="59">
        <f ca="1">-VLOOKUP(AH4,'[9]Desembolso - LV'!$A$5:$E$28,2,FALSE)</f>
        <v>-255990.39998626048</v>
      </c>
      <c r="AI6" s="59">
        <f ca="1">-VLOOKUP(AI4,'[9]Desembolso - LV'!$A$5:$E$28,2,FALSE)</f>
        <v>-204792.31998900842</v>
      </c>
      <c r="AJ6" s="59">
        <f ca="1">-VLOOKUP(AJ4,'[9]Desembolso - LV'!$A$5:$E$28,2,FALSE)</f>
        <v>-153594.23999175624</v>
      </c>
      <c r="AK6" s="59">
        <f ca="1">-VLOOKUP(AK4,'[9]Desembolso - LV'!$A$5:$E$28,2,FALSE)</f>
        <v>-95996.399994847685</v>
      </c>
      <c r="AL6" s="59">
        <f ca="1">-VLOOKUP(AL4,'[9]Desembolso - LV'!$A$5:$E$28,2,FALSE)</f>
        <v>-89596.639995191159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f t="shared" ca="1" si="2"/>
        <v>0</v>
      </c>
      <c r="AS6" s="59">
        <f t="shared" ca="1" si="2"/>
        <v>0</v>
      </c>
      <c r="AT6" s="59">
        <f t="shared" ca="1" si="2"/>
        <v>0</v>
      </c>
      <c r="AU6" s="59">
        <f t="shared" ca="1" si="2"/>
        <v>0</v>
      </c>
      <c r="AV6" s="59">
        <f t="shared" ca="1" si="2"/>
        <v>0</v>
      </c>
      <c r="AW6" s="59">
        <f t="shared" ca="1" si="2"/>
        <v>0</v>
      </c>
      <c r="AX6" s="59">
        <f t="shared" ca="1" si="2"/>
        <v>0</v>
      </c>
      <c r="AY6" s="59">
        <f t="shared" ca="1" si="2"/>
        <v>0</v>
      </c>
      <c r="AZ6" s="59">
        <f t="shared" ca="1" si="2"/>
        <v>0</v>
      </c>
      <c r="BA6" s="59">
        <f t="shared" ca="1" si="2"/>
        <v>0</v>
      </c>
      <c r="BB6" s="59">
        <f t="shared" ca="1" si="2"/>
        <v>0</v>
      </c>
      <c r="BC6" s="59">
        <f t="shared" ca="1" si="2"/>
        <v>0</v>
      </c>
      <c r="BD6" s="59">
        <f t="shared" ca="1" si="2"/>
        <v>0</v>
      </c>
      <c r="BE6" s="59">
        <f t="shared" ca="1" si="2"/>
        <v>0</v>
      </c>
      <c r="BF6" s="59">
        <f t="shared" ca="1" si="2"/>
        <v>0</v>
      </c>
      <c r="BG6" s="59">
        <f t="shared" ca="1" si="2"/>
        <v>0</v>
      </c>
      <c r="BH6" s="59">
        <f t="shared" ca="1" si="2"/>
        <v>0</v>
      </c>
      <c r="BI6" s="59">
        <f t="shared" ca="1" si="2"/>
        <v>0</v>
      </c>
      <c r="BJ6" s="59">
        <f t="shared" ca="1" si="2"/>
        <v>0</v>
      </c>
      <c r="BK6" s="59">
        <f t="shared" ca="1" si="2"/>
        <v>0</v>
      </c>
      <c r="BL6" s="59">
        <f t="shared" ca="1" si="2"/>
        <v>0</v>
      </c>
      <c r="BM6" s="59">
        <f t="shared" ca="1" si="2"/>
        <v>0</v>
      </c>
      <c r="BN6" s="59">
        <f t="shared" ca="1" si="2"/>
        <v>0</v>
      </c>
    </row>
    <row r="7" spans="1:66">
      <c r="B7" s="7" t="s">
        <v>35</v>
      </c>
      <c r="C7" s="60"/>
      <c r="D7" s="61"/>
      <c r="E7" s="62"/>
      <c r="F7" s="62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</row>
    <row r="8" spans="1:66">
      <c r="A8" s="64">
        <f ca="1">+C8/SUM($C$8:$C$10)</f>
        <v>0.2998336275288519</v>
      </c>
      <c r="B8" s="65" t="s">
        <v>53</v>
      </c>
      <c r="C8" s="51">
        <f ca="1">SUM(G8:AM8)</f>
        <v>65120447.349831559</v>
      </c>
      <c r="D8" s="52">
        <f ca="1">Investimento_Casas!E40</f>
        <v>45412</v>
      </c>
      <c r="E8" s="53">
        <f>Investimento_Casas!F40</f>
        <v>1</v>
      </c>
      <c r="F8" s="53"/>
      <c r="G8" s="54">
        <f t="shared" ref="G8:I10" ca="1" si="4">IF(AND(G$4&gt;=$D8,G$4&lt;EOMONTH($D8,$E8)),$C8/$E8,0)</f>
        <v>0</v>
      </c>
      <c r="H8" s="54">
        <f t="shared" ca="1" si="4"/>
        <v>0</v>
      </c>
      <c r="I8" s="54">
        <f t="shared" ca="1" si="4"/>
        <v>0</v>
      </c>
      <c r="J8" s="54">
        <v>0</v>
      </c>
      <c r="K8" s="54">
        <v>15000000</v>
      </c>
      <c r="L8" s="54">
        <v>0</v>
      </c>
      <c r="M8" s="54">
        <v>0</v>
      </c>
      <c r="N8" s="54">
        <v>0</v>
      </c>
      <c r="O8" s="54">
        <f>ROUND((60%*'Cidade Jardim III'!O11),0)*'Cidade Jardim III'!K11*30%</f>
        <v>40096357.879865251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f>ROUND('Cidade Jardim III'!O11*10%,0)*'Cidade Jardim III'!K11*30%</f>
        <v>5012044.7349831564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f>'Cidade Jardim III'!K11*30%</f>
        <v>5012044.7349831564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f t="shared" ref="AO8:BD10" ca="1" si="5">IF(AND(AO$4&gt;=$D8,AO$4&lt;EOMONTH($D8,$E8)),$C8/$E8,0)</f>
        <v>0</v>
      </c>
      <c r="AP8" s="54">
        <f t="shared" ca="1" si="5"/>
        <v>0</v>
      </c>
      <c r="AQ8" s="54">
        <f t="shared" ca="1" si="5"/>
        <v>0</v>
      </c>
      <c r="AR8" s="54">
        <f t="shared" ca="1" si="5"/>
        <v>0</v>
      </c>
      <c r="AS8" s="54">
        <f t="shared" ca="1" si="5"/>
        <v>0</v>
      </c>
      <c r="AT8" s="54">
        <f t="shared" ca="1" si="5"/>
        <v>0</v>
      </c>
      <c r="AU8" s="54">
        <f t="shared" ca="1" si="5"/>
        <v>0</v>
      </c>
      <c r="AV8" s="54">
        <f t="shared" ca="1" si="5"/>
        <v>0</v>
      </c>
      <c r="AW8" s="54">
        <f t="shared" ca="1" si="5"/>
        <v>0</v>
      </c>
      <c r="AX8" s="54">
        <f t="shared" ca="1" si="5"/>
        <v>0</v>
      </c>
      <c r="AY8" s="54">
        <f t="shared" ca="1" si="5"/>
        <v>0</v>
      </c>
      <c r="AZ8" s="54">
        <f t="shared" ca="1" si="5"/>
        <v>0</v>
      </c>
      <c r="BA8" s="54">
        <f t="shared" ca="1" si="5"/>
        <v>0</v>
      </c>
      <c r="BB8" s="54">
        <f t="shared" ca="1" si="5"/>
        <v>0</v>
      </c>
      <c r="BC8" s="54">
        <f t="shared" ca="1" si="5"/>
        <v>0</v>
      </c>
      <c r="BD8" s="54">
        <f t="shared" ca="1" si="5"/>
        <v>0</v>
      </c>
      <c r="BE8" s="54">
        <f t="shared" ref="BC8:BN10" ca="1" si="6">IF(AND(BE$4&gt;=$D8,BE$4&lt;EOMONTH($D8,$E8)),$C8/$E8,0)</f>
        <v>0</v>
      </c>
      <c r="BF8" s="54">
        <f t="shared" ca="1" si="6"/>
        <v>0</v>
      </c>
      <c r="BG8" s="54">
        <f t="shared" ca="1" si="6"/>
        <v>0</v>
      </c>
      <c r="BH8" s="54">
        <f t="shared" ca="1" si="6"/>
        <v>0</v>
      </c>
      <c r="BI8" s="54">
        <f t="shared" ca="1" si="6"/>
        <v>0</v>
      </c>
      <c r="BJ8" s="54">
        <f t="shared" ca="1" si="6"/>
        <v>0</v>
      </c>
      <c r="BK8" s="54">
        <f t="shared" ca="1" si="6"/>
        <v>0</v>
      </c>
      <c r="BL8" s="54">
        <f t="shared" ca="1" si="6"/>
        <v>0</v>
      </c>
      <c r="BM8" s="54">
        <f t="shared" ca="1" si="6"/>
        <v>0</v>
      </c>
      <c r="BN8" s="54">
        <f t="shared" ca="1" si="6"/>
        <v>0</v>
      </c>
    </row>
    <row r="9" spans="1:66">
      <c r="A9" s="64">
        <f t="shared" ref="A9:A10" ca="1" si="7">+C9/SUM($C$8:$C$10)</f>
        <v>0.49983362752885196</v>
      </c>
      <c r="B9" s="66" t="s">
        <v>54</v>
      </c>
      <c r="C9" s="56">
        <f ca="1">SUM(G9:AM9)</f>
        <v>108558168.38635224</v>
      </c>
      <c r="D9" s="57">
        <f ca="1">Investimento_Casas!E41</f>
        <v>45442</v>
      </c>
      <c r="E9" s="58">
        <f>Investimento_Casas!F41</f>
        <v>24</v>
      </c>
      <c r="F9" s="58"/>
      <c r="G9" s="59">
        <f t="shared" ca="1" si="4"/>
        <v>0</v>
      </c>
      <c r="H9" s="59">
        <f t="shared" ca="1" si="4"/>
        <v>0</v>
      </c>
      <c r="I9" s="59">
        <f t="shared" ca="1" si="4"/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f>(7*'Cidade Jardim III'!$K$11*40%)/24+15000000/24</f>
        <v>2574128.5080490056</v>
      </c>
      <c r="P9" s="59">
        <f>O9</f>
        <v>2574128.5080490056</v>
      </c>
      <c r="Q9" s="59">
        <f t="shared" ref="Q9:AK9" si="8">P9</f>
        <v>2574128.5080490056</v>
      </c>
      <c r="R9" s="59">
        <f t="shared" si="8"/>
        <v>2574128.5080490056</v>
      </c>
      <c r="S9" s="59">
        <f t="shared" si="8"/>
        <v>2574128.5080490056</v>
      </c>
      <c r="T9" s="59">
        <f>S9</f>
        <v>2574128.5080490056</v>
      </c>
      <c r="U9" s="59">
        <f t="shared" si="8"/>
        <v>2574128.5080490056</v>
      </c>
      <c r="V9" s="59">
        <f t="shared" si="8"/>
        <v>2574128.5080490056</v>
      </c>
      <c r="W9" s="59">
        <f t="shared" si="8"/>
        <v>2574128.5080490056</v>
      </c>
      <c r="X9" s="59">
        <f>W9+1*'Cidade Jardim III'!K11*40%/15</f>
        <v>3019643.5956030642</v>
      </c>
      <c r="Y9" s="59">
        <f t="shared" si="8"/>
        <v>3019643.5956030642</v>
      </c>
      <c r="Z9" s="59">
        <f t="shared" si="8"/>
        <v>3019643.5956030642</v>
      </c>
      <c r="AA9" s="59">
        <f t="shared" si="8"/>
        <v>3019643.5956030642</v>
      </c>
      <c r="AB9" s="59">
        <f t="shared" si="8"/>
        <v>3019643.5956030642</v>
      </c>
      <c r="AC9" s="59">
        <f t="shared" si="8"/>
        <v>3019643.5956030642</v>
      </c>
      <c r="AD9" s="59">
        <f>AC9+1*'Cidade Jardim III'!K11*40%/9</f>
        <v>3762168.7415264947</v>
      </c>
      <c r="AE9" s="59">
        <f t="shared" si="8"/>
        <v>3762168.7415264947</v>
      </c>
      <c r="AF9" s="59">
        <f t="shared" si="8"/>
        <v>3762168.7415264947</v>
      </c>
      <c r="AG9" s="59">
        <f>AF9</f>
        <v>3762168.7415264947</v>
      </c>
      <c r="AH9" s="59">
        <f t="shared" si="8"/>
        <v>3762168.7415264947</v>
      </c>
      <c r="AI9" s="59">
        <f t="shared" si="8"/>
        <v>3762168.7415264947</v>
      </c>
      <c r="AJ9" s="59">
        <f>AI9+2*'Cidade Jardim III'!K11/3</f>
        <v>14900045.930377953</v>
      </c>
      <c r="AK9" s="59">
        <f t="shared" si="8"/>
        <v>14900045.930377953</v>
      </c>
      <c r="AL9" s="59">
        <f>AK9</f>
        <v>14900045.930377953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f t="shared" ca="1" si="5"/>
        <v>0</v>
      </c>
      <c r="AT9" s="59">
        <f t="shared" ca="1" si="5"/>
        <v>0</v>
      </c>
      <c r="AU9" s="59">
        <f t="shared" ca="1" si="5"/>
        <v>0</v>
      </c>
      <c r="AV9" s="59">
        <f t="shared" ca="1" si="5"/>
        <v>0</v>
      </c>
      <c r="AW9" s="59">
        <f t="shared" ca="1" si="5"/>
        <v>0</v>
      </c>
      <c r="AX9" s="59">
        <f t="shared" ca="1" si="5"/>
        <v>0</v>
      </c>
      <c r="AY9" s="59">
        <f t="shared" ca="1" si="5"/>
        <v>0</v>
      </c>
      <c r="AZ9" s="59">
        <f t="shared" ca="1" si="5"/>
        <v>0</v>
      </c>
      <c r="BA9" s="59">
        <f t="shared" ca="1" si="5"/>
        <v>0</v>
      </c>
      <c r="BB9" s="59">
        <f t="shared" ca="1" si="5"/>
        <v>0</v>
      </c>
      <c r="BC9" s="59">
        <f t="shared" ca="1" si="6"/>
        <v>0</v>
      </c>
      <c r="BD9" s="59">
        <f t="shared" ca="1" si="6"/>
        <v>0</v>
      </c>
      <c r="BE9" s="59">
        <f t="shared" ca="1" si="6"/>
        <v>0</v>
      </c>
      <c r="BF9" s="59">
        <f t="shared" ca="1" si="6"/>
        <v>0</v>
      </c>
      <c r="BG9" s="59">
        <f t="shared" ca="1" si="6"/>
        <v>0</v>
      </c>
      <c r="BH9" s="59">
        <f t="shared" ca="1" si="6"/>
        <v>0</v>
      </c>
      <c r="BI9" s="59">
        <f t="shared" ca="1" si="6"/>
        <v>0</v>
      </c>
      <c r="BJ9" s="59">
        <f t="shared" ca="1" si="6"/>
        <v>0</v>
      </c>
      <c r="BK9" s="59">
        <f t="shared" ca="1" si="6"/>
        <v>0</v>
      </c>
      <c r="BL9" s="59">
        <f t="shared" ca="1" si="6"/>
        <v>0</v>
      </c>
      <c r="BM9" s="59">
        <f t="shared" ca="1" si="6"/>
        <v>0</v>
      </c>
      <c r="BN9" s="59">
        <f t="shared" ca="1" si="6"/>
        <v>0</v>
      </c>
    </row>
    <row r="10" spans="1:66">
      <c r="A10" s="64">
        <f t="shared" ca="1" si="7"/>
        <v>0.20033274494229616</v>
      </c>
      <c r="B10" s="66" t="s">
        <v>55</v>
      </c>
      <c r="C10" s="56">
        <f ca="1">SUM(N10:AM10)</f>
        <v>43509989.446419537</v>
      </c>
      <c r="D10" s="57">
        <f ca="1">Investimento_Casas!E42</f>
        <v>46173</v>
      </c>
      <c r="E10" s="58">
        <f>Investimento_Casas!F42</f>
        <v>1</v>
      </c>
      <c r="F10" s="58"/>
      <c r="G10" s="59">
        <f t="shared" ca="1" si="4"/>
        <v>0</v>
      </c>
      <c r="H10" s="59">
        <f t="shared" ca="1" si="4"/>
        <v>0</v>
      </c>
      <c r="I10" s="59">
        <f t="shared" ca="1" si="4"/>
        <v>0</v>
      </c>
      <c r="J10" s="59">
        <v>0</v>
      </c>
      <c r="K10" s="59">
        <v>0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0</v>
      </c>
      <c r="AK10" s="59">
        <v>0</v>
      </c>
      <c r="AL10" s="59">
        <v>0</v>
      </c>
      <c r="AM10" s="59">
        <f ca="1">'Cidade Jardim III'!W11-SUM('Fluxo_de_Caixa Casas'!G8:AL9)</f>
        <v>43509989.446419537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f t="shared" ca="1" si="5"/>
        <v>0</v>
      </c>
      <c r="AT10" s="59">
        <f t="shared" ca="1" si="5"/>
        <v>0</v>
      </c>
      <c r="AU10" s="59">
        <f t="shared" ca="1" si="5"/>
        <v>0</v>
      </c>
      <c r="AV10" s="59">
        <f t="shared" ca="1" si="5"/>
        <v>0</v>
      </c>
      <c r="AW10" s="59">
        <f t="shared" ca="1" si="5"/>
        <v>0</v>
      </c>
      <c r="AX10" s="59">
        <f t="shared" ca="1" si="5"/>
        <v>0</v>
      </c>
      <c r="AY10" s="59">
        <f t="shared" ca="1" si="5"/>
        <v>0</v>
      </c>
      <c r="AZ10" s="59">
        <f t="shared" ca="1" si="5"/>
        <v>0</v>
      </c>
      <c r="BA10" s="59">
        <f t="shared" ca="1" si="5"/>
        <v>0</v>
      </c>
      <c r="BB10" s="59">
        <f t="shared" ca="1" si="5"/>
        <v>0</v>
      </c>
      <c r="BC10" s="59">
        <f t="shared" ca="1" si="6"/>
        <v>0</v>
      </c>
      <c r="BD10" s="59">
        <f t="shared" ca="1" si="6"/>
        <v>0</v>
      </c>
      <c r="BE10" s="59">
        <f t="shared" ca="1" si="6"/>
        <v>0</v>
      </c>
      <c r="BF10" s="59">
        <f t="shared" ca="1" si="6"/>
        <v>0</v>
      </c>
      <c r="BG10" s="59">
        <f t="shared" ca="1" si="6"/>
        <v>0</v>
      </c>
      <c r="BH10" s="59">
        <f t="shared" ca="1" si="6"/>
        <v>0</v>
      </c>
      <c r="BI10" s="59">
        <f t="shared" ca="1" si="6"/>
        <v>0</v>
      </c>
      <c r="BJ10" s="59">
        <f t="shared" ca="1" si="6"/>
        <v>0</v>
      </c>
      <c r="BK10" s="59">
        <f t="shared" ca="1" si="6"/>
        <v>0</v>
      </c>
      <c r="BL10" s="59">
        <f t="shared" ca="1" si="6"/>
        <v>0</v>
      </c>
      <c r="BM10" s="59">
        <f t="shared" ca="1" si="6"/>
        <v>0</v>
      </c>
      <c r="BN10" s="59">
        <f t="shared" ca="1" si="6"/>
        <v>0</v>
      </c>
    </row>
    <row r="12" spans="1:66" ht="16" thickBot="1">
      <c r="B12" s="67" t="s">
        <v>77</v>
      </c>
      <c r="C12" s="68"/>
      <c r="D12" s="68"/>
      <c r="E12" s="68"/>
      <c r="F12" s="68"/>
      <c r="G12" s="69">
        <f ca="1">SUM(G5:G10)</f>
        <v>-45653038.18</v>
      </c>
      <c r="H12" s="69">
        <f t="shared" ref="H12:BN12" ca="1" si="9">SUM(H5:H10)</f>
        <v>0</v>
      </c>
      <c r="I12" s="69">
        <f t="shared" ca="1" si="9"/>
        <v>0</v>
      </c>
      <c r="J12" s="69">
        <f t="shared" ca="1" si="9"/>
        <v>0</v>
      </c>
      <c r="K12" s="69">
        <f t="shared" ca="1" si="9"/>
        <v>15000000</v>
      </c>
      <c r="L12" s="69">
        <f t="shared" ca="1" si="9"/>
        <v>0</v>
      </c>
      <c r="M12" s="69">
        <f t="shared" ca="1" si="9"/>
        <v>0</v>
      </c>
      <c r="N12" s="69">
        <f t="shared" ca="1" si="9"/>
        <v>0</v>
      </c>
      <c r="O12" s="69">
        <f t="shared" ca="1" si="9"/>
        <v>41414634.04078076</v>
      </c>
      <c r="P12" s="69">
        <f t="shared" ca="1" si="9"/>
        <v>1318276.1609155112</v>
      </c>
      <c r="Q12" s="69">
        <f t="shared" ca="1" si="9"/>
        <v>531517.52507588314</v>
      </c>
      <c r="R12" s="69">
        <f t="shared" ca="1" si="9"/>
        <v>1525116.9890162696</v>
      </c>
      <c r="S12" s="69">
        <f t="shared" ca="1" si="9"/>
        <v>984551.65027908841</v>
      </c>
      <c r="T12" s="69">
        <f t="shared" ca="1" si="9"/>
        <v>495250.498870946</v>
      </c>
      <c r="U12" s="69">
        <f t="shared" ca="1" si="9"/>
        <v>660038.8220249638</v>
      </c>
      <c r="V12" s="69">
        <f t="shared" ca="1" si="9"/>
        <v>-1293238.7115252893</v>
      </c>
      <c r="W12" s="69">
        <f t="shared" ca="1" si="9"/>
        <v>-3353366.8128934829</v>
      </c>
      <c r="X12" s="69">
        <f t="shared" ca="1" si="9"/>
        <v>1352606.6296850224</v>
      </c>
      <c r="Y12" s="69">
        <f t="shared" ca="1" si="9"/>
        <v>-4830755.30869334</v>
      </c>
      <c r="Z12" s="69">
        <f t="shared" ca="1" si="9"/>
        <v>-6096647.4536384586</v>
      </c>
      <c r="AA12" s="69">
        <f t="shared" ca="1" si="9"/>
        <v>-3679817.7125073629</v>
      </c>
      <c r="AB12" s="69">
        <f t="shared" ca="1" si="9"/>
        <v>-2082572.4596929294</v>
      </c>
      <c r="AC12" s="69">
        <f t="shared" ca="1" si="9"/>
        <v>-468225.60420973506</v>
      </c>
      <c r="AD12" s="69">
        <f t="shared" ca="1" si="9"/>
        <v>6380703.2366381157</v>
      </c>
      <c r="AE12" s="69">
        <f t="shared" ca="1" si="9"/>
        <v>2623011.4615876358</v>
      </c>
      <c r="AF12" s="69">
        <f t="shared" ca="1" si="9"/>
        <v>3186190.3415574087</v>
      </c>
      <c r="AG12" s="69">
        <f t="shared" ca="1" si="9"/>
        <v>3378183.1415471039</v>
      </c>
      <c r="AH12" s="69">
        <f t="shared" ca="1" si="9"/>
        <v>3506178.3415402342</v>
      </c>
      <c r="AI12" s="69">
        <f t="shared" ca="1" si="9"/>
        <v>3557376.4215374864</v>
      </c>
      <c r="AJ12" s="69">
        <f t="shared" ca="1" si="9"/>
        <v>14746451.690386197</v>
      </c>
      <c r="AK12" s="69">
        <f t="shared" ca="1" si="9"/>
        <v>14804049.530383104</v>
      </c>
      <c r="AL12" s="69">
        <f t="shared" ca="1" si="9"/>
        <v>14810449.290382762</v>
      </c>
      <c r="AM12" s="69">
        <f t="shared" ca="1" si="9"/>
        <v>43509989.446419537</v>
      </c>
      <c r="AN12" s="69">
        <f t="shared" ca="1" si="9"/>
        <v>0</v>
      </c>
      <c r="AO12" s="69">
        <f t="shared" ca="1" si="9"/>
        <v>0</v>
      </c>
      <c r="AP12" s="69">
        <f t="shared" ca="1" si="9"/>
        <v>0</v>
      </c>
      <c r="AQ12" s="69">
        <f t="shared" ca="1" si="9"/>
        <v>0</v>
      </c>
      <c r="AR12" s="69">
        <f t="shared" ca="1" si="9"/>
        <v>0</v>
      </c>
      <c r="AS12" s="69">
        <f t="shared" ca="1" si="9"/>
        <v>0</v>
      </c>
      <c r="AT12" s="69">
        <f t="shared" ca="1" si="9"/>
        <v>0</v>
      </c>
      <c r="AU12" s="69">
        <f t="shared" ca="1" si="9"/>
        <v>0</v>
      </c>
      <c r="AV12" s="69">
        <f t="shared" ca="1" si="9"/>
        <v>0</v>
      </c>
      <c r="AW12" s="69">
        <f t="shared" ca="1" si="9"/>
        <v>0</v>
      </c>
      <c r="AX12" s="69">
        <f t="shared" ca="1" si="9"/>
        <v>0</v>
      </c>
      <c r="AY12" s="69">
        <f t="shared" ca="1" si="9"/>
        <v>0</v>
      </c>
      <c r="AZ12" s="69">
        <f t="shared" ca="1" si="9"/>
        <v>0</v>
      </c>
      <c r="BA12" s="69">
        <f t="shared" ca="1" si="9"/>
        <v>0</v>
      </c>
      <c r="BB12" s="69">
        <f t="shared" ca="1" si="9"/>
        <v>0</v>
      </c>
      <c r="BC12" s="69">
        <f t="shared" ca="1" si="9"/>
        <v>0</v>
      </c>
      <c r="BD12" s="69">
        <f t="shared" ca="1" si="9"/>
        <v>0</v>
      </c>
      <c r="BE12" s="69">
        <f t="shared" ca="1" si="9"/>
        <v>0</v>
      </c>
      <c r="BF12" s="69">
        <f t="shared" ca="1" si="9"/>
        <v>0</v>
      </c>
      <c r="BG12" s="69">
        <f t="shared" ca="1" si="9"/>
        <v>0</v>
      </c>
      <c r="BH12" s="69">
        <f t="shared" ca="1" si="9"/>
        <v>0</v>
      </c>
      <c r="BI12" s="69">
        <f t="shared" ca="1" si="9"/>
        <v>0</v>
      </c>
      <c r="BJ12" s="69">
        <f t="shared" ca="1" si="9"/>
        <v>0</v>
      </c>
      <c r="BK12" s="69">
        <f t="shared" ca="1" si="9"/>
        <v>0</v>
      </c>
      <c r="BL12" s="69">
        <f t="shared" ca="1" si="9"/>
        <v>0</v>
      </c>
      <c r="BM12" s="69">
        <f t="shared" ca="1" si="9"/>
        <v>0</v>
      </c>
      <c r="BN12" s="69">
        <f t="shared" ca="1" si="9"/>
        <v>0</v>
      </c>
    </row>
    <row r="13" spans="1:66" ht="16" thickBot="1">
      <c r="B13" s="67" t="s">
        <v>78</v>
      </c>
      <c r="C13" s="68"/>
      <c r="D13" s="68"/>
      <c r="E13" s="68"/>
      <c r="F13" s="68"/>
      <c r="G13" s="69">
        <f ca="1">G12</f>
        <v>-45653038.18</v>
      </c>
      <c r="H13" s="69">
        <f ca="1">G13+H12</f>
        <v>-45653038.18</v>
      </c>
      <c r="I13" s="69">
        <f t="shared" ref="I13:BN13" ca="1" si="10">H13+I12</f>
        <v>-45653038.18</v>
      </c>
      <c r="J13" s="69">
        <f t="shared" ca="1" si="10"/>
        <v>-45653038.18</v>
      </c>
      <c r="K13" s="69">
        <f t="shared" ca="1" si="10"/>
        <v>-30653038.18</v>
      </c>
      <c r="L13" s="69">
        <f t="shared" ca="1" si="10"/>
        <v>-30653038.18</v>
      </c>
      <c r="M13" s="69">
        <f t="shared" ca="1" si="10"/>
        <v>-30653038.18</v>
      </c>
      <c r="N13" s="69">
        <f t="shared" ca="1" si="10"/>
        <v>-30653038.18</v>
      </c>
      <c r="O13" s="69">
        <f t="shared" ca="1" si="10"/>
        <v>10761595.860780761</v>
      </c>
      <c r="P13" s="69">
        <f t="shared" ca="1" si="10"/>
        <v>12079872.021696271</v>
      </c>
      <c r="Q13" s="69">
        <f t="shared" ca="1" si="10"/>
        <v>12611389.546772154</v>
      </c>
      <c r="R13" s="69">
        <f t="shared" ca="1" si="10"/>
        <v>14136506.535788424</v>
      </c>
      <c r="S13" s="69">
        <f t="shared" ca="1" si="10"/>
        <v>15121058.186067512</v>
      </c>
      <c r="T13" s="69">
        <f t="shared" ca="1" si="10"/>
        <v>15616308.684938459</v>
      </c>
      <c r="U13" s="69">
        <f t="shared" ca="1" si="10"/>
        <v>16276347.506963423</v>
      </c>
      <c r="V13" s="69">
        <f t="shared" ca="1" si="10"/>
        <v>14983108.795438133</v>
      </c>
      <c r="W13" s="69">
        <f t="shared" ca="1" si="10"/>
        <v>11629741.982544649</v>
      </c>
      <c r="X13" s="69">
        <f t="shared" ca="1" si="10"/>
        <v>12982348.612229671</v>
      </c>
      <c r="Y13" s="69">
        <f t="shared" ca="1" si="10"/>
        <v>8151593.3035363313</v>
      </c>
      <c r="Z13" s="69">
        <f t="shared" ca="1" si="10"/>
        <v>2054945.8498978727</v>
      </c>
      <c r="AA13" s="69">
        <f t="shared" ca="1" si="10"/>
        <v>-1624871.8626094903</v>
      </c>
      <c r="AB13" s="69">
        <f t="shared" ca="1" si="10"/>
        <v>-3707444.3223024197</v>
      </c>
      <c r="AC13" s="69">
        <f t="shared" ca="1" si="10"/>
        <v>-4175669.9265121548</v>
      </c>
      <c r="AD13" s="69">
        <f t="shared" ca="1" si="10"/>
        <v>2205033.310125961</v>
      </c>
      <c r="AE13" s="69">
        <f t="shared" ca="1" si="10"/>
        <v>4828044.7717135968</v>
      </c>
      <c r="AF13" s="69">
        <f t="shared" ca="1" si="10"/>
        <v>8014235.1132710055</v>
      </c>
      <c r="AG13" s="69">
        <f t="shared" ca="1" si="10"/>
        <v>11392418.25481811</v>
      </c>
      <c r="AH13" s="69">
        <f t="shared" ca="1" si="10"/>
        <v>14898596.596358344</v>
      </c>
      <c r="AI13" s="69">
        <f t="shared" ca="1" si="10"/>
        <v>18455973.017895829</v>
      </c>
      <c r="AJ13" s="69">
        <f t="shared" ca="1" si="10"/>
        <v>33202424.708282024</v>
      </c>
      <c r="AK13" s="69">
        <f t="shared" ca="1" si="10"/>
        <v>48006474.238665126</v>
      </c>
      <c r="AL13" s="69">
        <f t="shared" ca="1" si="10"/>
        <v>62816923.529047891</v>
      </c>
      <c r="AM13" s="69">
        <f t="shared" ca="1" si="10"/>
        <v>106326912.97546743</v>
      </c>
      <c r="AN13" s="69">
        <f t="shared" ca="1" si="10"/>
        <v>106326912.97546743</v>
      </c>
      <c r="AO13" s="69">
        <f t="shared" ca="1" si="10"/>
        <v>106326912.97546743</v>
      </c>
      <c r="AP13" s="69">
        <f t="shared" ca="1" si="10"/>
        <v>106326912.97546743</v>
      </c>
      <c r="AQ13" s="69">
        <f t="shared" ca="1" si="10"/>
        <v>106326912.97546743</v>
      </c>
      <c r="AR13" s="69">
        <f t="shared" ca="1" si="10"/>
        <v>106326912.97546743</v>
      </c>
      <c r="AS13" s="69">
        <f t="shared" ca="1" si="10"/>
        <v>106326912.97546743</v>
      </c>
      <c r="AT13" s="69">
        <f t="shared" ca="1" si="10"/>
        <v>106326912.97546743</v>
      </c>
      <c r="AU13" s="69">
        <f t="shared" ca="1" si="10"/>
        <v>106326912.97546743</v>
      </c>
      <c r="AV13" s="69">
        <f t="shared" ca="1" si="10"/>
        <v>106326912.97546743</v>
      </c>
      <c r="AW13" s="69">
        <f t="shared" ca="1" si="10"/>
        <v>106326912.97546743</v>
      </c>
      <c r="AX13" s="69">
        <f t="shared" ca="1" si="10"/>
        <v>106326912.97546743</v>
      </c>
      <c r="AY13" s="69">
        <f t="shared" ca="1" si="10"/>
        <v>106326912.97546743</v>
      </c>
      <c r="AZ13" s="69">
        <f t="shared" ca="1" si="10"/>
        <v>106326912.97546743</v>
      </c>
      <c r="BA13" s="69">
        <f t="shared" ca="1" si="10"/>
        <v>106326912.97546743</v>
      </c>
      <c r="BB13" s="69">
        <f t="shared" ca="1" si="10"/>
        <v>106326912.97546743</v>
      </c>
      <c r="BC13" s="69">
        <f t="shared" ca="1" si="10"/>
        <v>106326912.97546743</v>
      </c>
      <c r="BD13" s="69">
        <f t="shared" ca="1" si="10"/>
        <v>106326912.97546743</v>
      </c>
      <c r="BE13" s="69">
        <f t="shared" ca="1" si="10"/>
        <v>106326912.97546743</v>
      </c>
      <c r="BF13" s="69">
        <f t="shared" ca="1" si="10"/>
        <v>106326912.97546743</v>
      </c>
      <c r="BG13" s="69">
        <f t="shared" ca="1" si="10"/>
        <v>106326912.97546743</v>
      </c>
      <c r="BH13" s="69">
        <f t="shared" ca="1" si="10"/>
        <v>106326912.97546743</v>
      </c>
      <c r="BI13" s="69">
        <f t="shared" ca="1" si="10"/>
        <v>106326912.97546743</v>
      </c>
      <c r="BJ13" s="69">
        <f t="shared" ca="1" si="10"/>
        <v>106326912.97546743</v>
      </c>
      <c r="BK13" s="69">
        <f t="shared" ca="1" si="10"/>
        <v>106326912.97546743</v>
      </c>
      <c r="BL13" s="69">
        <f t="shared" ca="1" si="10"/>
        <v>106326912.97546743</v>
      </c>
      <c r="BM13" s="69">
        <f t="shared" ca="1" si="10"/>
        <v>106326912.97546743</v>
      </c>
      <c r="BN13" s="69">
        <f t="shared" ca="1" si="10"/>
        <v>106326912.97546743</v>
      </c>
    </row>
  </sheetData>
  <mergeCells count="1">
    <mergeCell ref="C3:D3"/>
  </mergeCells>
  <pageMargins left="0.7" right="0.7" top="0.75" bottom="0.75" header="0.3" footer="0.3"/>
  <pageSetup orientation="portrait" horizontalDpi="90" verticalDpi="90" r:id="rId1"/>
  <headerFooter>
    <oddFooter>&amp;L&amp;1#&amp;"Calibri"&amp;10&amp;K000000Internal Use Only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8324-38AA-E246-B55C-BFE323E4FDB7}">
  <sheetPr>
    <tabColor rgb="FF00B050"/>
  </sheetPr>
  <dimension ref="A1:AP83"/>
  <sheetViews>
    <sheetView showGridLines="0" tabSelected="1" zoomScaleNormal="70" zoomScaleSheetLayoutView="70" workbookViewId="0">
      <selection activeCell="O47" sqref="O47:P47"/>
    </sheetView>
  </sheetViews>
  <sheetFormatPr baseColWidth="10" defaultColWidth="14.33203125" defaultRowHeight="15" customHeight="1"/>
  <cols>
    <col min="1" max="1" width="2.83203125" style="71" customWidth="1"/>
    <col min="2" max="2" width="4.33203125" style="71" customWidth="1"/>
    <col min="3" max="5" width="7.33203125" style="71" customWidth="1"/>
    <col min="6" max="7" width="5.6640625" style="71" customWidth="1"/>
    <col min="8" max="8" width="9" style="71" customWidth="1"/>
    <col min="9" max="9" width="15.5" style="71" customWidth="1"/>
    <col min="10" max="10" width="5.6640625" style="71" customWidth="1"/>
    <col min="11" max="11" width="7.33203125" style="71" customWidth="1"/>
    <col min="12" max="12" width="5.6640625" style="71" customWidth="1"/>
    <col min="13" max="13" width="7.33203125" style="71" customWidth="1"/>
    <col min="14" max="14" width="7.1640625" style="71" customWidth="1"/>
    <col min="15" max="15" width="7.33203125" style="71" customWidth="1"/>
    <col min="16" max="16" width="6.5" style="71" customWidth="1"/>
    <col min="17" max="26" width="7.33203125" style="71" customWidth="1"/>
    <col min="27" max="27" width="2.83203125" style="71" customWidth="1"/>
    <col min="28" max="31" width="7.33203125" style="197" customWidth="1"/>
    <col min="32" max="32" width="4.33203125" style="197" customWidth="1"/>
    <col min="33" max="33" width="9.5" style="197" customWidth="1"/>
    <col min="34" max="34" width="7.1640625" style="197" customWidth="1"/>
    <col min="35" max="35" width="10.1640625" style="197" customWidth="1"/>
    <col min="36" max="36" width="3.5" style="197" customWidth="1"/>
    <col min="37" max="37" width="4.33203125" style="71" customWidth="1"/>
    <col min="38" max="38" width="4.6640625" style="71" customWidth="1"/>
    <col min="39" max="16384" width="14.33203125" style="71"/>
  </cols>
  <sheetData>
    <row r="1" spans="1:37" ht="15" customHeight="1">
      <c r="A1" s="70"/>
      <c r="AB1" s="71"/>
      <c r="AC1" s="71"/>
      <c r="AD1" s="71"/>
      <c r="AE1" s="71"/>
      <c r="AF1" s="71"/>
      <c r="AG1" s="71"/>
      <c r="AH1" s="71"/>
      <c r="AI1" s="71"/>
      <c r="AJ1" s="71"/>
    </row>
    <row r="2" spans="1:37" ht="15" customHeight="1">
      <c r="B2" s="384"/>
      <c r="C2" s="384"/>
      <c r="D2" s="384"/>
      <c r="E2" s="384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385"/>
      <c r="AH2" s="224"/>
      <c r="AI2" s="224"/>
      <c r="AJ2" s="224"/>
      <c r="AK2" s="386"/>
    </row>
    <row r="3" spans="1:37" ht="22.5" customHeight="1">
      <c r="B3" s="384"/>
      <c r="C3" s="384"/>
      <c r="D3" s="384"/>
      <c r="E3" s="384"/>
      <c r="F3" s="73" t="s">
        <v>79</v>
      </c>
      <c r="G3" s="74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388"/>
      <c r="V3" s="388"/>
      <c r="W3" s="388"/>
      <c r="X3" s="388"/>
      <c r="Y3" s="75"/>
      <c r="Z3" s="75"/>
      <c r="AA3" s="75"/>
      <c r="AB3" s="75"/>
      <c r="AC3" s="75"/>
      <c r="AD3" s="75"/>
      <c r="AE3" s="75"/>
      <c r="AF3" s="75"/>
      <c r="AG3" s="220"/>
      <c r="AH3" s="221"/>
      <c r="AI3" s="221"/>
      <c r="AJ3" s="221"/>
      <c r="AK3" s="387"/>
    </row>
    <row r="4" spans="1:37" ht="15" customHeight="1">
      <c r="B4" s="384"/>
      <c r="C4" s="384"/>
      <c r="D4" s="384"/>
      <c r="E4" s="384"/>
      <c r="F4" s="389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0"/>
      <c r="AB4" s="390"/>
      <c r="AC4" s="390"/>
      <c r="AD4" s="390"/>
      <c r="AE4" s="390"/>
      <c r="AF4" s="391"/>
      <c r="AG4" s="220"/>
      <c r="AH4" s="221"/>
      <c r="AI4" s="221"/>
      <c r="AJ4" s="221"/>
      <c r="AK4" s="387"/>
    </row>
    <row r="5" spans="1:37" ht="15" customHeight="1">
      <c r="B5" s="384"/>
      <c r="C5" s="384"/>
      <c r="D5" s="384"/>
      <c r="E5" s="384"/>
      <c r="F5" s="389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0"/>
      <c r="Y5" s="390"/>
      <c r="Z5" s="390"/>
      <c r="AA5" s="390"/>
      <c r="AB5" s="390"/>
      <c r="AC5" s="390"/>
      <c r="AD5" s="390"/>
      <c r="AE5" s="390"/>
      <c r="AF5" s="391"/>
      <c r="AG5" s="220"/>
      <c r="AH5" s="221"/>
      <c r="AI5" s="221"/>
      <c r="AJ5" s="221"/>
      <c r="AK5" s="387"/>
    </row>
    <row r="6" spans="1:37" ht="30" customHeight="1">
      <c r="B6" s="392" t="s">
        <v>80</v>
      </c>
      <c r="C6" s="393"/>
      <c r="D6" s="393"/>
      <c r="E6" s="393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5"/>
    </row>
    <row r="7" spans="1:37" ht="15" customHeight="1">
      <c r="AB7" s="71"/>
      <c r="AC7" s="71"/>
      <c r="AD7" s="71"/>
      <c r="AE7" s="71"/>
      <c r="AF7" s="71"/>
      <c r="AG7" s="71"/>
      <c r="AH7" s="71"/>
      <c r="AI7" s="71"/>
      <c r="AJ7" s="71"/>
    </row>
    <row r="8" spans="1:37" ht="15" customHeight="1">
      <c r="B8" s="76"/>
      <c r="X8" s="77"/>
      <c r="Y8" s="396"/>
      <c r="Z8" s="397"/>
      <c r="AB8" s="71"/>
      <c r="AC8" s="71"/>
      <c r="AD8" s="71"/>
      <c r="AE8" s="71"/>
      <c r="AF8" s="71"/>
      <c r="AG8" s="71"/>
      <c r="AH8" s="71"/>
      <c r="AI8" s="71"/>
      <c r="AJ8" s="71"/>
    </row>
    <row r="9" spans="1:37" s="78" customFormat="1" ht="18.75" customHeight="1">
      <c r="B9" s="398" t="s">
        <v>81</v>
      </c>
      <c r="C9" s="399"/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399"/>
      <c r="X9" s="399"/>
      <c r="Y9" s="399"/>
      <c r="Z9" s="79"/>
      <c r="AB9" s="400" t="s">
        <v>82</v>
      </c>
      <c r="AC9" s="401"/>
      <c r="AD9" s="401"/>
      <c r="AE9" s="401"/>
      <c r="AF9" s="401"/>
      <c r="AG9" s="401"/>
      <c r="AH9" s="401"/>
      <c r="AI9" s="401"/>
      <c r="AJ9" s="401"/>
      <c r="AK9" s="402"/>
    </row>
    <row r="10" spans="1:37" s="78" customFormat="1" ht="15" customHeight="1">
      <c r="B10" s="80"/>
      <c r="C10" s="360" t="s">
        <v>83</v>
      </c>
      <c r="D10" s="360"/>
      <c r="E10" s="360"/>
      <c r="F10" s="333" t="s">
        <v>84</v>
      </c>
      <c r="G10" s="360" t="s">
        <v>85</v>
      </c>
      <c r="H10" s="360"/>
      <c r="I10" s="360"/>
      <c r="J10" s="333" t="s">
        <v>86</v>
      </c>
      <c r="K10" s="362" t="s">
        <v>87</v>
      </c>
      <c r="L10" s="362"/>
      <c r="M10" s="362"/>
      <c r="N10" s="333" t="s">
        <v>84</v>
      </c>
      <c r="O10" s="362" t="s">
        <v>88</v>
      </c>
      <c r="P10" s="362"/>
      <c r="Q10" s="333" t="s">
        <v>89</v>
      </c>
      <c r="R10" s="362" t="s">
        <v>90</v>
      </c>
      <c r="S10" s="362"/>
      <c r="T10" s="362"/>
      <c r="U10" s="333" t="s">
        <v>86</v>
      </c>
      <c r="V10" s="377" t="s">
        <v>91</v>
      </c>
      <c r="W10" s="377"/>
      <c r="X10" s="377"/>
      <c r="Y10" s="377"/>
      <c r="Z10" s="378"/>
      <c r="AB10" s="81"/>
      <c r="AG10" s="82"/>
      <c r="AH10" s="82"/>
      <c r="AK10" s="83"/>
    </row>
    <row r="11" spans="1:37" s="78" customFormat="1" ht="15" customHeight="1">
      <c r="B11" s="84"/>
      <c r="C11" s="379">
        <f>G15/O11</f>
        <v>1044.1759864548242</v>
      </c>
      <c r="D11" s="379"/>
      <c r="E11" s="379"/>
      <c r="F11" s="334"/>
      <c r="G11" s="380">
        <v>16000</v>
      </c>
      <c r="H11" s="380"/>
      <c r="I11" s="380"/>
      <c r="J11" s="335"/>
      <c r="K11" s="381">
        <f>C11*G11</f>
        <v>16706815.783277187</v>
      </c>
      <c r="L11" s="381"/>
      <c r="M11" s="381"/>
      <c r="N11" s="335"/>
      <c r="O11" s="382">
        <v>13</v>
      </c>
      <c r="P11" s="382"/>
      <c r="Q11" s="335"/>
      <c r="R11" s="347">
        <v>0</v>
      </c>
      <c r="S11" s="347"/>
      <c r="T11" s="347"/>
      <c r="U11" s="335"/>
      <c r="V11" s="85"/>
      <c r="W11" s="383">
        <f>K11*O11</f>
        <v>217188605.18260345</v>
      </c>
      <c r="X11" s="383"/>
      <c r="Y11" s="383"/>
      <c r="Z11" s="86"/>
      <c r="AB11" s="81"/>
      <c r="AC11" s="87"/>
      <c r="AD11" s="87"/>
      <c r="AE11" s="87"/>
      <c r="AG11" s="88"/>
      <c r="AH11" s="88"/>
      <c r="AI11" s="87"/>
      <c r="AK11" s="83"/>
    </row>
    <row r="12" spans="1:37" s="78" customFormat="1" ht="15" customHeight="1">
      <c r="B12" s="359" t="s">
        <v>92</v>
      </c>
      <c r="C12" s="360"/>
      <c r="D12" s="360"/>
      <c r="E12" s="361"/>
      <c r="F12" s="89"/>
      <c r="G12" s="363" t="s">
        <v>93</v>
      </c>
      <c r="H12" s="363"/>
      <c r="I12" s="363"/>
      <c r="J12" s="333" t="s">
        <v>84</v>
      </c>
      <c r="K12" s="362" t="s">
        <v>94</v>
      </c>
      <c r="L12" s="362"/>
      <c r="M12" s="362"/>
      <c r="N12" s="333" t="s">
        <v>86</v>
      </c>
      <c r="O12" s="333"/>
      <c r="P12" s="333"/>
      <c r="Q12" s="333"/>
      <c r="R12" s="90"/>
      <c r="S12" s="358" t="s">
        <v>95</v>
      </c>
      <c r="T12" s="328"/>
      <c r="U12" s="328"/>
      <c r="V12" s="90"/>
      <c r="W12" s="90"/>
      <c r="X12" s="90"/>
      <c r="Y12" s="90"/>
      <c r="Z12" s="91"/>
      <c r="AB12" s="81"/>
      <c r="AC12" s="353" t="s">
        <v>96</v>
      </c>
      <c r="AD12" s="353"/>
      <c r="AE12" s="353"/>
      <c r="AG12" s="353" t="s">
        <v>97</v>
      </c>
      <c r="AH12" s="353"/>
      <c r="AI12" s="353"/>
      <c r="AJ12" s="92"/>
      <c r="AK12" s="83"/>
    </row>
    <row r="13" spans="1:37" s="78" customFormat="1" ht="15" customHeight="1">
      <c r="B13" s="343" t="s">
        <v>98</v>
      </c>
      <c r="C13" s="330"/>
      <c r="D13" s="330"/>
      <c r="E13" s="331"/>
      <c r="F13" s="93"/>
      <c r="G13" s="374">
        <f>7589*7035/6599</f>
        <v>8090.4099105925143</v>
      </c>
      <c r="H13" s="374"/>
      <c r="I13" s="374"/>
      <c r="J13" s="334"/>
      <c r="K13" s="357">
        <f>O14/G13</f>
        <v>6696.4285714285697</v>
      </c>
      <c r="L13" s="357"/>
      <c r="M13" s="357"/>
      <c r="N13" s="334"/>
      <c r="O13" s="328" t="s">
        <v>99</v>
      </c>
      <c r="P13" s="328"/>
      <c r="Q13" s="328"/>
      <c r="R13" s="375" t="s">
        <v>89</v>
      </c>
      <c r="S13" s="376">
        <v>0.1</v>
      </c>
      <c r="T13" s="376"/>
      <c r="U13" s="376"/>
      <c r="V13" s="375" t="s">
        <v>86</v>
      </c>
      <c r="W13" s="94" t="s">
        <v>100</v>
      </c>
      <c r="X13" s="94"/>
      <c r="Y13" s="94"/>
      <c r="Z13" s="91"/>
      <c r="AB13" s="81"/>
      <c r="AG13" s="82"/>
      <c r="AH13" s="82"/>
      <c r="AK13" s="83"/>
    </row>
    <row r="14" spans="1:37" s="78" customFormat="1" ht="15" customHeight="1">
      <c r="B14" s="343" t="s">
        <v>101</v>
      </c>
      <c r="C14" s="330"/>
      <c r="D14" s="330"/>
      <c r="E14" s="331"/>
      <c r="F14" s="93"/>
      <c r="G14" s="332" t="s">
        <v>92</v>
      </c>
      <c r="H14" s="332"/>
      <c r="I14" s="332"/>
      <c r="J14" s="334"/>
      <c r="K14" s="328" t="s">
        <v>102</v>
      </c>
      <c r="L14" s="328"/>
      <c r="M14" s="328"/>
      <c r="N14" s="334"/>
      <c r="O14" s="329">
        <f>G15*K15</f>
        <v>54176852.079860575</v>
      </c>
      <c r="P14" s="329"/>
      <c r="Q14" s="329"/>
      <c r="R14" s="375"/>
      <c r="S14" s="328" t="s">
        <v>103</v>
      </c>
      <c r="T14" s="328"/>
      <c r="U14" s="328"/>
      <c r="V14" s="375"/>
      <c r="W14" s="329">
        <f>O14*(1+S13+S15)</f>
        <v>60678074.32944385</v>
      </c>
      <c r="X14" s="329"/>
      <c r="Y14" s="329"/>
      <c r="Z14" s="91"/>
      <c r="AB14" s="81"/>
      <c r="AC14" s="87"/>
      <c r="AD14" s="87"/>
      <c r="AE14" s="87"/>
      <c r="AG14" s="88"/>
      <c r="AH14" s="88"/>
      <c r="AI14" s="87"/>
      <c r="AK14" s="83"/>
    </row>
    <row r="15" spans="1:37" s="78" customFormat="1" ht="15" customHeight="1">
      <c r="B15" s="364">
        <f>G13/O17</f>
        <v>1.1500227307167754</v>
      </c>
      <c r="C15" s="365"/>
      <c r="D15" s="365"/>
      <c r="E15" s="366"/>
      <c r="F15" s="95"/>
      <c r="G15" s="367">
        <f>12733.01*7035/6599</f>
        <v>13574.287823912715</v>
      </c>
      <c r="H15" s="367"/>
      <c r="I15" s="367"/>
      <c r="J15" s="335"/>
      <c r="K15" s="368">
        <v>3991.137714379508</v>
      </c>
      <c r="L15" s="368"/>
      <c r="M15" s="368"/>
      <c r="N15" s="335"/>
      <c r="O15" s="369"/>
      <c r="P15" s="369"/>
      <c r="Q15" s="369"/>
      <c r="R15" s="95"/>
      <c r="S15" s="371">
        <v>0.02</v>
      </c>
      <c r="T15" s="372"/>
      <c r="U15" s="372"/>
      <c r="V15" s="95"/>
      <c r="W15" s="373">
        <f>W14/G13</f>
        <v>7499.9999999999991</v>
      </c>
      <c r="X15" s="373"/>
      <c r="Y15" s="373"/>
      <c r="Z15" s="86"/>
      <c r="AB15" s="81"/>
      <c r="AC15" s="353" t="s">
        <v>104</v>
      </c>
      <c r="AD15" s="353"/>
      <c r="AE15" s="353"/>
      <c r="AG15" s="353" t="s">
        <v>105</v>
      </c>
      <c r="AH15" s="353"/>
      <c r="AI15" s="353"/>
      <c r="AJ15" s="92"/>
      <c r="AK15" s="83"/>
    </row>
    <row r="16" spans="1:37" s="78" customFormat="1" ht="15" customHeight="1">
      <c r="B16" s="359" t="s">
        <v>106</v>
      </c>
      <c r="C16" s="360"/>
      <c r="D16" s="360" t="s">
        <v>107</v>
      </c>
      <c r="E16" s="361"/>
      <c r="F16" s="362" t="s">
        <v>108</v>
      </c>
      <c r="G16" s="362"/>
      <c r="H16" s="96" t="s">
        <v>109</v>
      </c>
      <c r="I16" s="96" t="s">
        <v>110</v>
      </c>
      <c r="J16" s="359" t="s">
        <v>111</v>
      </c>
      <c r="K16" s="360"/>
      <c r="L16" s="360" t="s">
        <v>112</v>
      </c>
      <c r="M16" s="361"/>
      <c r="N16" s="97"/>
      <c r="O16" s="363" t="s">
        <v>113</v>
      </c>
      <c r="P16" s="363"/>
      <c r="Q16" s="363"/>
      <c r="R16" s="333" t="s">
        <v>84</v>
      </c>
      <c r="S16" s="362" t="s">
        <v>114</v>
      </c>
      <c r="T16" s="362"/>
      <c r="U16" s="362"/>
      <c r="V16" s="333" t="s">
        <v>86</v>
      </c>
      <c r="W16" s="333"/>
      <c r="X16" s="333"/>
      <c r="Y16" s="333"/>
      <c r="Z16" s="98"/>
      <c r="AB16" s="81"/>
      <c r="AG16" s="82"/>
      <c r="AH16" s="82"/>
      <c r="AK16" s="83"/>
    </row>
    <row r="17" spans="2:38" s="78" customFormat="1" ht="15" customHeight="1">
      <c r="B17" s="336">
        <f ca="1">NOW()+30</f>
        <v>44991.897025925929</v>
      </c>
      <c r="C17" s="337"/>
      <c r="D17" s="337">
        <f ca="1">B17+120</f>
        <v>45111.897025925929</v>
      </c>
      <c r="E17" s="338"/>
      <c r="F17" s="339">
        <f>O11</f>
        <v>13</v>
      </c>
      <c r="G17" s="339"/>
      <c r="H17" s="99">
        <v>0</v>
      </c>
      <c r="I17" s="99">
        <v>0</v>
      </c>
      <c r="J17" s="340">
        <v>0</v>
      </c>
      <c r="K17" s="341"/>
      <c r="L17" s="354">
        <f>0</f>
        <v>0</v>
      </c>
      <c r="M17" s="355"/>
      <c r="N17" s="100"/>
      <c r="O17" s="356">
        <v>7035</v>
      </c>
      <c r="P17" s="356"/>
      <c r="Q17" s="356"/>
      <c r="R17" s="334"/>
      <c r="S17" s="357">
        <f>W18/O17</f>
        <v>5685.8564321250888</v>
      </c>
      <c r="T17" s="357"/>
      <c r="U17" s="357"/>
      <c r="V17" s="334"/>
      <c r="W17" s="94" t="s">
        <v>115</v>
      </c>
      <c r="X17" s="94"/>
      <c r="Y17" s="94"/>
      <c r="Z17" s="91"/>
      <c r="AB17" s="81"/>
      <c r="AC17" s="87"/>
      <c r="AD17" s="87"/>
      <c r="AE17" s="87"/>
      <c r="AG17" s="88"/>
      <c r="AH17" s="88"/>
      <c r="AI17" s="87"/>
      <c r="AK17" s="83"/>
    </row>
    <row r="18" spans="2:38" s="78" customFormat="1" ht="15" customHeight="1">
      <c r="B18" s="343" t="s">
        <v>116</v>
      </c>
      <c r="C18" s="330"/>
      <c r="D18" s="330" t="s">
        <v>55</v>
      </c>
      <c r="E18" s="331"/>
      <c r="F18" s="342" t="s">
        <v>90</v>
      </c>
      <c r="G18" s="342"/>
      <c r="H18" s="330" t="s">
        <v>117</v>
      </c>
      <c r="I18" s="331"/>
      <c r="J18" s="343" t="s">
        <v>118</v>
      </c>
      <c r="K18" s="330"/>
      <c r="L18" s="330" t="s">
        <v>119</v>
      </c>
      <c r="M18" s="331"/>
      <c r="N18" s="100"/>
      <c r="O18" s="332" t="s">
        <v>120</v>
      </c>
      <c r="P18" s="332"/>
      <c r="Q18" s="332"/>
      <c r="R18" s="334"/>
      <c r="S18" s="328" t="s">
        <v>121</v>
      </c>
      <c r="T18" s="328"/>
      <c r="U18" s="328"/>
      <c r="V18" s="334"/>
      <c r="W18" s="329">
        <v>40000000</v>
      </c>
      <c r="X18" s="329"/>
      <c r="Y18" s="329"/>
      <c r="Z18" s="91"/>
      <c r="AB18" s="81"/>
      <c r="AC18" s="353" t="s">
        <v>122</v>
      </c>
      <c r="AD18" s="353"/>
      <c r="AE18" s="353"/>
      <c r="AG18" s="353" t="s">
        <v>123</v>
      </c>
      <c r="AH18" s="353"/>
      <c r="AI18" s="353"/>
      <c r="AJ18" s="92"/>
      <c r="AK18" s="83"/>
    </row>
    <row r="19" spans="2:38" s="78" customFormat="1" ht="15" customHeight="1">
      <c r="B19" s="344">
        <f ca="1">D17+150</f>
        <v>45261.897025925929</v>
      </c>
      <c r="C19" s="345"/>
      <c r="D19" s="345">
        <f ca="1">B19+(365*3)</f>
        <v>46356.897025925929</v>
      </c>
      <c r="E19" s="346"/>
      <c r="F19" s="347">
        <v>0</v>
      </c>
      <c r="G19" s="347"/>
      <c r="H19" s="348">
        <v>0</v>
      </c>
      <c r="I19" s="349"/>
      <c r="J19" s="350">
        <v>0</v>
      </c>
      <c r="K19" s="351"/>
      <c r="L19" s="351">
        <v>0</v>
      </c>
      <c r="M19" s="352"/>
      <c r="N19" s="101"/>
      <c r="O19" s="367">
        <f>O17*50%</f>
        <v>3517.5</v>
      </c>
      <c r="P19" s="367"/>
      <c r="Q19" s="367"/>
      <c r="R19" s="335"/>
      <c r="S19" s="370">
        <f>W18/O19</f>
        <v>11371.712864250178</v>
      </c>
      <c r="T19" s="370"/>
      <c r="U19" s="370"/>
      <c r="V19" s="335"/>
      <c r="W19" s="369"/>
      <c r="X19" s="369"/>
      <c r="Y19" s="369"/>
      <c r="Z19" s="86"/>
      <c r="AB19" s="102"/>
      <c r="AC19" s="87"/>
      <c r="AD19" s="87"/>
      <c r="AE19" s="87"/>
      <c r="AF19" s="87"/>
      <c r="AG19" s="88"/>
      <c r="AH19" s="88"/>
      <c r="AI19" s="87"/>
      <c r="AJ19" s="87"/>
      <c r="AK19" s="103"/>
    </row>
    <row r="20" spans="2:38" s="78" customFormat="1" ht="18.75" customHeight="1">
      <c r="B20" s="324">
        <v>0</v>
      </c>
      <c r="C20" s="324"/>
      <c r="D20" s="324"/>
      <c r="E20" s="324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325">
        <f>Z54</f>
        <v>0.40962123552242591</v>
      </c>
      <c r="X20" s="325"/>
      <c r="Y20" s="325"/>
      <c r="Z20" s="104">
        <f>W18/W11</f>
        <v>0.18417172469232262</v>
      </c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</row>
    <row r="21" spans="2:38" s="78" customFormat="1" ht="15" customHeight="1">
      <c r="B21" s="105"/>
      <c r="C21" s="106"/>
      <c r="D21" s="107"/>
      <c r="E21" s="108"/>
      <c r="F21" s="108"/>
      <c r="G21" s="108"/>
      <c r="H21" s="326" t="s">
        <v>124</v>
      </c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108"/>
      <c r="X21" s="108"/>
      <c r="Y21" s="106"/>
      <c r="Z21" s="109" t="s">
        <v>125</v>
      </c>
      <c r="AA21" s="71"/>
      <c r="AB21" s="313" t="s">
        <v>126</v>
      </c>
      <c r="AC21" s="314"/>
      <c r="AD21" s="314"/>
      <c r="AE21" s="314"/>
      <c r="AF21" s="314"/>
      <c r="AG21" s="314"/>
      <c r="AH21" s="314"/>
      <c r="AI21" s="314"/>
      <c r="AJ21" s="314"/>
      <c r="AK21" s="315"/>
      <c r="AL21" s="71"/>
    </row>
    <row r="22" spans="2:38" s="78" customFormat="1" ht="15" customHeight="1">
      <c r="B22" s="110"/>
      <c r="C22" s="111"/>
      <c r="D22" s="111"/>
      <c r="E22" s="111"/>
      <c r="F22" s="111"/>
      <c r="G22" s="111"/>
      <c r="H22" s="111"/>
      <c r="I22" s="112" t="s">
        <v>127</v>
      </c>
      <c r="J22" s="316" t="s">
        <v>128</v>
      </c>
      <c r="K22" s="317"/>
      <c r="L22" s="317" t="s">
        <v>129</v>
      </c>
      <c r="M22" s="317"/>
      <c r="N22" s="113" t="s">
        <v>130</v>
      </c>
      <c r="O22" s="316" t="s">
        <v>131</v>
      </c>
      <c r="P22" s="317"/>
      <c r="Q22" s="317" t="s">
        <v>132</v>
      </c>
      <c r="R22" s="317"/>
      <c r="S22" s="114" t="s">
        <v>130</v>
      </c>
      <c r="T22" s="316" t="s">
        <v>133</v>
      </c>
      <c r="U22" s="318"/>
      <c r="V22" s="316" t="s">
        <v>134</v>
      </c>
      <c r="W22" s="318"/>
      <c r="X22" s="319" t="s">
        <v>135</v>
      </c>
      <c r="Y22" s="320"/>
      <c r="Z22" s="115" t="s">
        <v>136</v>
      </c>
      <c r="AA22" s="75"/>
      <c r="AB22" s="116"/>
      <c r="AC22" s="117"/>
      <c r="AD22" s="117"/>
      <c r="AE22" s="321">
        <v>0</v>
      </c>
      <c r="AF22" s="321"/>
      <c r="AG22" s="321"/>
      <c r="AH22" s="118"/>
      <c r="AI22" s="322" t="s">
        <v>137</v>
      </c>
      <c r="AJ22" s="322"/>
      <c r="AK22" s="323"/>
      <c r="AL22" s="75"/>
    </row>
    <row r="23" spans="2:38" s="78" customFormat="1" ht="15" customHeight="1">
      <c r="B23" s="119" t="s">
        <v>138</v>
      </c>
      <c r="C23" s="120"/>
      <c r="D23" s="120"/>
      <c r="E23" s="120"/>
      <c r="F23" s="121"/>
      <c r="G23" s="121"/>
      <c r="H23" s="121"/>
      <c r="I23" s="122"/>
      <c r="J23" s="310">
        <v>0</v>
      </c>
      <c r="K23" s="311"/>
      <c r="L23" s="312">
        <v>0</v>
      </c>
      <c r="M23" s="311"/>
      <c r="N23" s="123">
        <f t="shared" ref="N23:N63" si="0">IF(ISERR(J23/(J23+O23)),0,J23/(J23+O23))</f>
        <v>0</v>
      </c>
      <c r="O23" s="310">
        <f>W11/1000</f>
        <v>217188.60518260344</v>
      </c>
      <c r="P23" s="311"/>
      <c r="Q23" s="312">
        <v>0</v>
      </c>
      <c r="R23" s="311"/>
      <c r="S23" s="124">
        <f t="shared" ref="S23:S63" si="1">IF(ISERR(O23/(O23+J23)),0,O23/(O23+J23))</f>
        <v>1</v>
      </c>
      <c r="T23" s="305">
        <f>SUM(T24:U26)</f>
        <v>217188.60518260344</v>
      </c>
      <c r="U23" s="306"/>
      <c r="V23" s="305">
        <f>SUM(V24:W26)</f>
        <v>217188.60518260344</v>
      </c>
      <c r="W23" s="306"/>
      <c r="X23" s="305">
        <f>SUM(X24:Y26)</f>
        <v>217188.60518260344</v>
      </c>
      <c r="Y23" s="306"/>
      <c r="Z23" s="125">
        <v>1</v>
      </c>
      <c r="AA23" s="75"/>
      <c r="AB23" s="307" t="s">
        <v>139</v>
      </c>
      <c r="AC23" s="308"/>
      <c r="AD23" s="308"/>
      <c r="AE23" s="308"/>
      <c r="AF23" s="308"/>
      <c r="AG23" s="309">
        <v>1</v>
      </c>
      <c r="AH23" s="309"/>
      <c r="AI23" s="309"/>
      <c r="AJ23" s="126"/>
      <c r="AK23" s="127"/>
      <c r="AL23" s="75"/>
    </row>
    <row r="24" spans="2:38" s="78" customFormat="1" ht="15" customHeight="1">
      <c r="B24" s="128"/>
      <c r="C24" s="129" t="s">
        <v>140</v>
      </c>
      <c r="D24" s="129"/>
      <c r="E24" s="129"/>
      <c r="F24" s="130"/>
      <c r="G24" s="130"/>
      <c r="H24" s="130"/>
      <c r="I24" s="131"/>
      <c r="J24" s="230">
        <v>0</v>
      </c>
      <c r="K24" s="289"/>
      <c r="L24" s="290">
        <v>0</v>
      </c>
      <c r="M24" s="289"/>
      <c r="N24" s="132">
        <f t="shared" si="0"/>
        <v>0</v>
      </c>
      <c r="O24" s="230">
        <f t="shared" ref="O24" si="2">Z24*$O$23</f>
        <v>217188.60518260344</v>
      </c>
      <c r="P24" s="289"/>
      <c r="Q24" s="290">
        <v>0</v>
      </c>
      <c r="R24" s="289"/>
      <c r="S24" s="133">
        <f t="shared" si="1"/>
        <v>1</v>
      </c>
      <c r="T24" s="232">
        <f>O24</f>
        <v>217188.60518260344</v>
      </c>
      <c r="U24" s="233"/>
      <c r="V24" s="232">
        <f>T24</f>
        <v>217188.60518260344</v>
      </c>
      <c r="W24" s="233"/>
      <c r="X24" s="232">
        <f>V24</f>
        <v>217188.60518260344</v>
      </c>
      <c r="Y24" s="233"/>
      <c r="Z24" s="134">
        <v>1</v>
      </c>
      <c r="AA24" s="71"/>
      <c r="AB24" s="135" t="s">
        <v>141</v>
      </c>
      <c r="AC24" s="136"/>
      <c r="AD24" s="136"/>
      <c r="AE24" s="136"/>
      <c r="AF24" s="136"/>
      <c r="AG24" s="137"/>
      <c r="AH24" s="302">
        <f>AH29/O11</f>
        <v>8502159.5638033729</v>
      </c>
      <c r="AI24" s="302"/>
      <c r="AJ24" s="138"/>
      <c r="AK24" s="139"/>
    </row>
    <row r="25" spans="2:38" s="78" customFormat="1" ht="15" customHeight="1">
      <c r="B25" s="140"/>
      <c r="C25" s="141"/>
      <c r="D25" s="141"/>
      <c r="E25" s="141"/>
      <c r="F25" s="142"/>
      <c r="G25" s="142"/>
      <c r="H25" s="142"/>
      <c r="I25" s="143"/>
      <c r="J25" s="278"/>
      <c r="K25" s="303"/>
      <c r="L25" s="304"/>
      <c r="M25" s="303"/>
      <c r="N25" s="144"/>
      <c r="O25" s="278"/>
      <c r="P25" s="303"/>
      <c r="Q25" s="304"/>
      <c r="R25" s="303"/>
      <c r="S25" s="145"/>
      <c r="T25" s="244"/>
      <c r="U25" s="245"/>
      <c r="V25" s="244"/>
      <c r="W25" s="245"/>
      <c r="X25" s="244"/>
      <c r="Y25" s="245"/>
      <c r="Z25" s="146"/>
      <c r="AA25" s="71"/>
      <c r="AB25" s="147" t="s">
        <v>142</v>
      </c>
      <c r="AC25" s="141"/>
      <c r="AD25" s="141"/>
      <c r="AE25" s="141"/>
      <c r="AF25" s="141"/>
      <c r="AG25" s="142"/>
      <c r="AH25" s="142"/>
      <c r="AI25" s="148" t="s">
        <v>143</v>
      </c>
      <c r="AJ25" s="149"/>
      <c r="AK25" s="150"/>
    </row>
    <row r="26" spans="2:38" s="78" customFormat="1" ht="15" customHeight="1">
      <c r="B26" s="128"/>
      <c r="C26" s="129"/>
      <c r="D26" s="129"/>
      <c r="E26" s="129"/>
      <c r="F26" s="130"/>
      <c r="G26" s="130"/>
      <c r="H26" s="130"/>
      <c r="I26" s="131"/>
      <c r="J26" s="230"/>
      <c r="K26" s="289"/>
      <c r="L26" s="290"/>
      <c r="M26" s="289"/>
      <c r="N26" s="132"/>
      <c r="O26" s="230"/>
      <c r="P26" s="289"/>
      <c r="Q26" s="290"/>
      <c r="R26" s="289"/>
      <c r="S26" s="133"/>
      <c r="T26" s="232"/>
      <c r="U26" s="233"/>
      <c r="V26" s="232"/>
      <c r="W26" s="233"/>
      <c r="X26" s="232"/>
      <c r="Y26" s="233"/>
      <c r="Z26" s="134"/>
      <c r="AA26" s="71"/>
      <c r="AB26" s="151" t="s">
        <v>144</v>
      </c>
      <c r="AC26" s="129"/>
      <c r="AD26" s="129"/>
      <c r="AE26" s="129"/>
      <c r="AF26" s="129"/>
      <c r="AG26" s="130"/>
      <c r="AH26" s="264">
        <f>'[9]EVTE - Projetado'!K22</f>
        <v>40000000</v>
      </c>
      <c r="AI26" s="264">
        <f>'[9]EVTE - Projetado'!K22</f>
        <v>40000000</v>
      </c>
      <c r="AJ26" s="152"/>
      <c r="AK26" s="153"/>
    </row>
    <row r="27" spans="2:38" s="78" customFormat="1" ht="15" customHeight="1">
      <c r="B27" s="154" t="s">
        <v>145</v>
      </c>
      <c r="C27" s="155"/>
      <c r="D27" s="155"/>
      <c r="E27" s="155"/>
      <c r="F27" s="156"/>
      <c r="G27" s="156"/>
      <c r="H27" s="156"/>
      <c r="I27" s="157"/>
      <c r="J27" s="216">
        <v>0</v>
      </c>
      <c r="K27" s="299"/>
      <c r="L27" s="300">
        <v>0</v>
      </c>
      <c r="M27" s="299"/>
      <c r="N27" s="158">
        <f t="shared" si="0"/>
        <v>0</v>
      </c>
      <c r="O27" s="216">
        <f>SUM(O24:P26)</f>
        <v>217188.60518260344</v>
      </c>
      <c r="P27" s="299"/>
      <c r="Q27" s="300">
        <v>0</v>
      </c>
      <c r="R27" s="299"/>
      <c r="S27" s="159">
        <f t="shared" si="1"/>
        <v>1</v>
      </c>
      <c r="T27" s="218">
        <f>SUM(T24:U26)</f>
        <v>217188.60518260344</v>
      </c>
      <c r="U27" s="219"/>
      <c r="V27" s="218">
        <f>SUM(V24:W26)</f>
        <v>217188.60518260344</v>
      </c>
      <c r="W27" s="219"/>
      <c r="X27" s="218">
        <f>SUM(X24:Y26)</f>
        <v>217188.60518260344</v>
      </c>
      <c r="Y27" s="219"/>
      <c r="Z27" s="160">
        <v>1</v>
      </c>
      <c r="AA27" s="71"/>
      <c r="AB27" s="147" t="s">
        <v>146</v>
      </c>
      <c r="AC27" s="141"/>
      <c r="AD27" s="141"/>
      <c r="AE27" s="141"/>
      <c r="AF27" s="141"/>
      <c r="AG27" s="142"/>
      <c r="AH27" s="301">
        <f>'[9]EVTE - Projetado'!K42</f>
        <v>57140714.285714276</v>
      </c>
      <c r="AI27" s="301"/>
      <c r="AJ27" s="149"/>
      <c r="AK27" s="150"/>
    </row>
    <row r="28" spans="2:38" s="78" customFormat="1" ht="15" customHeight="1">
      <c r="B28" s="161"/>
      <c r="C28" s="162"/>
      <c r="D28" s="162"/>
      <c r="E28" s="162"/>
      <c r="F28" s="163"/>
      <c r="G28" s="163"/>
      <c r="H28" s="163"/>
      <c r="I28" s="164"/>
      <c r="J28" s="248"/>
      <c r="K28" s="297"/>
      <c r="L28" s="298"/>
      <c r="M28" s="297"/>
      <c r="N28" s="165"/>
      <c r="O28" s="248"/>
      <c r="P28" s="297"/>
      <c r="Q28" s="298"/>
      <c r="R28" s="297"/>
      <c r="S28" s="166"/>
      <c r="T28" s="250"/>
      <c r="U28" s="251"/>
      <c r="V28" s="250"/>
      <c r="W28" s="251"/>
      <c r="X28" s="250"/>
      <c r="Y28" s="251"/>
      <c r="Z28" s="167"/>
      <c r="AA28" s="71"/>
      <c r="AB28" s="151" t="s">
        <v>147</v>
      </c>
      <c r="AC28" s="129"/>
      <c r="AD28" s="129"/>
      <c r="AE28" s="129"/>
      <c r="AF28" s="129"/>
      <c r="AG28" s="130"/>
      <c r="AH28" s="264">
        <f>'[9]EVTE - Projetado'!K42+'[9]EVTE - Projetado'!K46</f>
        <v>99440714.285714269</v>
      </c>
      <c r="AI28" s="264" t="s">
        <v>148</v>
      </c>
      <c r="AJ28" s="152"/>
      <c r="AK28" s="153"/>
    </row>
    <row r="29" spans="2:38" s="78" customFormat="1" ht="15" customHeight="1">
      <c r="B29" s="168" t="s">
        <v>149</v>
      </c>
      <c r="C29" s="169"/>
      <c r="D29" s="169"/>
      <c r="E29" s="169"/>
      <c r="F29" s="170"/>
      <c r="G29" s="170"/>
      <c r="H29" s="170"/>
      <c r="I29" s="171"/>
      <c r="J29" s="236">
        <v>0</v>
      </c>
      <c r="K29" s="292"/>
      <c r="L29" s="293">
        <v>0</v>
      </c>
      <c r="M29" s="292"/>
      <c r="N29" s="172">
        <f t="shared" si="0"/>
        <v>0</v>
      </c>
      <c r="O29" s="236">
        <f>SUM(O30:P31)</f>
        <v>-5578.2067200000029</v>
      </c>
      <c r="P29" s="292"/>
      <c r="Q29" s="293">
        <v>0</v>
      </c>
      <c r="R29" s="292"/>
      <c r="S29" s="173">
        <f t="shared" si="1"/>
        <v>1</v>
      </c>
      <c r="T29" s="238">
        <f t="shared" ref="T29:T34" si="3">O29</f>
        <v>-5578.2067200000029</v>
      </c>
      <c r="U29" s="239"/>
      <c r="V29" s="238">
        <f>T29</f>
        <v>-5578.2067200000029</v>
      </c>
      <c r="W29" s="239"/>
      <c r="X29" s="238">
        <f>T29</f>
        <v>-5578.2067200000029</v>
      </c>
      <c r="Y29" s="239"/>
      <c r="Z29" s="125">
        <f>SUM(Z30:Z31)</f>
        <v>-2.5683698807817616E-2</v>
      </c>
      <c r="AA29" s="71"/>
      <c r="AB29" s="147" t="s">
        <v>150</v>
      </c>
      <c r="AC29" s="141"/>
      <c r="AD29" s="141"/>
      <c r="AE29" s="141"/>
      <c r="AF29" s="141"/>
      <c r="AG29" s="142"/>
      <c r="AH29" s="296">
        <f>-1000*(O36+O38+O42+O45+O50)</f>
        <v>110528074.32944384</v>
      </c>
      <c r="AI29" s="296"/>
      <c r="AJ29" s="149"/>
      <c r="AK29" s="150"/>
    </row>
    <row r="30" spans="2:38" s="78" customFormat="1" ht="15" customHeight="1">
      <c r="B30" s="128"/>
      <c r="C30" s="129" t="str">
        <f>'[10]Cenário Real'!$C$30</f>
        <v>IBTI, Escritura, Registro, Iptu (Obra), Advogado</v>
      </c>
      <c r="D30" s="129"/>
      <c r="E30" s="129"/>
      <c r="F30" s="130"/>
      <c r="G30" s="130"/>
      <c r="H30" s="130"/>
      <c r="I30" s="131"/>
      <c r="J30" s="230">
        <v>0</v>
      </c>
      <c r="K30" s="289"/>
      <c r="L30" s="290">
        <v>0</v>
      </c>
      <c r="M30" s="289"/>
      <c r="N30" s="132">
        <f t="shared" si="0"/>
        <v>0</v>
      </c>
      <c r="O30" s="230">
        <f>-(([9]Inputs!F14+[9]Inputs!F15)-2000000)/1000</f>
        <v>-3578.2067200000024</v>
      </c>
      <c r="P30" s="289"/>
      <c r="Q30" s="290">
        <v>0</v>
      </c>
      <c r="R30" s="289"/>
      <c r="S30" s="133">
        <f t="shared" si="1"/>
        <v>1</v>
      </c>
      <c r="T30" s="232">
        <f t="shared" si="3"/>
        <v>-3578.2067200000024</v>
      </c>
      <c r="U30" s="233"/>
      <c r="V30" s="232">
        <f>T30</f>
        <v>-3578.2067200000024</v>
      </c>
      <c r="W30" s="233"/>
      <c r="X30" s="232">
        <f>V30</f>
        <v>-3578.2067200000024</v>
      </c>
      <c r="Y30" s="233"/>
      <c r="Z30" s="134">
        <f>O30/O23</f>
        <v>-1.6475112573201483E-2</v>
      </c>
      <c r="AA30" s="71"/>
      <c r="AB30" s="151" t="s">
        <v>151</v>
      </c>
      <c r="AC30" s="129"/>
      <c r="AD30" s="129"/>
      <c r="AE30" s="129"/>
      <c r="AF30" s="129"/>
      <c r="AG30" s="130"/>
      <c r="AH30" s="294">
        <f>-1000*(SUM(O29,O32,O36,O38,O42,O45,O50,O59))</f>
        <v>135653255.51587814</v>
      </c>
      <c r="AI30" s="294"/>
      <c r="AJ30" s="152"/>
      <c r="AK30" s="153"/>
    </row>
    <row r="31" spans="2:38" s="78" customFormat="1" ht="18.75" customHeight="1">
      <c r="B31" s="140"/>
      <c r="C31" s="141" t="str">
        <f>'[10]Cenário Real'!$C$31</f>
        <v>Comissão de Vendas Terreno</v>
      </c>
      <c r="D31" s="141"/>
      <c r="E31" s="141"/>
      <c r="F31" s="142"/>
      <c r="G31" s="142"/>
      <c r="H31" s="142"/>
      <c r="I31" s="143"/>
      <c r="J31" s="242">
        <v>0</v>
      </c>
      <c r="K31" s="243"/>
      <c r="L31" s="243">
        <v>0</v>
      </c>
      <c r="M31" s="243"/>
      <c r="N31" s="144">
        <f t="shared" si="0"/>
        <v>0</v>
      </c>
      <c r="O31" s="278">
        <f>'[10]Cenário Real'!$O$31</f>
        <v>-2000.0000000000005</v>
      </c>
      <c r="P31" s="279"/>
      <c r="Q31" s="243">
        <v>0</v>
      </c>
      <c r="R31" s="243"/>
      <c r="S31" s="145">
        <f t="shared" si="1"/>
        <v>1</v>
      </c>
      <c r="T31" s="244">
        <f t="shared" si="3"/>
        <v>-2000.0000000000005</v>
      </c>
      <c r="U31" s="245"/>
      <c r="V31" s="244">
        <f>T31</f>
        <v>-2000.0000000000005</v>
      </c>
      <c r="W31" s="245"/>
      <c r="X31" s="244">
        <f>V31</f>
        <v>-2000.0000000000005</v>
      </c>
      <c r="Y31" s="245"/>
      <c r="Z31" s="174">
        <f>O31/O24</f>
        <v>-9.2085862346161351E-3</v>
      </c>
      <c r="AA31" s="71"/>
      <c r="AB31" s="147" t="s">
        <v>152</v>
      </c>
      <c r="AC31" s="141"/>
      <c r="AD31" s="141"/>
      <c r="AE31" s="141"/>
      <c r="AF31" s="141"/>
      <c r="AG31" s="142"/>
      <c r="AH31" s="295">
        <f>O54*1000</f>
        <v>90222893.874029413</v>
      </c>
      <c r="AI31" s="295"/>
      <c r="AJ31" s="149"/>
      <c r="AK31" s="150"/>
    </row>
    <row r="32" spans="2:38" s="78" customFormat="1" ht="15" customHeight="1">
      <c r="B32" s="168" t="s">
        <v>153</v>
      </c>
      <c r="C32" s="169"/>
      <c r="D32" s="169"/>
      <c r="E32" s="169"/>
      <c r="F32" s="170"/>
      <c r="G32" s="170"/>
      <c r="H32" s="170"/>
      <c r="I32" s="171"/>
      <c r="J32" s="236">
        <v>0</v>
      </c>
      <c r="K32" s="292"/>
      <c r="L32" s="293">
        <v>0</v>
      </c>
      <c r="M32" s="292"/>
      <c r="N32" s="172">
        <f>IF(ISERR(J32/(J32+O32)),0,J32/(J32+O32))</f>
        <v>0</v>
      </c>
      <c r="O32" s="236">
        <f>SUM(O33)</f>
        <v>-10859.430259130173</v>
      </c>
      <c r="P32" s="292"/>
      <c r="Q32" s="293">
        <v>0</v>
      </c>
      <c r="R32" s="292"/>
      <c r="S32" s="173">
        <f t="shared" si="1"/>
        <v>1</v>
      </c>
      <c r="T32" s="238">
        <f t="shared" si="3"/>
        <v>-10859.430259130173</v>
      </c>
      <c r="U32" s="239"/>
      <c r="V32" s="238">
        <f>T32</f>
        <v>-10859.430259130173</v>
      </c>
      <c r="W32" s="239"/>
      <c r="X32" s="238">
        <f>V32</f>
        <v>-10859.430259130173</v>
      </c>
      <c r="Y32" s="239"/>
      <c r="Z32" s="125">
        <f>SUM(Z33)</f>
        <v>-0.05</v>
      </c>
      <c r="AA32" s="71"/>
      <c r="AB32" s="151" t="s">
        <v>154</v>
      </c>
      <c r="AC32" s="129"/>
      <c r="AD32" s="129"/>
      <c r="AE32" s="129"/>
      <c r="AF32" s="129"/>
      <c r="AG32" s="130"/>
      <c r="AH32" s="288">
        <f>Z48</f>
        <v>0.42462123552242592</v>
      </c>
      <c r="AI32" s="288"/>
      <c r="AJ32" s="152"/>
      <c r="AK32" s="153"/>
    </row>
    <row r="33" spans="2:42" s="78" customFormat="1" ht="15" customHeight="1">
      <c r="B33" s="128"/>
      <c r="C33" s="129" t="s">
        <v>155</v>
      </c>
      <c r="D33" s="129"/>
      <c r="E33" s="129"/>
      <c r="F33" s="130"/>
      <c r="G33" s="130"/>
      <c r="H33" s="130"/>
      <c r="I33" s="131"/>
      <c r="J33" s="230">
        <v>0</v>
      </c>
      <c r="K33" s="289"/>
      <c r="L33" s="290">
        <v>0</v>
      </c>
      <c r="M33" s="289"/>
      <c r="N33" s="132">
        <f t="shared" si="0"/>
        <v>0</v>
      </c>
      <c r="O33" s="230">
        <f t="shared" ref="O33" si="4">Z33*$O$23</f>
        <v>-10859.430259130173</v>
      </c>
      <c r="P33" s="289"/>
      <c r="Q33" s="290">
        <v>0</v>
      </c>
      <c r="R33" s="289"/>
      <c r="S33" s="133">
        <f t="shared" si="1"/>
        <v>1</v>
      </c>
      <c r="T33" s="232">
        <f t="shared" si="3"/>
        <v>-10859.430259130173</v>
      </c>
      <c r="U33" s="233"/>
      <c r="V33" s="232">
        <f>T33</f>
        <v>-10859.430259130173</v>
      </c>
      <c r="W33" s="233"/>
      <c r="X33" s="232">
        <f>V33</f>
        <v>-10859.430259130173</v>
      </c>
      <c r="Y33" s="233"/>
      <c r="Z33" s="134">
        <v>-0.05</v>
      </c>
      <c r="AA33" s="71"/>
      <c r="AB33" s="147" t="s">
        <v>156</v>
      </c>
      <c r="AC33" s="141"/>
      <c r="AD33" s="141"/>
      <c r="AE33" s="141"/>
      <c r="AF33" s="141"/>
      <c r="AG33" s="142"/>
      <c r="AH33" s="291">
        <f>AH31/W11</f>
        <v>0.41541264928780969</v>
      </c>
      <c r="AI33" s="291"/>
      <c r="AJ33" s="149"/>
      <c r="AK33" s="150"/>
    </row>
    <row r="34" spans="2:42" s="78" customFormat="1" ht="15" customHeight="1">
      <c r="B34" s="154" t="s">
        <v>157</v>
      </c>
      <c r="C34" s="155"/>
      <c r="D34" s="155"/>
      <c r="E34" s="155"/>
      <c r="F34" s="156"/>
      <c r="G34" s="156"/>
      <c r="H34" s="156"/>
      <c r="I34" s="157"/>
      <c r="J34" s="214">
        <v>0</v>
      </c>
      <c r="K34" s="215"/>
      <c r="L34" s="215">
        <v>0</v>
      </c>
      <c r="M34" s="215"/>
      <c r="N34" s="158">
        <f t="shared" si="0"/>
        <v>0</v>
      </c>
      <c r="O34" s="216">
        <f>O23+SUM(O32,O29)</f>
        <v>200750.96820347325</v>
      </c>
      <c r="P34" s="217"/>
      <c r="Q34" s="215">
        <v>0</v>
      </c>
      <c r="R34" s="215"/>
      <c r="S34" s="159">
        <f t="shared" si="1"/>
        <v>1</v>
      </c>
      <c r="T34" s="218">
        <f t="shared" si="3"/>
        <v>200750.96820347325</v>
      </c>
      <c r="U34" s="219"/>
      <c r="V34" s="218">
        <f>O34</f>
        <v>200750.96820347325</v>
      </c>
      <c r="W34" s="219"/>
      <c r="X34" s="218">
        <f>V34</f>
        <v>200750.96820347325</v>
      </c>
      <c r="Y34" s="219"/>
      <c r="Z34" s="160">
        <f>Z27+Z32+Z29</f>
        <v>0.92431630119218233</v>
      </c>
      <c r="AA34" s="71"/>
      <c r="AB34" s="285" t="s">
        <v>158</v>
      </c>
      <c r="AC34" s="286"/>
      <c r="AD34" s="286"/>
      <c r="AE34" s="286"/>
      <c r="AF34" s="286"/>
      <c r="AG34" s="286"/>
      <c r="AH34" s="286"/>
      <c r="AI34" s="286"/>
      <c r="AJ34" s="286"/>
      <c r="AK34" s="287"/>
    </row>
    <row r="35" spans="2:42" s="78" customFormat="1" ht="15" customHeight="1">
      <c r="B35" s="161"/>
      <c r="C35" s="162"/>
      <c r="D35" s="162"/>
      <c r="E35" s="162"/>
      <c r="F35" s="163"/>
      <c r="G35" s="163"/>
      <c r="H35" s="163"/>
      <c r="I35" s="164"/>
      <c r="J35" s="246"/>
      <c r="K35" s="247"/>
      <c r="L35" s="247"/>
      <c r="M35" s="247"/>
      <c r="N35" s="165"/>
      <c r="O35" s="248"/>
      <c r="P35" s="249"/>
      <c r="Q35" s="247"/>
      <c r="R35" s="247"/>
      <c r="S35" s="166"/>
      <c r="T35" s="250"/>
      <c r="U35" s="251"/>
      <c r="V35" s="250"/>
      <c r="W35" s="251"/>
      <c r="X35" s="250"/>
      <c r="Y35" s="251"/>
      <c r="Z35" s="167"/>
      <c r="AA35" s="71"/>
      <c r="AB35" s="151" t="s">
        <v>159</v>
      </c>
      <c r="AC35" s="130"/>
      <c r="AD35" s="130"/>
      <c r="AE35" s="130"/>
      <c r="AF35" s="130"/>
      <c r="AG35" s="130"/>
      <c r="AH35" s="264">
        <f>O63*1000</f>
        <v>51535349.666725278</v>
      </c>
      <c r="AI35" s="264"/>
      <c r="AJ35" s="152"/>
      <c r="AK35" s="153"/>
    </row>
    <row r="36" spans="2:42" s="78" customFormat="1" ht="15" customHeight="1">
      <c r="B36" s="168" t="s">
        <v>160</v>
      </c>
      <c r="C36" s="169"/>
      <c r="D36" s="169"/>
      <c r="E36" s="169"/>
      <c r="F36" s="170"/>
      <c r="G36" s="170"/>
      <c r="H36" s="170"/>
      <c r="I36" s="171"/>
      <c r="J36" s="234">
        <v>0</v>
      </c>
      <c r="K36" s="235"/>
      <c r="L36" s="235">
        <v>0</v>
      </c>
      <c r="M36" s="235"/>
      <c r="N36" s="172">
        <f t="shared" si="0"/>
        <v>0</v>
      </c>
      <c r="O36" s="236">
        <f>SUM(O37)</f>
        <v>-40000</v>
      </c>
      <c r="P36" s="237"/>
      <c r="Q36" s="235">
        <v>0</v>
      </c>
      <c r="R36" s="235"/>
      <c r="S36" s="173">
        <f t="shared" si="1"/>
        <v>1</v>
      </c>
      <c r="T36" s="238">
        <f t="shared" ref="T36:T48" si="5">O36</f>
        <v>-40000</v>
      </c>
      <c r="U36" s="239"/>
      <c r="V36" s="238">
        <f t="shared" ref="V36:V48" si="6">T36</f>
        <v>-40000</v>
      </c>
      <c r="W36" s="239"/>
      <c r="X36" s="238">
        <f t="shared" ref="X36:X48" si="7">V36</f>
        <v>-40000</v>
      </c>
      <c r="Y36" s="239"/>
      <c r="Z36" s="125">
        <f>SUM(Z37)</f>
        <v>-0.18417172469232265</v>
      </c>
      <c r="AA36" s="71"/>
      <c r="AB36" s="147" t="s">
        <v>161</v>
      </c>
      <c r="AC36" s="142"/>
      <c r="AD36" s="142"/>
      <c r="AE36" s="142"/>
      <c r="AF36" s="142"/>
      <c r="AG36" s="142"/>
      <c r="AH36" s="284">
        <f>O38*32%*1000*-1</f>
        <v>19416983.785422031</v>
      </c>
      <c r="AI36" s="284"/>
      <c r="AJ36" s="149"/>
      <c r="AK36" s="150"/>
      <c r="AM36" s="175"/>
    </row>
    <row r="37" spans="2:42" s="78" customFormat="1" ht="15" customHeight="1">
      <c r="B37" s="128"/>
      <c r="C37" s="129" t="s">
        <v>162</v>
      </c>
      <c r="D37" s="129"/>
      <c r="E37" s="129"/>
      <c r="F37" s="130"/>
      <c r="G37" s="130"/>
      <c r="H37" s="130"/>
      <c r="I37" s="131"/>
      <c r="J37" s="228">
        <v>0</v>
      </c>
      <c r="K37" s="229"/>
      <c r="L37" s="229">
        <v>0</v>
      </c>
      <c r="M37" s="229"/>
      <c r="N37" s="132">
        <f t="shared" si="0"/>
        <v>0</v>
      </c>
      <c r="O37" s="230">
        <f>W18/-1000</f>
        <v>-40000</v>
      </c>
      <c r="P37" s="231"/>
      <c r="Q37" s="229">
        <v>0</v>
      </c>
      <c r="R37" s="229"/>
      <c r="S37" s="133">
        <f t="shared" si="1"/>
        <v>1</v>
      </c>
      <c r="T37" s="232">
        <f t="shared" si="5"/>
        <v>-40000</v>
      </c>
      <c r="U37" s="233"/>
      <c r="V37" s="232">
        <f t="shared" si="6"/>
        <v>-40000</v>
      </c>
      <c r="W37" s="233"/>
      <c r="X37" s="232">
        <f t="shared" si="7"/>
        <v>-40000</v>
      </c>
      <c r="Y37" s="233"/>
      <c r="Z37" s="134">
        <f>O37/O23</f>
        <v>-0.18417172469232265</v>
      </c>
      <c r="AA37" s="71"/>
      <c r="AB37" s="151" t="s">
        <v>163</v>
      </c>
      <c r="AC37" s="130"/>
      <c r="AD37" s="130"/>
      <c r="AE37" s="130"/>
      <c r="AF37" s="130"/>
      <c r="AG37" s="130"/>
      <c r="AH37" s="264">
        <f>'[9]Desembolso - LV'!C10</f>
        <v>9930019.402111372</v>
      </c>
      <c r="AI37" s="264"/>
      <c r="AJ37" s="152"/>
      <c r="AK37" s="153"/>
    </row>
    <row r="38" spans="2:42" s="78" customFormat="1" ht="15" customHeight="1">
      <c r="B38" s="168" t="s">
        <v>116</v>
      </c>
      <c r="C38" s="169"/>
      <c r="D38" s="169"/>
      <c r="E38" s="169"/>
      <c r="F38" s="170"/>
      <c r="G38" s="170"/>
      <c r="H38" s="170"/>
      <c r="I38" s="171"/>
      <c r="J38" s="234">
        <v>0</v>
      </c>
      <c r="K38" s="235"/>
      <c r="L38" s="235">
        <v>0</v>
      </c>
      <c r="M38" s="235"/>
      <c r="N38" s="172">
        <f t="shared" si="0"/>
        <v>0</v>
      </c>
      <c r="O38" s="236">
        <f>SUM(O39:P41)</f>
        <v>-60678.074329443843</v>
      </c>
      <c r="P38" s="237"/>
      <c r="Q38" s="235">
        <v>0</v>
      </c>
      <c r="R38" s="235"/>
      <c r="S38" s="173">
        <f t="shared" si="1"/>
        <v>1</v>
      </c>
      <c r="T38" s="238">
        <f t="shared" si="5"/>
        <v>-60678.074329443843</v>
      </c>
      <c r="U38" s="239"/>
      <c r="V38" s="238">
        <f t="shared" si="6"/>
        <v>-60678.074329443843</v>
      </c>
      <c r="W38" s="239"/>
      <c r="X38" s="238">
        <f t="shared" si="7"/>
        <v>-60678.074329443843</v>
      </c>
      <c r="Y38" s="239"/>
      <c r="Z38" s="125">
        <f>SUM(Z39:Z41)</f>
        <v>-0.27937964000656551</v>
      </c>
      <c r="AA38" s="71"/>
      <c r="AB38" s="282">
        <v>5</v>
      </c>
      <c r="AC38" s="283"/>
      <c r="AD38" s="283"/>
      <c r="AE38" s="283"/>
      <c r="AF38" s="283"/>
      <c r="AG38" s="283"/>
      <c r="AH38" s="284">
        <f>K11*5</f>
        <v>83534078.916385934</v>
      </c>
      <c r="AI38" s="284"/>
      <c r="AJ38" s="149"/>
      <c r="AK38" s="150"/>
      <c r="AP38" s="78">
        <v>-2037.2815999999998</v>
      </c>
    </row>
    <row r="39" spans="2:42" s="78" customFormat="1" ht="15" customHeight="1">
      <c r="B39" s="128"/>
      <c r="C39" s="129" t="s">
        <v>99</v>
      </c>
      <c r="D39" s="129"/>
      <c r="E39" s="129"/>
      <c r="F39" s="130"/>
      <c r="G39" s="130"/>
      <c r="H39" s="130"/>
      <c r="I39" s="131"/>
      <c r="J39" s="228">
        <v>0</v>
      </c>
      <c r="K39" s="229"/>
      <c r="L39" s="229">
        <v>0</v>
      </c>
      <c r="M39" s="229"/>
      <c r="N39" s="132">
        <f t="shared" si="0"/>
        <v>0</v>
      </c>
      <c r="O39" s="230">
        <f>O14/1000*-1</f>
        <v>-54176.852079860575</v>
      </c>
      <c r="P39" s="231"/>
      <c r="Q39" s="229">
        <v>0</v>
      </c>
      <c r="R39" s="229"/>
      <c r="S39" s="133">
        <f t="shared" si="1"/>
        <v>1</v>
      </c>
      <c r="T39" s="232">
        <f t="shared" si="5"/>
        <v>-54176.852079860575</v>
      </c>
      <c r="U39" s="233"/>
      <c r="V39" s="232">
        <f t="shared" si="6"/>
        <v>-54176.852079860575</v>
      </c>
      <c r="W39" s="233"/>
      <c r="X39" s="232">
        <f t="shared" si="7"/>
        <v>-54176.852079860575</v>
      </c>
      <c r="Y39" s="233"/>
      <c r="Z39" s="134">
        <f>O39/$O$23</f>
        <v>-0.24944610714871923</v>
      </c>
      <c r="AA39" s="71"/>
      <c r="AB39" s="151" t="s">
        <v>164</v>
      </c>
      <c r="AC39" s="130"/>
      <c r="AD39" s="130"/>
      <c r="AE39" s="130"/>
      <c r="AF39" s="130"/>
      <c r="AG39" s="130"/>
      <c r="AH39" s="277">
        <f>AH35/W11</f>
        <v>0.23728385576856773</v>
      </c>
      <c r="AI39" s="277"/>
      <c r="AJ39" s="176">
        <v>1</v>
      </c>
      <c r="AK39" s="153"/>
      <c r="AP39" s="78">
        <v>-2037.2815999999998</v>
      </c>
    </row>
    <row r="40" spans="2:42" s="78" customFormat="1" ht="15" customHeight="1">
      <c r="B40" s="140"/>
      <c r="C40" s="141" t="s">
        <v>165</v>
      </c>
      <c r="D40" s="141"/>
      <c r="E40" s="141"/>
      <c r="F40" s="142"/>
      <c r="G40" s="142"/>
      <c r="H40" s="142"/>
      <c r="I40" s="143"/>
      <c r="J40" s="242">
        <v>0</v>
      </c>
      <c r="K40" s="243"/>
      <c r="L40" s="243">
        <v>0</v>
      </c>
      <c r="M40" s="243"/>
      <c r="N40" s="144">
        <f t="shared" si="0"/>
        <v>0</v>
      </c>
      <c r="O40" s="278">
        <f>O39*0.1</f>
        <v>-5417.6852079860582</v>
      </c>
      <c r="P40" s="279"/>
      <c r="Q40" s="243">
        <v>0</v>
      </c>
      <c r="R40" s="243"/>
      <c r="S40" s="145">
        <f t="shared" si="1"/>
        <v>1</v>
      </c>
      <c r="T40" s="244">
        <f t="shared" si="5"/>
        <v>-5417.6852079860582</v>
      </c>
      <c r="U40" s="245"/>
      <c r="V40" s="244">
        <f t="shared" si="6"/>
        <v>-5417.6852079860582</v>
      </c>
      <c r="W40" s="245"/>
      <c r="X40" s="244">
        <f t="shared" si="7"/>
        <v>-5417.6852079860582</v>
      </c>
      <c r="Y40" s="245"/>
      <c r="Z40" s="174">
        <f t="shared" ref="Z40:Z41" si="8">O40/$O$23</f>
        <v>-2.4944610714871928E-2</v>
      </c>
      <c r="AA40" s="71"/>
      <c r="AB40" s="147" t="s">
        <v>166</v>
      </c>
      <c r="AC40" s="142"/>
      <c r="AD40" s="142"/>
      <c r="AE40" s="142"/>
      <c r="AF40" s="142"/>
      <c r="AG40" s="142"/>
      <c r="AH40" s="281">
        <f>AH35/W18</f>
        <v>1.2883837416681319</v>
      </c>
      <c r="AI40" s="281"/>
      <c r="AJ40" s="177">
        <v>1</v>
      </c>
      <c r="AK40" s="150"/>
    </row>
    <row r="41" spans="2:42" s="78" customFormat="1" ht="15" customHeight="1">
      <c r="B41" s="128"/>
      <c r="C41" s="129" t="s">
        <v>167</v>
      </c>
      <c r="D41" s="129"/>
      <c r="E41" s="129"/>
      <c r="F41" s="130"/>
      <c r="G41" s="130"/>
      <c r="H41" s="130"/>
      <c r="I41" s="131"/>
      <c r="J41" s="228">
        <v>0</v>
      </c>
      <c r="K41" s="229"/>
      <c r="L41" s="229">
        <v>0</v>
      </c>
      <c r="M41" s="229"/>
      <c r="N41" s="132">
        <f t="shared" si="0"/>
        <v>0</v>
      </c>
      <c r="O41" s="230">
        <f>O39*0.02</f>
        <v>-1083.5370415972116</v>
      </c>
      <c r="P41" s="231"/>
      <c r="Q41" s="229">
        <v>0</v>
      </c>
      <c r="R41" s="229"/>
      <c r="S41" s="133">
        <f t="shared" si="1"/>
        <v>1</v>
      </c>
      <c r="T41" s="232">
        <f t="shared" si="5"/>
        <v>-1083.5370415972116</v>
      </c>
      <c r="U41" s="233"/>
      <c r="V41" s="232">
        <f t="shared" si="6"/>
        <v>-1083.5370415972116</v>
      </c>
      <c r="W41" s="233"/>
      <c r="X41" s="232">
        <f t="shared" si="7"/>
        <v>-1083.5370415972116</v>
      </c>
      <c r="Y41" s="233"/>
      <c r="Z41" s="134">
        <f t="shared" si="8"/>
        <v>-4.9889221429743847E-3</v>
      </c>
      <c r="AA41" s="71"/>
      <c r="AB41" s="151" t="s">
        <v>168</v>
      </c>
      <c r="AC41" s="130"/>
      <c r="AD41" s="130"/>
      <c r="AE41" s="130"/>
      <c r="AF41" s="130"/>
      <c r="AG41" s="130"/>
      <c r="AH41" s="277">
        <f>AH35/AH36</f>
        <v>2.6541377505510004</v>
      </c>
      <c r="AI41" s="277"/>
      <c r="AJ41" s="176">
        <v>1</v>
      </c>
      <c r="AK41" s="153"/>
      <c r="AP41" s="78">
        <f>+SUM(AP38:AP39)</f>
        <v>-4074.5631999999996</v>
      </c>
    </row>
    <row r="42" spans="2:42" s="78" customFormat="1" ht="15" customHeight="1">
      <c r="B42" s="168" t="s">
        <v>169</v>
      </c>
      <c r="C42" s="169"/>
      <c r="D42" s="169"/>
      <c r="E42" s="169"/>
      <c r="F42" s="170"/>
      <c r="G42" s="170"/>
      <c r="H42" s="170"/>
      <c r="I42" s="171"/>
      <c r="J42" s="234">
        <v>0</v>
      </c>
      <c r="K42" s="235"/>
      <c r="L42" s="235">
        <v>0</v>
      </c>
      <c r="M42" s="235"/>
      <c r="N42" s="172">
        <f t="shared" si="0"/>
        <v>0</v>
      </c>
      <c r="O42" s="236">
        <f>SUM(O43:P44)</f>
        <v>-2850</v>
      </c>
      <c r="P42" s="237"/>
      <c r="Q42" s="235">
        <v>0</v>
      </c>
      <c r="R42" s="235"/>
      <c r="S42" s="173">
        <f t="shared" si="1"/>
        <v>1</v>
      </c>
      <c r="T42" s="238">
        <f t="shared" si="5"/>
        <v>-2850</v>
      </c>
      <c r="U42" s="239"/>
      <c r="V42" s="238">
        <f t="shared" si="6"/>
        <v>-2850</v>
      </c>
      <c r="W42" s="239"/>
      <c r="X42" s="238">
        <f t="shared" si="7"/>
        <v>-2850</v>
      </c>
      <c r="Y42" s="239"/>
      <c r="Z42" s="125">
        <f>SUM(Z43:Z44)</f>
        <v>-1.3122235384327989E-2</v>
      </c>
      <c r="AA42" s="71"/>
      <c r="AB42" s="147" t="s">
        <v>170</v>
      </c>
      <c r="AC42" s="142"/>
      <c r="AD42" s="142"/>
      <c r="AE42" s="142"/>
      <c r="AF42" s="142"/>
      <c r="AG42" s="142"/>
      <c r="AH42" s="281">
        <f>AH35/AH29</f>
        <v>0.46626479271788646</v>
      </c>
      <c r="AI42" s="281"/>
      <c r="AJ42" s="177">
        <v>1</v>
      </c>
      <c r="AK42" s="150"/>
      <c r="AP42" s="178">
        <f>+-AP41*1000</f>
        <v>4074563.1999999997</v>
      </c>
    </row>
    <row r="43" spans="2:42" s="78" customFormat="1" ht="15" customHeight="1">
      <c r="B43" s="128"/>
      <c r="C43" s="129" t="s">
        <v>171</v>
      </c>
      <c r="D43" s="129"/>
      <c r="E43" s="129"/>
      <c r="F43" s="130"/>
      <c r="G43" s="130"/>
      <c r="H43" s="130"/>
      <c r="I43" s="131"/>
      <c r="J43" s="228">
        <v>0</v>
      </c>
      <c r="K43" s="229"/>
      <c r="L43" s="229">
        <v>0</v>
      </c>
      <c r="M43" s="229"/>
      <c r="N43" s="132">
        <f t="shared" si="0"/>
        <v>0</v>
      </c>
      <c r="O43" s="230">
        <v>-1250</v>
      </c>
      <c r="P43" s="231"/>
      <c r="Q43" s="229">
        <v>0</v>
      </c>
      <c r="R43" s="229"/>
      <c r="S43" s="133">
        <f t="shared" si="1"/>
        <v>1</v>
      </c>
      <c r="T43" s="232">
        <f t="shared" si="5"/>
        <v>-1250</v>
      </c>
      <c r="U43" s="233"/>
      <c r="V43" s="232">
        <f t="shared" si="6"/>
        <v>-1250</v>
      </c>
      <c r="W43" s="233"/>
      <c r="X43" s="232">
        <f t="shared" si="7"/>
        <v>-1250</v>
      </c>
      <c r="Y43" s="233"/>
      <c r="Z43" s="134">
        <f>O43/$O$27</f>
        <v>-5.7553663966350829E-3</v>
      </c>
      <c r="AA43" s="71"/>
      <c r="AB43" s="151" t="s">
        <v>172</v>
      </c>
      <c r="AC43" s="130"/>
      <c r="AD43" s="130"/>
      <c r="AE43" s="130"/>
      <c r="AF43" s="130"/>
      <c r="AG43" s="130"/>
      <c r="AH43" s="277">
        <f>AH35/AH30</f>
        <v>0.379904997272204</v>
      </c>
      <c r="AI43" s="277"/>
      <c r="AJ43" s="176">
        <v>1</v>
      </c>
      <c r="AK43" s="153"/>
    </row>
    <row r="44" spans="2:42" s="78" customFormat="1" ht="15" customHeight="1">
      <c r="B44" s="140"/>
      <c r="C44" s="141" t="s">
        <v>173</v>
      </c>
      <c r="D44" s="141"/>
      <c r="E44" s="141"/>
      <c r="F44" s="142"/>
      <c r="G44" s="142"/>
      <c r="H44" s="142"/>
      <c r="I44" s="143"/>
      <c r="J44" s="242">
        <v>0</v>
      </c>
      <c r="K44" s="243"/>
      <c r="L44" s="243">
        <v>0</v>
      </c>
      <c r="M44" s="243"/>
      <c r="N44" s="144">
        <f t="shared" si="0"/>
        <v>0</v>
      </c>
      <c r="O44" s="278">
        <v>-1600</v>
      </c>
      <c r="P44" s="279"/>
      <c r="Q44" s="243">
        <v>0</v>
      </c>
      <c r="R44" s="243"/>
      <c r="S44" s="145">
        <f t="shared" si="1"/>
        <v>1</v>
      </c>
      <c r="T44" s="244">
        <f t="shared" si="5"/>
        <v>-1600</v>
      </c>
      <c r="U44" s="245"/>
      <c r="V44" s="244">
        <f t="shared" si="6"/>
        <v>-1600</v>
      </c>
      <c r="W44" s="245"/>
      <c r="X44" s="244">
        <f t="shared" si="7"/>
        <v>-1600</v>
      </c>
      <c r="Y44" s="245"/>
      <c r="Z44" s="174">
        <f>O44/$O$27</f>
        <v>-7.3668689876929061E-3</v>
      </c>
      <c r="AA44" s="71"/>
      <c r="AB44" s="147" t="s">
        <v>174</v>
      </c>
      <c r="AC44" s="142"/>
      <c r="AD44" s="142"/>
      <c r="AE44" s="142"/>
      <c r="AF44" s="142"/>
      <c r="AG44" s="142"/>
      <c r="AH44" s="281">
        <f>'[9]EVTE - Projetado'!J102</f>
        <v>0.92179220053865008</v>
      </c>
      <c r="AI44" s="281"/>
      <c r="AJ44" s="177">
        <v>1</v>
      </c>
      <c r="AK44" s="150"/>
    </row>
    <row r="45" spans="2:42" s="78" customFormat="1" ht="15" customHeight="1">
      <c r="B45" s="168" t="s">
        <v>175</v>
      </c>
      <c r="C45" s="169"/>
      <c r="D45" s="169"/>
      <c r="E45" s="169"/>
      <c r="F45" s="170"/>
      <c r="G45" s="170"/>
      <c r="H45" s="170"/>
      <c r="I45" s="171"/>
      <c r="J45" s="234">
        <v>0</v>
      </c>
      <c r="K45" s="235"/>
      <c r="L45" s="235">
        <v>0</v>
      </c>
      <c r="M45" s="235"/>
      <c r="N45" s="172">
        <f t="shared" si="0"/>
        <v>0</v>
      </c>
      <c r="O45" s="236">
        <f>SUM(O46:P47)</f>
        <v>-5000</v>
      </c>
      <c r="P45" s="237"/>
      <c r="Q45" s="235">
        <v>0</v>
      </c>
      <c r="R45" s="235"/>
      <c r="S45" s="173">
        <f t="shared" si="1"/>
        <v>1</v>
      </c>
      <c r="T45" s="238">
        <f t="shared" si="5"/>
        <v>-5000</v>
      </c>
      <c r="U45" s="239"/>
      <c r="V45" s="238">
        <f t="shared" si="6"/>
        <v>-5000</v>
      </c>
      <c r="W45" s="239"/>
      <c r="X45" s="238">
        <f t="shared" si="7"/>
        <v>-5000</v>
      </c>
      <c r="Y45" s="239"/>
      <c r="Z45" s="125">
        <f>SUM(Z46:Z47)</f>
        <v>-2.3021465586540332E-2</v>
      </c>
      <c r="AA45" s="71"/>
      <c r="AB45" s="151" t="s">
        <v>176</v>
      </c>
      <c r="AC45" s="130"/>
      <c r="AD45" s="130"/>
      <c r="AE45" s="130"/>
      <c r="AF45" s="130"/>
      <c r="AG45" s="130"/>
      <c r="AH45" s="277">
        <f>(AH44+1)^(1/12)-1</f>
        <v>5.5947198242707552E-2</v>
      </c>
      <c r="AI45" s="277"/>
      <c r="AJ45" s="176">
        <v>1</v>
      </c>
      <c r="AK45" s="153"/>
    </row>
    <row r="46" spans="2:42" s="78" customFormat="1" ht="15" customHeight="1">
      <c r="B46" s="128"/>
      <c r="C46" s="129" t="s">
        <v>177</v>
      </c>
      <c r="D46" s="129"/>
      <c r="E46" s="129"/>
      <c r="F46" s="130"/>
      <c r="G46" s="130"/>
      <c r="H46" s="130"/>
      <c r="I46" s="131"/>
      <c r="J46" s="228">
        <v>0</v>
      </c>
      <c r="K46" s="229"/>
      <c r="L46" s="229">
        <v>0</v>
      </c>
      <c r="M46" s="229"/>
      <c r="N46" s="132">
        <f t="shared" si="0"/>
        <v>0</v>
      </c>
      <c r="O46" s="230">
        <v>-1500</v>
      </c>
      <c r="P46" s="231"/>
      <c r="Q46" s="229">
        <v>0</v>
      </c>
      <c r="R46" s="229"/>
      <c r="S46" s="133">
        <f t="shared" si="1"/>
        <v>1</v>
      </c>
      <c r="T46" s="232">
        <f t="shared" si="5"/>
        <v>-1500</v>
      </c>
      <c r="U46" s="233"/>
      <c r="V46" s="232">
        <f t="shared" si="6"/>
        <v>-1500</v>
      </c>
      <c r="W46" s="233"/>
      <c r="X46" s="232">
        <f t="shared" si="7"/>
        <v>-1500</v>
      </c>
      <c r="Y46" s="233"/>
      <c r="Z46" s="134">
        <f>O46/O27</f>
        <v>-6.9064396759620991E-3</v>
      </c>
      <c r="AA46" s="71"/>
      <c r="AB46" s="147" t="s">
        <v>178</v>
      </c>
      <c r="AC46" s="142"/>
      <c r="AD46" s="142"/>
      <c r="AE46" s="142"/>
      <c r="AF46" s="142"/>
      <c r="AG46" s="142"/>
      <c r="AH46" s="142"/>
      <c r="AI46" s="179" t="s">
        <v>179</v>
      </c>
      <c r="AJ46" s="149"/>
      <c r="AK46" s="150"/>
    </row>
    <row r="47" spans="2:42" s="78" customFormat="1" ht="15" customHeight="1">
      <c r="B47" s="140"/>
      <c r="C47" s="141" t="s">
        <v>180</v>
      </c>
      <c r="D47" s="141"/>
      <c r="E47" s="141"/>
      <c r="F47" s="142"/>
      <c r="G47" s="142"/>
      <c r="H47" s="142"/>
      <c r="I47" s="143"/>
      <c r="J47" s="242">
        <v>0</v>
      </c>
      <c r="K47" s="243"/>
      <c r="L47" s="243">
        <v>0</v>
      </c>
      <c r="M47" s="243"/>
      <c r="N47" s="144">
        <f t="shared" si="0"/>
        <v>0</v>
      </c>
      <c r="O47" s="278">
        <v>-3500</v>
      </c>
      <c r="P47" s="279"/>
      <c r="Q47" s="243">
        <v>0</v>
      </c>
      <c r="R47" s="243"/>
      <c r="S47" s="145">
        <f t="shared" si="1"/>
        <v>1</v>
      </c>
      <c r="T47" s="244">
        <f t="shared" si="5"/>
        <v>-3500</v>
      </c>
      <c r="U47" s="245"/>
      <c r="V47" s="244">
        <f t="shared" si="6"/>
        <v>-3500</v>
      </c>
      <c r="W47" s="245"/>
      <c r="X47" s="244">
        <f t="shared" si="7"/>
        <v>-3500</v>
      </c>
      <c r="Y47" s="245"/>
      <c r="Z47" s="174">
        <f>O47/O27</f>
        <v>-1.6115025910578232E-2</v>
      </c>
      <c r="AA47" s="71"/>
      <c r="AB47" s="151"/>
      <c r="AC47" s="130"/>
      <c r="AD47" s="130"/>
      <c r="AE47" s="130"/>
      <c r="AF47" s="130"/>
      <c r="AG47" s="130"/>
      <c r="AH47" s="277"/>
      <c r="AI47" s="277"/>
      <c r="AJ47" s="277"/>
      <c r="AK47" s="277">
        <f>'[9]FlCx_Invest_Mutuo - PROJETADO'!E26</f>
        <v>-5317116.1585714277</v>
      </c>
    </row>
    <row r="48" spans="2:42" ht="15" customHeight="1">
      <c r="B48" s="154" t="s">
        <v>181</v>
      </c>
      <c r="C48" s="155"/>
      <c r="D48" s="155"/>
      <c r="E48" s="155"/>
      <c r="F48" s="156"/>
      <c r="G48" s="156"/>
      <c r="H48" s="156"/>
      <c r="I48" s="157"/>
      <c r="J48" s="214">
        <v>0</v>
      </c>
      <c r="K48" s="215"/>
      <c r="L48" s="215">
        <v>0</v>
      </c>
      <c r="M48" s="215"/>
      <c r="N48" s="158">
        <f t="shared" si="0"/>
        <v>0</v>
      </c>
      <c r="O48" s="216">
        <f>SUM(O34,O36,O38,O42,O45)</f>
        <v>92222.893874029411</v>
      </c>
      <c r="P48" s="217"/>
      <c r="Q48" s="215">
        <v>0</v>
      </c>
      <c r="R48" s="215"/>
      <c r="S48" s="159">
        <f t="shared" si="1"/>
        <v>1</v>
      </c>
      <c r="T48" s="218">
        <f t="shared" si="5"/>
        <v>92222.893874029411</v>
      </c>
      <c r="U48" s="219"/>
      <c r="V48" s="218">
        <f t="shared" si="6"/>
        <v>92222.893874029411</v>
      </c>
      <c r="W48" s="219"/>
      <c r="X48" s="218">
        <f t="shared" si="7"/>
        <v>92222.893874029411</v>
      </c>
      <c r="Y48" s="219"/>
      <c r="Z48" s="160">
        <f>SUM(Z34,Z45,Z42,Z38,Z36)</f>
        <v>0.42462123552242592</v>
      </c>
      <c r="AB48" s="180" t="s">
        <v>182</v>
      </c>
      <c r="AC48" s="163"/>
      <c r="AD48" s="163"/>
      <c r="AE48" s="163"/>
      <c r="AF48" s="163"/>
      <c r="AG48" s="163"/>
      <c r="AH48" s="163"/>
      <c r="AI48" s="280">
        <f>(O55*1000/((O36+O29)*1000))</f>
        <v>0.65820931008318528</v>
      </c>
      <c r="AJ48" s="280"/>
      <c r="AK48" s="181"/>
      <c r="AL48" s="78"/>
    </row>
    <row r="49" spans="2:38" ht="18.75" customHeight="1">
      <c r="B49" s="161"/>
      <c r="C49" s="162"/>
      <c r="D49" s="162"/>
      <c r="E49" s="162"/>
      <c r="F49" s="163"/>
      <c r="G49" s="163"/>
      <c r="H49" s="163"/>
      <c r="I49" s="164"/>
      <c r="J49" s="246"/>
      <c r="K49" s="247"/>
      <c r="L49" s="247"/>
      <c r="M49" s="247"/>
      <c r="N49" s="165"/>
      <c r="O49" s="248"/>
      <c r="P49" s="249"/>
      <c r="Q49" s="247"/>
      <c r="R49" s="247"/>
      <c r="S49" s="166"/>
      <c r="T49" s="250"/>
      <c r="U49" s="251"/>
      <c r="V49" s="250"/>
      <c r="W49" s="251"/>
      <c r="X49" s="250"/>
      <c r="Y49" s="251"/>
      <c r="Z49" s="167"/>
      <c r="AB49" s="276" t="s">
        <v>183</v>
      </c>
      <c r="AC49" s="206"/>
      <c r="AD49" s="206"/>
      <c r="AE49" s="182"/>
      <c r="AF49" s="182"/>
      <c r="AG49" s="182"/>
      <c r="AH49" s="264">
        <f>W18</f>
        <v>40000000</v>
      </c>
      <c r="AI49" s="264"/>
      <c r="AJ49" s="183"/>
      <c r="AK49" s="184"/>
      <c r="AL49" s="78"/>
    </row>
    <row r="50" spans="2:38" s="75" customFormat="1" ht="15" customHeight="1">
      <c r="B50" s="168" t="s">
        <v>184</v>
      </c>
      <c r="C50" s="169"/>
      <c r="D50" s="169"/>
      <c r="E50" s="169"/>
      <c r="F50" s="170"/>
      <c r="G50" s="170"/>
      <c r="H50" s="170"/>
      <c r="I50" s="171"/>
      <c r="J50" s="234">
        <v>0</v>
      </c>
      <c r="K50" s="235"/>
      <c r="L50" s="235">
        <v>0</v>
      </c>
      <c r="M50" s="235"/>
      <c r="N50" s="172">
        <f t="shared" si="0"/>
        <v>0</v>
      </c>
      <c r="O50" s="236">
        <f>SUM(O51:P53)</f>
        <v>-2000</v>
      </c>
      <c r="P50" s="237"/>
      <c r="Q50" s="235">
        <v>0</v>
      </c>
      <c r="R50" s="235"/>
      <c r="S50" s="173">
        <f t="shared" si="1"/>
        <v>1</v>
      </c>
      <c r="T50" s="238">
        <f t="shared" ref="T50:T57" si="9">O50</f>
        <v>-2000</v>
      </c>
      <c r="U50" s="239"/>
      <c r="V50" s="238">
        <f t="shared" ref="V50:V57" si="10">T50</f>
        <v>-2000</v>
      </c>
      <c r="W50" s="239"/>
      <c r="X50" s="238">
        <f t="shared" ref="X50:X57" si="11">V50</f>
        <v>-2000</v>
      </c>
      <c r="Y50" s="239"/>
      <c r="Z50" s="125">
        <f>SUM(Z51:Z53)</f>
        <v>-1.4999999999999999E-2</v>
      </c>
      <c r="AA50" s="71"/>
      <c r="AB50" s="270" t="s">
        <v>185</v>
      </c>
      <c r="AC50" s="271"/>
      <c r="AD50" s="271"/>
      <c r="AE50" s="272">
        <f>AE53-SUM(AE49,AE51,AE52)</f>
        <v>0</v>
      </c>
      <c r="AF50" s="272"/>
      <c r="AG50" s="272"/>
      <c r="AH50" s="163"/>
      <c r="AI50" s="183"/>
      <c r="AJ50" s="183"/>
      <c r="AK50" s="184"/>
      <c r="AL50" s="78"/>
    </row>
    <row r="51" spans="2:38" s="75" customFormat="1" ht="15" customHeight="1">
      <c r="B51" s="128"/>
      <c r="C51" s="129" t="s">
        <v>186</v>
      </c>
      <c r="D51" s="129"/>
      <c r="E51" s="129"/>
      <c r="F51" s="130"/>
      <c r="G51" s="130"/>
      <c r="H51" s="130"/>
      <c r="I51" s="131"/>
      <c r="J51" s="228">
        <v>0</v>
      </c>
      <c r="K51" s="229"/>
      <c r="L51" s="229">
        <v>0</v>
      </c>
      <c r="M51" s="229"/>
      <c r="N51" s="132">
        <f t="shared" si="0"/>
        <v>0</v>
      </c>
      <c r="O51" s="230">
        <v>-1000</v>
      </c>
      <c r="P51" s="231"/>
      <c r="Q51" s="229">
        <v>0</v>
      </c>
      <c r="R51" s="229"/>
      <c r="S51" s="133">
        <f t="shared" si="1"/>
        <v>1</v>
      </c>
      <c r="T51" s="232">
        <f t="shared" si="9"/>
        <v>-1000</v>
      </c>
      <c r="U51" s="233"/>
      <c r="V51" s="232">
        <f t="shared" si="10"/>
        <v>-1000</v>
      </c>
      <c r="W51" s="233"/>
      <c r="X51" s="232">
        <f t="shared" si="11"/>
        <v>-1000</v>
      </c>
      <c r="Y51" s="233"/>
      <c r="Z51" s="134">
        <v>-6.0000000000000001E-3</v>
      </c>
      <c r="AA51" s="71"/>
      <c r="AB51" s="273"/>
      <c r="AC51" s="274"/>
      <c r="AD51" s="274"/>
      <c r="AE51" s="275"/>
      <c r="AF51" s="275"/>
      <c r="AG51" s="275"/>
      <c r="AH51" s="163"/>
      <c r="AI51" s="183"/>
      <c r="AJ51" s="183"/>
      <c r="AK51" s="184"/>
      <c r="AL51" s="78"/>
    </row>
    <row r="52" spans="2:38" s="78" customFormat="1" ht="15" customHeight="1">
      <c r="B52" s="140"/>
      <c r="C52" s="141" t="s">
        <v>187</v>
      </c>
      <c r="D52" s="141"/>
      <c r="E52" s="141"/>
      <c r="F52" s="142"/>
      <c r="G52" s="142"/>
      <c r="H52" s="142"/>
      <c r="I52" s="143"/>
      <c r="J52" s="242">
        <v>0</v>
      </c>
      <c r="K52" s="243"/>
      <c r="L52" s="243">
        <v>0</v>
      </c>
      <c r="M52" s="243"/>
      <c r="N52" s="144">
        <f t="shared" si="0"/>
        <v>0</v>
      </c>
      <c r="O52" s="243">
        <v>0</v>
      </c>
      <c r="P52" s="243"/>
      <c r="Q52" s="243">
        <v>0</v>
      </c>
      <c r="R52" s="243"/>
      <c r="S52" s="145">
        <f t="shared" si="1"/>
        <v>0</v>
      </c>
      <c r="T52" s="244">
        <f t="shared" si="9"/>
        <v>0</v>
      </c>
      <c r="U52" s="245"/>
      <c r="V52" s="244">
        <f t="shared" si="10"/>
        <v>0</v>
      </c>
      <c r="W52" s="245"/>
      <c r="X52" s="244">
        <f t="shared" si="11"/>
        <v>0</v>
      </c>
      <c r="Y52" s="245"/>
      <c r="Z52" s="174">
        <f>O52/O27</f>
        <v>0</v>
      </c>
      <c r="AA52" s="71"/>
      <c r="AB52" s="265"/>
      <c r="AC52" s="266"/>
      <c r="AD52" s="266"/>
      <c r="AE52" s="268"/>
      <c r="AF52" s="268"/>
      <c r="AG52" s="268"/>
      <c r="AH52" s="264"/>
      <c r="AI52" s="264"/>
      <c r="AJ52" s="185"/>
      <c r="AK52" s="181"/>
    </row>
    <row r="53" spans="2:38" s="78" customFormat="1" ht="15" customHeight="1">
      <c r="B53" s="128"/>
      <c r="C53" s="129" t="s">
        <v>188</v>
      </c>
      <c r="D53" s="129"/>
      <c r="E53" s="129"/>
      <c r="F53" s="130"/>
      <c r="G53" s="130"/>
      <c r="H53" s="130"/>
      <c r="I53" s="131"/>
      <c r="J53" s="228">
        <v>0</v>
      </c>
      <c r="K53" s="229"/>
      <c r="L53" s="229">
        <v>0</v>
      </c>
      <c r="M53" s="229"/>
      <c r="N53" s="132">
        <f t="shared" si="0"/>
        <v>0</v>
      </c>
      <c r="O53" s="230">
        <v>-1000</v>
      </c>
      <c r="P53" s="231"/>
      <c r="Q53" s="229">
        <v>0</v>
      </c>
      <c r="R53" s="229"/>
      <c r="S53" s="133">
        <f t="shared" si="1"/>
        <v>1</v>
      </c>
      <c r="T53" s="232">
        <f t="shared" si="9"/>
        <v>-1000</v>
      </c>
      <c r="U53" s="233"/>
      <c r="V53" s="232">
        <f t="shared" si="10"/>
        <v>-1000</v>
      </c>
      <c r="W53" s="233"/>
      <c r="X53" s="232">
        <f t="shared" si="11"/>
        <v>-1000</v>
      </c>
      <c r="Y53" s="233"/>
      <c r="Z53" s="134">
        <v>-8.9999999999999993E-3</v>
      </c>
      <c r="AA53" s="71"/>
      <c r="AB53" s="265"/>
      <c r="AC53" s="266"/>
      <c r="AD53" s="266"/>
      <c r="AE53" s="268"/>
      <c r="AF53" s="268"/>
      <c r="AG53" s="268"/>
      <c r="AH53" s="269"/>
      <c r="AI53" s="269"/>
      <c r="AJ53" s="185"/>
      <c r="AK53" s="181"/>
    </row>
    <row r="54" spans="2:38" s="78" customFormat="1" ht="15" customHeight="1">
      <c r="B54" s="154" t="s">
        <v>152</v>
      </c>
      <c r="C54" s="155"/>
      <c r="D54" s="155"/>
      <c r="E54" s="155"/>
      <c r="F54" s="156"/>
      <c r="G54" s="156"/>
      <c r="H54" s="156"/>
      <c r="I54" s="157"/>
      <c r="J54" s="214">
        <v>0</v>
      </c>
      <c r="K54" s="215"/>
      <c r="L54" s="215">
        <v>0</v>
      </c>
      <c r="M54" s="215"/>
      <c r="N54" s="158">
        <f t="shared" si="0"/>
        <v>0</v>
      </c>
      <c r="O54" s="216">
        <f>O48+O50</f>
        <v>90222.893874029411</v>
      </c>
      <c r="P54" s="217"/>
      <c r="Q54" s="215">
        <v>0</v>
      </c>
      <c r="R54" s="215"/>
      <c r="S54" s="159">
        <f t="shared" si="1"/>
        <v>1</v>
      </c>
      <c r="T54" s="218">
        <f t="shared" si="9"/>
        <v>90222.893874029411</v>
      </c>
      <c r="U54" s="219"/>
      <c r="V54" s="218">
        <f t="shared" si="10"/>
        <v>90222.893874029411</v>
      </c>
      <c r="W54" s="219"/>
      <c r="X54" s="218">
        <f t="shared" si="11"/>
        <v>90222.893874029411</v>
      </c>
      <c r="Y54" s="219"/>
      <c r="Z54" s="160">
        <f>Z48+Z50</f>
        <v>0.40962123552242591</v>
      </c>
      <c r="AA54" s="71"/>
      <c r="AB54" s="265"/>
      <c r="AC54" s="266"/>
      <c r="AD54" s="266"/>
      <c r="AE54" s="268"/>
      <c r="AF54" s="268"/>
      <c r="AG54" s="268"/>
      <c r="AH54" s="264"/>
      <c r="AI54" s="264"/>
      <c r="AJ54" s="185"/>
      <c r="AK54" s="181"/>
    </row>
    <row r="55" spans="2:38" s="78" customFormat="1" ht="15" customHeight="1">
      <c r="B55" s="168" t="s">
        <v>189</v>
      </c>
      <c r="C55" s="169"/>
      <c r="D55" s="169"/>
      <c r="E55" s="169"/>
      <c r="F55" s="170"/>
      <c r="G55" s="170"/>
      <c r="H55" s="170"/>
      <c r="I55" s="171"/>
      <c r="J55" s="234">
        <v>0</v>
      </c>
      <c r="K55" s="235"/>
      <c r="L55" s="235">
        <v>0</v>
      </c>
      <c r="M55" s="235"/>
      <c r="N55" s="172">
        <f>IF(ISERR(J55/(J55+O55)),0,J55/(J55+O55))</f>
        <v>0</v>
      </c>
      <c r="O55" s="236">
        <f>O56</f>
        <v>-30000</v>
      </c>
      <c r="P55" s="237"/>
      <c r="Q55" s="235">
        <v>0</v>
      </c>
      <c r="R55" s="235"/>
      <c r="S55" s="173">
        <f>IF(ISERR(O55/(O55+J55)),0,O55/(O55+J55))</f>
        <v>1</v>
      </c>
      <c r="T55" s="238">
        <f t="shared" si="9"/>
        <v>-30000</v>
      </c>
      <c r="U55" s="239"/>
      <c r="V55" s="238">
        <f t="shared" si="10"/>
        <v>-30000</v>
      </c>
      <c r="W55" s="239"/>
      <c r="X55" s="238">
        <f t="shared" si="11"/>
        <v>-30000</v>
      </c>
      <c r="Y55" s="239"/>
      <c r="Z55" s="125">
        <f>SUM(Z56)</f>
        <v>-0.13812879351924198</v>
      </c>
      <c r="AA55" s="71"/>
      <c r="AB55" s="265"/>
      <c r="AC55" s="266"/>
      <c r="AD55" s="266"/>
      <c r="AE55" s="267"/>
      <c r="AF55" s="267"/>
      <c r="AG55" s="267"/>
      <c r="AH55" s="264"/>
      <c r="AI55" s="264"/>
      <c r="AJ55" s="185"/>
      <c r="AK55" s="181"/>
    </row>
    <row r="56" spans="2:38" s="78" customFormat="1" ht="15" customHeight="1">
      <c r="B56" s="128"/>
      <c r="C56" s="129" t="s">
        <v>190</v>
      </c>
      <c r="D56" s="129"/>
      <c r="E56" s="129"/>
      <c r="F56" s="130"/>
      <c r="G56" s="130"/>
      <c r="H56" s="130"/>
      <c r="I56" s="131"/>
      <c r="J56" s="228">
        <v>0</v>
      </c>
      <c r="K56" s="229"/>
      <c r="L56" s="229">
        <v>0</v>
      </c>
      <c r="M56" s="229"/>
      <c r="N56" s="132">
        <f>IF(ISERR(J56/(J56+O56)),0,J56/(J56+O56))</f>
        <v>0</v>
      </c>
      <c r="O56" s="230">
        <v>-30000</v>
      </c>
      <c r="P56" s="231"/>
      <c r="Q56" s="229">
        <v>0</v>
      </c>
      <c r="R56" s="229"/>
      <c r="S56" s="133">
        <f>IF(ISERR(O56/(O56+J56)),0,O56/(O56+J56))</f>
        <v>1</v>
      </c>
      <c r="T56" s="232">
        <f t="shared" si="9"/>
        <v>-30000</v>
      </c>
      <c r="U56" s="233"/>
      <c r="V56" s="232">
        <f t="shared" si="10"/>
        <v>-30000</v>
      </c>
      <c r="W56" s="233"/>
      <c r="X56" s="232">
        <f t="shared" si="11"/>
        <v>-30000</v>
      </c>
      <c r="Y56" s="233"/>
      <c r="Z56" s="134">
        <f>O56/O27</f>
        <v>-0.13812879351924198</v>
      </c>
      <c r="AA56" s="71"/>
      <c r="AB56" s="261"/>
      <c r="AC56" s="262"/>
      <c r="AD56" s="262"/>
      <c r="AE56" s="263"/>
      <c r="AF56" s="263"/>
      <c r="AG56" s="263"/>
      <c r="AH56" s="254"/>
      <c r="AI56" s="255"/>
      <c r="AJ56" s="185"/>
      <c r="AK56" s="181"/>
    </row>
    <row r="57" spans="2:38" s="78" customFormat="1" ht="15" customHeight="1">
      <c r="B57" s="154" t="s">
        <v>191</v>
      </c>
      <c r="C57" s="155"/>
      <c r="D57" s="155"/>
      <c r="E57" s="155"/>
      <c r="F57" s="156"/>
      <c r="G57" s="156"/>
      <c r="H57" s="156"/>
      <c r="I57" s="157"/>
      <c r="J57" s="214">
        <v>0</v>
      </c>
      <c r="K57" s="215"/>
      <c r="L57" s="215">
        <v>0</v>
      </c>
      <c r="M57" s="215"/>
      <c r="N57" s="158">
        <f t="shared" si="0"/>
        <v>0</v>
      </c>
      <c r="O57" s="216">
        <f>O54+O55</f>
        <v>60222.893874029411</v>
      </c>
      <c r="P57" s="217"/>
      <c r="Q57" s="215">
        <v>0</v>
      </c>
      <c r="R57" s="215"/>
      <c r="S57" s="159">
        <f t="shared" si="1"/>
        <v>1</v>
      </c>
      <c r="T57" s="218">
        <f t="shared" si="9"/>
        <v>60222.893874029411</v>
      </c>
      <c r="U57" s="219"/>
      <c r="V57" s="218">
        <f t="shared" si="10"/>
        <v>60222.893874029411</v>
      </c>
      <c r="W57" s="219"/>
      <c r="X57" s="218">
        <f t="shared" si="11"/>
        <v>60222.893874029411</v>
      </c>
      <c r="Y57" s="219"/>
      <c r="Z57" s="160">
        <f>Z54+Z55</f>
        <v>0.2714924420031839</v>
      </c>
      <c r="AA57" s="71"/>
      <c r="AB57" s="256"/>
      <c r="AC57" s="257"/>
      <c r="AD57" s="257"/>
      <c r="AE57" s="258"/>
      <c r="AF57" s="258"/>
      <c r="AG57" s="258"/>
      <c r="AH57" s="259"/>
      <c r="AI57" s="260"/>
      <c r="AJ57" s="185"/>
      <c r="AK57" s="181"/>
    </row>
    <row r="58" spans="2:38" s="78" customFormat="1" ht="15" customHeight="1">
      <c r="B58" s="161"/>
      <c r="C58" s="162"/>
      <c r="D58" s="162"/>
      <c r="E58" s="162"/>
      <c r="F58" s="163"/>
      <c r="G58" s="163"/>
      <c r="H58" s="163"/>
      <c r="I58" s="164"/>
      <c r="J58" s="246"/>
      <c r="K58" s="247"/>
      <c r="L58" s="247"/>
      <c r="M58" s="247"/>
      <c r="N58" s="165"/>
      <c r="O58" s="248"/>
      <c r="P58" s="249"/>
      <c r="Q58" s="247"/>
      <c r="R58" s="247"/>
      <c r="S58" s="166"/>
      <c r="T58" s="250"/>
      <c r="U58" s="251"/>
      <c r="V58" s="250"/>
      <c r="W58" s="251"/>
      <c r="X58" s="250"/>
      <c r="Y58" s="251"/>
      <c r="Z58" s="167"/>
      <c r="AA58" s="71"/>
      <c r="AB58" s="180"/>
      <c r="AC58" s="252"/>
      <c r="AD58" s="252"/>
      <c r="AE58" s="252"/>
      <c r="AF58" s="163"/>
      <c r="AG58" s="163"/>
      <c r="AH58" s="163"/>
      <c r="AI58" s="186"/>
      <c r="AJ58" s="185"/>
      <c r="AK58" s="181"/>
    </row>
    <row r="59" spans="2:38" s="78" customFormat="1" ht="15" customHeight="1">
      <c r="B59" s="168" t="s">
        <v>149</v>
      </c>
      <c r="C59" s="169"/>
      <c r="D59" s="169"/>
      <c r="E59" s="169"/>
      <c r="F59" s="170"/>
      <c r="G59" s="170"/>
      <c r="H59" s="170"/>
      <c r="I59" s="171"/>
      <c r="J59" s="234">
        <v>0</v>
      </c>
      <c r="K59" s="235"/>
      <c r="L59" s="235">
        <v>0</v>
      </c>
      <c r="M59" s="235"/>
      <c r="N59" s="172">
        <f t="shared" si="0"/>
        <v>0</v>
      </c>
      <c r="O59" s="236">
        <f>SUM(O60:P61)</f>
        <v>-8687.5442073041377</v>
      </c>
      <c r="P59" s="237"/>
      <c r="Q59" s="235">
        <v>0</v>
      </c>
      <c r="R59" s="235"/>
      <c r="S59" s="173">
        <f t="shared" si="1"/>
        <v>1</v>
      </c>
      <c r="T59" s="238">
        <v>-2145.80332</v>
      </c>
      <c r="U59" s="239"/>
      <c r="V59" s="238">
        <v>-2145.80332</v>
      </c>
      <c r="W59" s="239"/>
      <c r="X59" s="238">
        <v>-2145.80332</v>
      </c>
      <c r="Y59" s="239"/>
      <c r="Z59" s="125">
        <f>SUM(Z60:Z61)</f>
        <v>-0.04</v>
      </c>
      <c r="AA59" s="71"/>
      <c r="AB59" s="253"/>
      <c r="AC59" s="203"/>
      <c r="AD59" s="205">
        <f>O63*1000*35%</f>
        <v>18037372.383353844</v>
      </c>
      <c r="AE59" s="206"/>
      <c r="AF59" s="206"/>
      <c r="AG59" s="205"/>
      <c r="AH59" s="205"/>
      <c r="AI59" s="205"/>
      <c r="AJ59" s="205"/>
      <c r="AK59" s="227"/>
    </row>
    <row r="60" spans="2:38" s="78" customFormat="1" ht="15" customHeight="1">
      <c r="B60" s="128"/>
      <c r="C60" s="129" t="s">
        <v>192</v>
      </c>
      <c r="D60" s="129"/>
      <c r="E60" s="129"/>
      <c r="F60" s="130"/>
      <c r="G60" s="130"/>
      <c r="H60" s="130"/>
      <c r="I60" s="131"/>
      <c r="J60" s="228">
        <v>0</v>
      </c>
      <c r="K60" s="229"/>
      <c r="L60" s="229">
        <v>0</v>
      </c>
      <c r="M60" s="229"/>
      <c r="N60" s="132">
        <f t="shared" si="0"/>
        <v>0</v>
      </c>
      <c r="O60" s="230">
        <f>O27*Z60</f>
        <v>-8687.5442073041377</v>
      </c>
      <c r="P60" s="231"/>
      <c r="Q60" s="229">
        <v>0</v>
      </c>
      <c r="R60" s="229"/>
      <c r="S60" s="133">
        <f t="shared" si="1"/>
        <v>1</v>
      </c>
      <c r="T60" s="232">
        <v>-1362.37059</v>
      </c>
      <c r="U60" s="233"/>
      <c r="V60" s="232">
        <v>-1362.37059</v>
      </c>
      <c r="W60" s="233"/>
      <c r="X60" s="232">
        <v>-1362.37059</v>
      </c>
      <c r="Y60" s="233"/>
      <c r="Z60" s="134">
        <v>-0.04</v>
      </c>
      <c r="AA60" s="187"/>
      <c r="AB60" s="220"/>
      <c r="AC60" s="221"/>
      <c r="AD60" s="205"/>
      <c r="AE60" s="206"/>
      <c r="AF60" s="206"/>
      <c r="AG60" s="240"/>
      <c r="AH60" s="240"/>
      <c r="AI60" s="240"/>
      <c r="AJ60" s="240"/>
      <c r="AK60" s="241"/>
    </row>
    <row r="61" spans="2:38" s="78" customFormat="1" ht="15" customHeight="1">
      <c r="B61" s="140"/>
      <c r="C61" s="141"/>
      <c r="D61" s="141"/>
      <c r="E61" s="141"/>
      <c r="F61" s="142"/>
      <c r="G61" s="142"/>
      <c r="H61" s="142"/>
      <c r="I61" s="143"/>
      <c r="J61" s="242"/>
      <c r="K61" s="243"/>
      <c r="L61" s="243"/>
      <c r="M61" s="243"/>
      <c r="N61" s="144"/>
      <c r="O61" s="243"/>
      <c r="P61" s="243"/>
      <c r="Q61" s="243"/>
      <c r="R61" s="243"/>
      <c r="S61" s="145"/>
      <c r="T61" s="244"/>
      <c r="U61" s="245"/>
      <c r="V61" s="244"/>
      <c r="W61" s="245"/>
      <c r="X61" s="244"/>
      <c r="Y61" s="245"/>
      <c r="Z61" s="188"/>
      <c r="AA61" s="187"/>
      <c r="AB61" s="225"/>
      <c r="AC61" s="221"/>
      <c r="AD61" s="205"/>
      <c r="AE61" s="206"/>
      <c r="AF61" s="206"/>
      <c r="AG61" s="240"/>
      <c r="AH61" s="240"/>
      <c r="AI61" s="240"/>
      <c r="AJ61" s="240"/>
      <c r="AK61" s="241"/>
    </row>
    <row r="62" spans="2:38" s="78" customFormat="1" ht="15" customHeight="1">
      <c r="B62" s="154" t="s">
        <v>158</v>
      </c>
      <c r="C62" s="155"/>
      <c r="D62" s="155"/>
      <c r="E62" s="155"/>
      <c r="F62" s="156"/>
      <c r="G62" s="156"/>
      <c r="H62" s="156"/>
      <c r="I62" s="157"/>
      <c r="J62" s="214">
        <v>0</v>
      </c>
      <c r="K62" s="215"/>
      <c r="L62" s="215">
        <v>0</v>
      </c>
      <c r="M62" s="215"/>
      <c r="N62" s="158">
        <f t="shared" si="0"/>
        <v>0</v>
      </c>
      <c r="O62" s="216">
        <f>O57+O59</f>
        <v>51535.349666725277</v>
      </c>
      <c r="P62" s="217"/>
      <c r="Q62" s="215">
        <v>0</v>
      </c>
      <c r="R62" s="215"/>
      <c r="S62" s="159">
        <f t="shared" si="1"/>
        <v>1</v>
      </c>
      <c r="T62" s="218">
        <f>O62</f>
        <v>51535.349666725277</v>
      </c>
      <c r="U62" s="219"/>
      <c r="V62" s="218">
        <f>T62</f>
        <v>51535.349666725277</v>
      </c>
      <c r="W62" s="219"/>
      <c r="X62" s="218">
        <f>V62</f>
        <v>51535.349666725277</v>
      </c>
      <c r="Y62" s="219"/>
      <c r="Z62" s="160">
        <f>Z57+Z59</f>
        <v>0.23149244200318389</v>
      </c>
      <c r="AA62" s="187"/>
      <c r="AB62" s="220"/>
      <c r="AC62" s="221"/>
      <c r="AE62" s="226"/>
      <c r="AF62" s="221"/>
      <c r="AG62" s="240"/>
      <c r="AH62" s="240"/>
      <c r="AI62" s="240"/>
      <c r="AJ62" s="240"/>
      <c r="AK62" s="241"/>
    </row>
    <row r="63" spans="2:38" s="78" customFormat="1" ht="15" customHeight="1">
      <c r="B63" s="154" t="s">
        <v>193</v>
      </c>
      <c r="C63" s="155"/>
      <c r="D63" s="155"/>
      <c r="E63" s="155"/>
      <c r="F63" s="156"/>
      <c r="G63" s="156"/>
      <c r="H63" s="156"/>
      <c r="I63" s="157"/>
      <c r="J63" s="214">
        <v>0</v>
      </c>
      <c r="K63" s="215"/>
      <c r="L63" s="215">
        <v>0</v>
      </c>
      <c r="M63" s="215"/>
      <c r="N63" s="158">
        <f t="shared" si="0"/>
        <v>0</v>
      </c>
      <c r="O63" s="216">
        <f>O62</f>
        <v>51535.349666725277</v>
      </c>
      <c r="P63" s="217"/>
      <c r="Q63" s="215">
        <v>0</v>
      </c>
      <c r="R63" s="215"/>
      <c r="S63" s="159">
        <f t="shared" si="1"/>
        <v>1</v>
      </c>
      <c r="T63" s="218">
        <f>T62</f>
        <v>51535.349666725277</v>
      </c>
      <c r="U63" s="219"/>
      <c r="V63" s="218">
        <f>V62</f>
        <v>51535.349666725277</v>
      </c>
      <c r="W63" s="219"/>
      <c r="X63" s="218">
        <f>X62</f>
        <v>51535.349666725277</v>
      </c>
      <c r="Y63" s="219"/>
      <c r="Z63" s="160">
        <f>Z62</f>
        <v>0.23149244200318389</v>
      </c>
      <c r="AA63" s="187"/>
      <c r="AB63" s="220"/>
      <c r="AC63" s="221"/>
      <c r="AD63" s="205"/>
      <c r="AE63" s="206"/>
      <c r="AF63" s="206"/>
      <c r="AG63" s="163"/>
      <c r="AH63" s="163"/>
      <c r="AI63" s="186"/>
      <c r="AJ63" s="185"/>
      <c r="AK63" s="181"/>
    </row>
    <row r="64" spans="2:38" s="78" customFormat="1" ht="15" customHeight="1">
      <c r="B64" s="189"/>
      <c r="C64" s="190"/>
      <c r="D64" s="190"/>
      <c r="E64" s="190"/>
      <c r="F64" s="190"/>
      <c r="G64" s="190"/>
      <c r="H64" s="190"/>
      <c r="I64" s="191"/>
      <c r="J64" s="207"/>
      <c r="K64" s="208"/>
      <c r="L64" s="208"/>
      <c r="M64" s="208"/>
      <c r="N64" s="192"/>
      <c r="O64" s="209"/>
      <c r="P64" s="210"/>
      <c r="Q64" s="208"/>
      <c r="R64" s="208"/>
      <c r="S64" s="193"/>
      <c r="T64" s="211"/>
      <c r="U64" s="212"/>
      <c r="V64" s="211"/>
      <c r="W64" s="212"/>
      <c r="X64" s="211"/>
      <c r="Y64" s="212"/>
      <c r="Z64" s="199"/>
      <c r="AA64" s="71"/>
      <c r="AB64" s="194"/>
      <c r="AC64" s="190"/>
      <c r="AD64" s="213"/>
      <c r="AE64" s="213"/>
      <c r="AF64" s="213"/>
      <c r="AG64" s="222"/>
      <c r="AH64" s="222"/>
      <c r="AI64" s="222"/>
      <c r="AJ64" s="195"/>
      <c r="AK64" s="196"/>
      <c r="AL64" s="71"/>
    </row>
    <row r="65" spans="2:38" s="78" customFormat="1" ht="15" customHeight="1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223">
        <f>O63/2*1000</f>
        <v>25767674.833362639</v>
      </c>
      <c r="P65" s="224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197"/>
      <c r="AC65" s="197"/>
      <c r="AD65" s="197"/>
      <c r="AE65" s="197"/>
      <c r="AF65" s="197"/>
      <c r="AG65" s="197"/>
      <c r="AH65" s="197"/>
      <c r="AI65" s="197"/>
      <c r="AJ65" s="197"/>
      <c r="AK65" s="71"/>
      <c r="AL65" s="71"/>
    </row>
    <row r="66" spans="2:38" s="78" customFormat="1" ht="15" customHeight="1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198"/>
      <c r="Z66" s="71"/>
      <c r="AA66" s="71"/>
      <c r="AB66" s="197"/>
      <c r="AC66" s="197"/>
      <c r="AD66" s="202"/>
      <c r="AE66" s="203"/>
      <c r="AF66" s="203"/>
      <c r="AG66" s="204"/>
      <c r="AH66" s="204"/>
      <c r="AI66" s="204"/>
      <c r="AJ66" s="197"/>
      <c r="AK66" s="71"/>
      <c r="AL66" s="71"/>
    </row>
    <row r="67" spans="2:38" s="78" customFormat="1" ht="15" customHeight="1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198"/>
      <c r="Z67" s="71"/>
      <c r="AA67" s="71"/>
      <c r="AB67" s="197"/>
      <c r="AC67" s="197"/>
      <c r="AD67" s="202"/>
      <c r="AE67" s="203"/>
      <c r="AF67" s="203"/>
      <c r="AG67" s="197"/>
      <c r="AH67" s="197"/>
      <c r="AI67" s="197"/>
      <c r="AJ67" s="197"/>
      <c r="AK67" s="71"/>
      <c r="AL67" s="71"/>
    </row>
    <row r="68" spans="2:38" s="78" customFormat="1" ht="15" customHeight="1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197"/>
      <c r="AC68" s="197"/>
      <c r="AD68" s="197"/>
      <c r="AE68" s="197"/>
      <c r="AF68" s="197"/>
      <c r="AG68" s="197"/>
      <c r="AH68" s="197"/>
      <c r="AI68" s="197"/>
      <c r="AJ68" s="197"/>
      <c r="AK68" s="71"/>
      <c r="AL68" s="71"/>
    </row>
    <row r="69" spans="2:38" s="78" customFormat="1" ht="15" customHeight="1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197"/>
      <c r="AC69" s="197"/>
      <c r="AD69" s="197"/>
      <c r="AE69" s="197"/>
      <c r="AF69" s="197"/>
      <c r="AG69" s="197"/>
      <c r="AH69" s="197"/>
      <c r="AI69" s="197"/>
      <c r="AJ69" s="197"/>
      <c r="AK69" s="71"/>
      <c r="AL69" s="71"/>
    </row>
    <row r="70" spans="2:38" s="78" customFormat="1" ht="15" customHeight="1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197"/>
      <c r="AC70" s="197"/>
      <c r="AD70" s="197"/>
      <c r="AE70" s="197"/>
      <c r="AF70" s="197"/>
      <c r="AG70" s="197"/>
      <c r="AH70" s="197"/>
      <c r="AI70" s="197"/>
      <c r="AJ70" s="197"/>
      <c r="AK70" s="71"/>
      <c r="AL70" s="71"/>
    </row>
    <row r="71" spans="2:38" s="78" customFormat="1" ht="15" customHeight="1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197"/>
      <c r="AC71" s="197"/>
      <c r="AD71" s="197"/>
      <c r="AE71" s="197"/>
      <c r="AF71" s="197"/>
      <c r="AG71" s="197"/>
      <c r="AH71" s="197"/>
      <c r="AI71" s="197"/>
      <c r="AJ71" s="197"/>
      <c r="AK71" s="71"/>
      <c r="AL71" s="71"/>
    </row>
    <row r="72" spans="2:38" s="78" customFormat="1" ht="15" customHeight="1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197"/>
      <c r="AC72" s="197"/>
      <c r="AD72" s="197"/>
      <c r="AE72" s="197"/>
      <c r="AF72" s="197"/>
      <c r="AG72" s="197"/>
      <c r="AH72" s="197"/>
      <c r="AI72" s="197"/>
      <c r="AJ72" s="197"/>
      <c r="AK72" s="71"/>
      <c r="AL72" s="71"/>
    </row>
    <row r="73" spans="2:38" s="78" customFormat="1" ht="15" customHeight="1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197"/>
      <c r="AC73" s="197"/>
      <c r="AD73" s="197"/>
      <c r="AE73" s="197"/>
      <c r="AF73" s="197"/>
      <c r="AG73" s="197"/>
      <c r="AH73" s="197"/>
      <c r="AI73" s="197"/>
      <c r="AJ73" s="197"/>
      <c r="AK73" s="71"/>
      <c r="AL73" s="71"/>
    </row>
    <row r="74" spans="2:38" s="78" customFormat="1" ht="15" customHeigh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197"/>
      <c r="AC74" s="197"/>
      <c r="AD74" s="197"/>
      <c r="AE74" s="197"/>
      <c r="AF74" s="197"/>
      <c r="AG74" s="197"/>
      <c r="AH74" s="197"/>
      <c r="AI74" s="197"/>
      <c r="AJ74" s="197"/>
      <c r="AK74" s="71"/>
      <c r="AL74" s="71"/>
    </row>
    <row r="75" spans="2:38" s="78" customFormat="1" ht="15" customHeigh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197"/>
      <c r="AC75" s="197"/>
      <c r="AD75" s="197"/>
      <c r="AE75" s="197"/>
      <c r="AF75" s="197"/>
      <c r="AG75" s="197"/>
      <c r="AH75" s="197"/>
      <c r="AI75" s="197"/>
      <c r="AJ75" s="197"/>
      <c r="AK75" s="71"/>
      <c r="AL75" s="71"/>
    </row>
    <row r="76" spans="2:38" s="78" customFormat="1" ht="15" customHeight="1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197"/>
      <c r="AC76" s="197"/>
      <c r="AD76" s="197"/>
      <c r="AE76" s="197"/>
      <c r="AF76" s="197"/>
      <c r="AG76" s="197"/>
      <c r="AH76" s="197"/>
      <c r="AI76" s="197"/>
      <c r="AJ76" s="197"/>
      <c r="AK76" s="71"/>
      <c r="AL76" s="71"/>
    </row>
    <row r="77" spans="2:38" s="78" customFormat="1" ht="15" customHeight="1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197"/>
      <c r="AC77" s="197"/>
      <c r="AD77" s="197"/>
      <c r="AE77" s="197"/>
      <c r="AF77" s="197"/>
      <c r="AG77" s="197"/>
      <c r="AH77" s="197"/>
      <c r="AI77" s="197"/>
      <c r="AJ77" s="197"/>
      <c r="AK77" s="71"/>
      <c r="AL77" s="71"/>
    </row>
    <row r="78" spans="2:38" s="78" customFormat="1" ht="15" customHeight="1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197"/>
      <c r="AC78" s="197"/>
      <c r="AD78" s="197"/>
      <c r="AE78" s="197"/>
      <c r="AF78" s="197"/>
      <c r="AG78" s="197"/>
      <c r="AH78" s="197"/>
      <c r="AI78" s="197"/>
      <c r="AJ78" s="197"/>
      <c r="AK78" s="71"/>
      <c r="AL78" s="71"/>
    </row>
    <row r="79" spans="2:38" s="78" customFormat="1" ht="15" customHeight="1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197"/>
      <c r="AC79" s="197"/>
      <c r="AD79" s="197"/>
      <c r="AE79" s="197"/>
      <c r="AF79" s="197"/>
      <c r="AG79" s="197"/>
      <c r="AH79" s="197"/>
      <c r="AI79" s="197"/>
      <c r="AJ79" s="197"/>
      <c r="AK79" s="71"/>
      <c r="AL79" s="71"/>
    </row>
    <row r="80" spans="2:38" s="78" customFormat="1" ht="15" customHeight="1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197"/>
      <c r="AC80" s="197"/>
      <c r="AD80" s="197"/>
      <c r="AE80" s="197"/>
      <c r="AF80" s="197"/>
      <c r="AG80" s="197"/>
      <c r="AH80" s="197"/>
      <c r="AI80" s="197"/>
      <c r="AJ80" s="197"/>
      <c r="AK80" s="71"/>
      <c r="AL80" s="71"/>
    </row>
    <row r="81" spans="2:38" s="78" customFormat="1" ht="15" customHeight="1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197"/>
      <c r="AC81" s="197"/>
      <c r="AD81" s="197"/>
      <c r="AE81" s="197"/>
      <c r="AF81" s="197"/>
      <c r="AG81" s="197"/>
      <c r="AH81" s="197"/>
      <c r="AI81" s="197"/>
      <c r="AJ81" s="197"/>
      <c r="AK81" s="71"/>
      <c r="AL81" s="71"/>
    </row>
    <row r="82" spans="2:38" s="78" customFormat="1" ht="15" customHeight="1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197"/>
      <c r="AC82" s="197"/>
      <c r="AD82" s="197"/>
      <c r="AE82" s="197"/>
      <c r="AF82" s="197"/>
      <c r="AG82" s="197"/>
      <c r="AH82" s="197"/>
      <c r="AI82" s="197"/>
      <c r="AJ82" s="197"/>
      <c r="AK82" s="71"/>
      <c r="AL82" s="71"/>
    </row>
    <row r="83" spans="2:38" s="78" customFormat="1" ht="15" customHeight="1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197"/>
      <c r="AC83" s="197"/>
      <c r="AD83" s="197"/>
      <c r="AE83" s="197"/>
      <c r="AF83" s="197"/>
      <c r="AG83" s="197"/>
      <c r="AH83" s="197"/>
      <c r="AI83" s="197"/>
      <c r="AJ83" s="197"/>
      <c r="AK83" s="71"/>
      <c r="AL83" s="71"/>
    </row>
  </sheetData>
  <mergeCells count="470">
    <mergeCell ref="B2:E5"/>
    <mergeCell ref="AG2:AK5"/>
    <mergeCell ref="U3:V3"/>
    <mergeCell ref="W3:X3"/>
    <mergeCell ref="F4:AF5"/>
    <mergeCell ref="B6:AK6"/>
    <mergeCell ref="Y8:Z8"/>
    <mergeCell ref="B9:Y9"/>
    <mergeCell ref="AB9:AK9"/>
    <mergeCell ref="AC12:AE12"/>
    <mergeCell ref="C10:E10"/>
    <mergeCell ref="F10:F11"/>
    <mergeCell ref="G10:I10"/>
    <mergeCell ref="J10:J11"/>
    <mergeCell ref="K10:M10"/>
    <mergeCell ref="N10:N11"/>
    <mergeCell ref="O10:P10"/>
    <mergeCell ref="Q10:Q11"/>
    <mergeCell ref="R10:T10"/>
    <mergeCell ref="O12:Q12"/>
    <mergeCell ref="U10:U11"/>
    <mergeCell ref="V10:Z10"/>
    <mergeCell ref="C11:E11"/>
    <mergeCell ref="G11:I11"/>
    <mergeCell ref="K11:M11"/>
    <mergeCell ref="O11:P11"/>
    <mergeCell ref="R11:T11"/>
    <mergeCell ref="W11:Y11"/>
    <mergeCell ref="G13:I13"/>
    <mergeCell ref="K13:M13"/>
    <mergeCell ref="O13:Q13"/>
    <mergeCell ref="R13:R14"/>
    <mergeCell ref="S13:U13"/>
    <mergeCell ref="V13:V14"/>
    <mergeCell ref="B12:E12"/>
    <mergeCell ref="G12:I12"/>
    <mergeCell ref="J12:J15"/>
    <mergeCell ref="K12:M12"/>
    <mergeCell ref="N12:N15"/>
    <mergeCell ref="W14:Y14"/>
    <mergeCell ref="B15:E15"/>
    <mergeCell ref="G15:I15"/>
    <mergeCell ref="K15:M15"/>
    <mergeCell ref="O15:Q15"/>
    <mergeCell ref="O19:Q19"/>
    <mergeCell ref="S19:U19"/>
    <mergeCell ref="W19:Y19"/>
    <mergeCell ref="S15:U15"/>
    <mergeCell ref="W15:Y15"/>
    <mergeCell ref="AG12:AI12"/>
    <mergeCell ref="B13:E13"/>
    <mergeCell ref="L17:M17"/>
    <mergeCell ref="O17:Q17"/>
    <mergeCell ref="S17:U17"/>
    <mergeCell ref="B18:C18"/>
    <mergeCell ref="AC18:AE18"/>
    <mergeCell ref="B14:E14"/>
    <mergeCell ref="G14:I14"/>
    <mergeCell ref="K14:M14"/>
    <mergeCell ref="O14:Q14"/>
    <mergeCell ref="S14:U14"/>
    <mergeCell ref="S12:U12"/>
    <mergeCell ref="AC15:AE15"/>
    <mergeCell ref="AG15:AI15"/>
    <mergeCell ref="B16:C16"/>
    <mergeCell ref="D16:E16"/>
    <mergeCell ref="F16:G16"/>
    <mergeCell ref="J16:K16"/>
    <mergeCell ref="L16:M16"/>
    <mergeCell ref="O16:Q16"/>
    <mergeCell ref="R16:R19"/>
    <mergeCell ref="S16:U16"/>
    <mergeCell ref="AG18:AI18"/>
    <mergeCell ref="B20:E20"/>
    <mergeCell ref="W20:Y20"/>
    <mergeCell ref="H21:V21"/>
    <mergeCell ref="S18:U18"/>
    <mergeCell ref="W18:Y18"/>
    <mergeCell ref="L18:M18"/>
    <mergeCell ref="O18:Q18"/>
    <mergeCell ref="V16:V19"/>
    <mergeCell ref="W16:Y16"/>
    <mergeCell ref="B17:C17"/>
    <mergeCell ref="D17:E17"/>
    <mergeCell ref="F17:G17"/>
    <mergeCell ref="J17:K17"/>
    <mergeCell ref="F18:G18"/>
    <mergeCell ref="H18:I18"/>
    <mergeCell ref="J18:K18"/>
    <mergeCell ref="B19:C19"/>
    <mergeCell ref="D19:E19"/>
    <mergeCell ref="F19:G19"/>
    <mergeCell ref="H19:I19"/>
    <mergeCell ref="J19:K19"/>
    <mergeCell ref="L19:M19"/>
    <mergeCell ref="D18:E18"/>
    <mergeCell ref="AB21:AK21"/>
    <mergeCell ref="J22:K22"/>
    <mergeCell ref="L22:M22"/>
    <mergeCell ref="O22:P22"/>
    <mergeCell ref="Q22:R22"/>
    <mergeCell ref="T22:U22"/>
    <mergeCell ref="V22:W22"/>
    <mergeCell ref="X22:Y22"/>
    <mergeCell ref="AE22:AG22"/>
    <mergeCell ref="AI22:AK22"/>
    <mergeCell ref="AH24:AI24"/>
    <mergeCell ref="J25:K25"/>
    <mergeCell ref="L25:M25"/>
    <mergeCell ref="O25:P25"/>
    <mergeCell ref="Q25:R25"/>
    <mergeCell ref="T25:U25"/>
    <mergeCell ref="V25:W25"/>
    <mergeCell ref="X25:Y25"/>
    <mergeCell ref="X23:Y23"/>
    <mergeCell ref="AB23:AF23"/>
    <mergeCell ref="AG23:AI23"/>
    <mergeCell ref="J24:K24"/>
    <mergeCell ref="L24:M24"/>
    <mergeCell ref="O24:P24"/>
    <mergeCell ref="Q24:R24"/>
    <mergeCell ref="T24:U24"/>
    <mergeCell ref="V24:W24"/>
    <mergeCell ref="X24:Y24"/>
    <mergeCell ref="J23:K23"/>
    <mergeCell ref="L23:M23"/>
    <mergeCell ref="O23:P23"/>
    <mergeCell ref="Q23:R23"/>
    <mergeCell ref="T23:U23"/>
    <mergeCell ref="V23:W23"/>
    <mergeCell ref="X26:Y26"/>
    <mergeCell ref="AH26:AI26"/>
    <mergeCell ref="J27:K27"/>
    <mergeCell ref="L27:M27"/>
    <mergeCell ref="O27:P27"/>
    <mergeCell ref="Q27:R27"/>
    <mergeCell ref="T27:U27"/>
    <mergeCell ref="V27:W27"/>
    <mergeCell ref="X27:Y27"/>
    <mergeCell ref="AH27:AI27"/>
    <mergeCell ref="J26:K26"/>
    <mergeCell ref="L26:M26"/>
    <mergeCell ref="O26:P26"/>
    <mergeCell ref="Q26:R26"/>
    <mergeCell ref="T26:U26"/>
    <mergeCell ref="V26:W26"/>
    <mergeCell ref="X28:Y28"/>
    <mergeCell ref="AH28:AI28"/>
    <mergeCell ref="J29:K29"/>
    <mergeCell ref="L29:M29"/>
    <mergeCell ref="O29:P29"/>
    <mergeCell ref="Q29:R29"/>
    <mergeCell ref="T29:U29"/>
    <mergeCell ref="V29:W29"/>
    <mergeCell ref="X29:Y29"/>
    <mergeCell ref="AH29:AI29"/>
    <mergeCell ref="J28:K28"/>
    <mergeCell ref="L28:M28"/>
    <mergeCell ref="O28:P28"/>
    <mergeCell ref="Q28:R28"/>
    <mergeCell ref="T28:U28"/>
    <mergeCell ref="V28:W28"/>
    <mergeCell ref="X30:Y30"/>
    <mergeCell ref="AH30:AI30"/>
    <mergeCell ref="J31:K31"/>
    <mergeCell ref="L31:M31"/>
    <mergeCell ref="O31:P31"/>
    <mergeCell ref="Q31:R31"/>
    <mergeCell ref="T31:U31"/>
    <mergeCell ref="V31:W31"/>
    <mergeCell ref="X31:Y31"/>
    <mergeCell ref="AH31:AI31"/>
    <mergeCell ref="J30:K30"/>
    <mergeCell ref="L30:M30"/>
    <mergeCell ref="O30:P30"/>
    <mergeCell ref="Q30:R30"/>
    <mergeCell ref="T30:U30"/>
    <mergeCell ref="V30:W30"/>
    <mergeCell ref="X32:Y32"/>
    <mergeCell ref="AH32:AI32"/>
    <mergeCell ref="J33:K33"/>
    <mergeCell ref="L33:M33"/>
    <mergeCell ref="O33:P33"/>
    <mergeCell ref="Q33:R33"/>
    <mergeCell ref="T33:U33"/>
    <mergeCell ref="V33:W33"/>
    <mergeCell ref="X33:Y33"/>
    <mergeCell ref="AH33:AI33"/>
    <mergeCell ref="J32:K32"/>
    <mergeCell ref="L32:M32"/>
    <mergeCell ref="O32:P32"/>
    <mergeCell ref="Q32:R32"/>
    <mergeCell ref="T32:U32"/>
    <mergeCell ref="V32:W32"/>
    <mergeCell ref="X34:Y34"/>
    <mergeCell ref="AB34:AK34"/>
    <mergeCell ref="J35:K35"/>
    <mergeCell ref="L35:M35"/>
    <mergeCell ref="O35:P35"/>
    <mergeCell ref="Q35:R35"/>
    <mergeCell ref="T35:U35"/>
    <mergeCell ref="V35:W35"/>
    <mergeCell ref="X35:Y35"/>
    <mergeCell ref="AH35:AI35"/>
    <mergeCell ref="J34:K34"/>
    <mergeCell ref="L34:M34"/>
    <mergeCell ref="O34:P34"/>
    <mergeCell ref="Q34:R34"/>
    <mergeCell ref="T34:U34"/>
    <mergeCell ref="V34:W34"/>
    <mergeCell ref="X36:Y36"/>
    <mergeCell ref="AH36:AI36"/>
    <mergeCell ref="J37:K37"/>
    <mergeCell ref="L37:M37"/>
    <mergeCell ref="O37:P37"/>
    <mergeCell ref="Q37:R37"/>
    <mergeCell ref="T37:U37"/>
    <mergeCell ref="V37:W37"/>
    <mergeCell ref="X37:Y37"/>
    <mergeCell ref="AH37:AI37"/>
    <mergeCell ref="J36:K36"/>
    <mergeCell ref="L36:M36"/>
    <mergeCell ref="O36:P36"/>
    <mergeCell ref="Q36:R36"/>
    <mergeCell ref="T36:U36"/>
    <mergeCell ref="V36:W36"/>
    <mergeCell ref="X38:Y38"/>
    <mergeCell ref="AB38:AG38"/>
    <mergeCell ref="AH38:AI38"/>
    <mergeCell ref="J39:K39"/>
    <mergeCell ref="L39:M39"/>
    <mergeCell ref="O39:P39"/>
    <mergeCell ref="Q39:R39"/>
    <mergeCell ref="T39:U39"/>
    <mergeCell ref="V39:W39"/>
    <mergeCell ref="X39:Y39"/>
    <mergeCell ref="J38:K38"/>
    <mergeCell ref="L38:M38"/>
    <mergeCell ref="O38:P38"/>
    <mergeCell ref="Q38:R38"/>
    <mergeCell ref="T38:U38"/>
    <mergeCell ref="V38:W38"/>
    <mergeCell ref="AH39:AI39"/>
    <mergeCell ref="J40:K40"/>
    <mergeCell ref="L40:M40"/>
    <mergeCell ref="O40:P40"/>
    <mergeCell ref="Q40:R40"/>
    <mergeCell ref="T40:U40"/>
    <mergeCell ref="V40:W40"/>
    <mergeCell ref="X40:Y40"/>
    <mergeCell ref="AH40:AI40"/>
    <mergeCell ref="X41:Y41"/>
    <mergeCell ref="AH41:AI41"/>
    <mergeCell ref="J42:K42"/>
    <mergeCell ref="L42:M42"/>
    <mergeCell ref="O42:P42"/>
    <mergeCell ref="Q42:R42"/>
    <mergeCell ref="T42:U42"/>
    <mergeCell ref="V42:W42"/>
    <mergeCell ref="X42:Y42"/>
    <mergeCell ref="AH42:AI42"/>
    <mergeCell ref="J41:K41"/>
    <mergeCell ref="L41:M41"/>
    <mergeCell ref="O41:P41"/>
    <mergeCell ref="Q41:R41"/>
    <mergeCell ref="T41:U41"/>
    <mergeCell ref="V41:W41"/>
    <mergeCell ref="X43:Y43"/>
    <mergeCell ref="AH43:AI43"/>
    <mergeCell ref="J44:K44"/>
    <mergeCell ref="L44:M44"/>
    <mergeCell ref="O44:P44"/>
    <mergeCell ref="Q44:R44"/>
    <mergeCell ref="T44:U44"/>
    <mergeCell ref="V44:W44"/>
    <mergeCell ref="X44:Y44"/>
    <mergeCell ref="AH44:AI44"/>
    <mergeCell ref="J43:K43"/>
    <mergeCell ref="L43:M43"/>
    <mergeCell ref="O43:P43"/>
    <mergeCell ref="Q43:R43"/>
    <mergeCell ref="T43:U43"/>
    <mergeCell ref="V43:W43"/>
    <mergeCell ref="X45:Y45"/>
    <mergeCell ref="AH45:AI45"/>
    <mergeCell ref="J46:K46"/>
    <mergeCell ref="L46:M46"/>
    <mergeCell ref="O46:P46"/>
    <mergeCell ref="Q46:R46"/>
    <mergeCell ref="T46:U46"/>
    <mergeCell ref="V46:W46"/>
    <mergeCell ref="X46:Y46"/>
    <mergeCell ref="J45:K45"/>
    <mergeCell ref="L45:M45"/>
    <mergeCell ref="O45:P45"/>
    <mergeCell ref="Q45:R45"/>
    <mergeCell ref="T45:U45"/>
    <mergeCell ref="V45:W45"/>
    <mergeCell ref="X47:Y47"/>
    <mergeCell ref="AH47:AI47"/>
    <mergeCell ref="AJ47:AK47"/>
    <mergeCell ref="J48:K48"/>
    <mergeCell ref="L48:M48"/>
    <mergeCell ref="O48:P48"/>
    <mergeCell ref="Q48:R48"/>
    <mergeCell ref="T48:U48"/>
    <mergeCell ref="V48:W48"/>
    <mergeCell ref="X48:Y48"/>
    <mergeCell ref="J47:K47"/>
    <mergeCell ref="L47:M47"/>
    <mergeCell ref="O47:P47"/>
    <mergeCell ref="Q47:R47"/>
    <mergeCell ref="T47:U47"/>
    <mergeCell ref="V47:W47"/>
    <mergeCell ref="AI48:AJ48"/>
    <mergeCell ref="J49:K49"/>
    <mergeCell ref="L49:M49"/>
    <mergeCell ref="O49:P49"/>
    <mergeCell ref="Q49:R49"/>
    <mergeCell ref="T49:U49"/>
    <mergeCell ref="V49:W49"/>
    <mergeCell ref="X49:Y49"/>
    <mergeCell ref="AB49:AD49"/>
    <mergeCell ref="AH49:AI49"/>
    <mergeCell ref="X50:Y50"/>
    <mergeCell ref="AB50:AD50"/>
    <mergeCell ref="AE50:AG50"/>
    <mergeCell ref="J51:K51"/>
    <mergeCell ref="L51:M51"/>
    <mergeCell ref="O51:P51"/>
    <mergeCell ref="Q51:R51"/>
    <mergeCell ref="T51:U51"/>
    <mergeCell ref="V51:W51"/>
    <mergeCell ref="X51:Y51"/>
    <mergeCell ref="J50:K50"/>
    <mergeCell ref="L50:M50"/>
    <mergeCell ref="O50:P50"/>
    <mergeCell ref="Q50:R50"/>
    <mergeCell ref="T50:U50"/>
    <mergeCell ref="V50:W50"/>
    <mergeCell ref="AB51:AD51"/>
    <mergeCell ref="AE51:AG51"/>
    <mergeCell ref="AH52:AI52"/>
    <mergeCell ref="J53:K53"/>
    <mergeCell ref="L53:M53"/>
    <mergeCell ref="O53:P53"/>
    <mergeCell ref="Q53:R53"/>
    <mergeCell ref="T53:U53"/>
    <mergeCell ref="V53:W53"/>
    <mergeCell ref="X53:Y53"/>
    <mergeCell ref="AB53:AD53"/>
    <mergeCell ref="AE53:AG53"/>
    <mergeCell ref="AH53:AI53"/>
    <mergeCell ref="J52:K52"/>
    <mergeCell ref="L52:M52"/>
    <mergeCell ref="O52:P52"/>
    <mergeCell ref="Q52:R52"/>
    <mergeCell ref="T52:U52"/>
    <mergeCell ref="V52:W52"/>
    <mergeCell ref="X52:Y52"/>
    <mergeCell ref="AB52:AD52"/>
    <mergeCell ref="AE52:AG52"/>
    <mergeCell ref="AH54:AI54"/>
    <mergeCell ref="J55:K55"/>
    <mergeCell ref="L55:M55"/>
    <mergeCell ref="O55:P55"/>
    <mergeCell ref="Q55:R55"/>
    <mergeCell ref="T55:U55"/>
    <mergeCell ref="V55:W55"/>
    <mergeCell ref="X55:Y55"/>
    <mergeCell ref="AB55:AD55"/>
    <mergeCell ref="AE55:AG55"/>
    <mergeCell ref="AH55:AI55"/>
    <mergeCell ref="J54:K54"/>
    <mergeCell ref="L54:M54"/>
    <mergeCell ref="O54:P54"/>
    <mergeCell ref="Q54:R54"/>
    <mergeCell ref="T54:U54"/>
    <mergeCell ref="V54:W54"/>
    <mergeCell ref="X54:Y54"/>
    <mergeCell ref="AB54:AD54"/>
    <mergeCell ref="AE54:AG54"/>
    <mergeCell ref="AH56:AI56"/>
    <mergeCell ref="J57:K57"/>
    <mergeCell ref="L57:M57"/>
    <mergeCell ref="O57:P57"/>
    <mergeCell ref="Q57:R57"/>
    <mergeCell ref="T57:U57"/>
    <mergeCell ref="V57:W57"/>
    <mergeCell ref="X57:Y57"/>
    <mergeCell ref="AB57:AD57"/>
    <mergeCell ref="AE57:AG57"/>
    <mergeCell ref="AH57:AI57"/>
    <mergeCell ref="J56:K56"/>
    <mergeCell ref="L56:M56"/>
    <mergeCell ref="O56:P56"/>
    <mergeCell ref="Q56:R56"/>
    <mergeCell ref="T56:U56"/>
    <mergeCell ref="V56:W56"/>
    <mergeCell ref="X56:Y56"/>
    <mergeCell ref="AB56:AD56"/>
    <mergeCell ref="AE56:AG56"/>
    <mergeCell ref="J58:K58"/>
    <mergeCell ref="L58:M58"/>
    <mergeCell ref="O58:P58"/>
    <mergeCell ref="Q58:R58"/>
    <mergeCell ref="T58:U58"/>
    <mergeCell ref="V58:W58"/>
    <mergeCell ref="X58:Y58"/>
    <mergeCell ref="AC58:AE58"/>
    <mergeCell ref="X59:Y59"/>
    <mergeCell ref="AB59:AC59"/>
    <mergeCell ref="AD59:AF59"/>
    <mergeCell ref="AG59:AK59"/>
    <mergeCell ref="J60:K60"/>
    <mergeCell ref="L60:M60"/>
    <mergeCell ref="O60:P60"/>
    <mergeCell ref="Q60:R60"/>
    <mergeCell ref="T60:U60"/>
    <mergeCell ref="V60:W60"/>
    <mergeCell ref="J59:K59"/>
    <mergeCell ref="L59:M59"/>
    <mergeCell ref="O59:P59"/>
    <mergeCell ref="Q59:R59"/>
    <mergeCell ref="T59:U59"/>
    <mergeCell ref="V59:W59"/>
    <mergeCell ref="X60:Y60"/>
    <mergeCell ref="AB60:AC60"/>
    <mergeCell ref="AD60:AF60"/>
    <mergeCell ref="AG60:AK62"/>
    <mergeCell ref="J61:K61"/>
    <mergeCell ref="L61:M61"/>
    <mergeCell ref="O61:P61"/>
    <mergeCell ref="Q61:R61"/>
    <mergeCell ref="T61:U61"/>
    <mergeCell ref="V61:W61"/>
    <mergeCell ref="X61:Y61"/>
    <mergeCell ref="AB61:AC61"/>
    <mergeCell ref="AD61:AF61"/>
    <mergeCell ref="J62:K62"/>
    <mergeCell ref="L62:M62"/>
    <mergeCell ref="O62:P62"/>
    <mergeCell ref="Q62:R62"/>
    <mergeCell ref="T62:U62"/>
    <mergeCell ref="V62:W62"/>
    <mergeCell ref="X62:Y62"/>
    <mergeCell ref="AB62:AC62"/>
    <mergeCell ref="AE62:AF62"/>
    <mergeCell ref="AD66:AF66"/>
    <mergeCell ref="AG66:AI66"/>
    <mergeCell ref="AD67:AF67"/>
    <mergeCell ref="AD63:AF63"/>
    <mergeCell ref="J64:K64"/>
    <mergeCell ref="L64:M64"/>
    <mergeCell ref="O64:P64"/>
    <mergeCell ref="Q64:R64"/>
    <mergeCell ref="T64:U64"/>
    <mergeCell ref="V64:W64"/>
    <mergeCell ref="X64:Y64"/>
    <mergeCell ref="AD64:AF64"/>
    <mergeCell ref="J63:K63"/>
    <mergeCell ref="L63:M63"/>
    <mergeCell ref="O63:P63"/>
    <mergeCell ref="Q63:R63"/>
    <mergeCell ref="T63:U63"/>
    <mergeCell ref="V63:W63"/>
    <mergeCell ref="X63:Y63"/>
    <mergeCell ref="AB63:AC63"/>
    <mergeCell ref="AG64:AI64"/>
    <mergeCell ref="O65:P65"/>
  </mergeCells>
  <conditionalFormatting sqref="AJ33 AJ24 AJ35:AJ46">
    <cfRule type="iconSet" priority="12">
      <iconSet showValue="0">
        <cfvo type="percent" val="0"/>
        <cfvo type="num" val="0"/>
        <cfvo type="num" val="1"/>
      </iconSet>
    </cfRule>
  </conditionalFormatting>
  <conditionalFormatting sqref="AJ32">
    <cfRule type="iconSet" priority="11">
      <iconSet showValue="0">
        <cfvo type="percent" val="0"/>
        <cfvo type="num" val="0"/>
        <cfvo type="num" val="1"/>
      </iconSet>
    </cfRule>
  </conditionalFormatting>
  <conditionalFormatting sqref="AJ31">
    <cfRule type="iconSet" priority="10">
      <iconSet showValue="0">
        <cfvo type="percent" val="0"/>
        <cfvo type="num" val="0"/>
        <cfvo type="num" val="1"/>
      </iconSet>
    </cfRule>
  </conditionalFormatting>
  <conditionalFormatting sqref="AJ30">
    <cfRule type="iconSet" priority="9">
      <iconSet showValue="0">
        <cfvo type="percent" val="0"/>
        <cfvo type="num" val="0"/>
        <cfvo type="num" val="1"/>
      </iconSet>
    </cfRule>
  </conditionalFormatting>
  <conditionalFormatting sqref="AJ29">
    <cfRule type="iconSet" priority="8">
      <iconSet showValue="0">
        <cfvo type="percent" val="0"/>
        <cfvo type="num" val="0"/>
        <cfvo type="num" val="1"/>
      </iconSet>
    </cfRule>
  </conditionalFormatting>
  <conditionalFormatting sqref="AJ28">
    <cfRule type="iconSet" priority="7">
      <iconSet showValue="0">
        <cfvo type="percent" val="0"/>
        <cfvo type="num" val="0"/>
        <cfvo type="num" val="1"/>
      </iconSet>
    </cfRule>
  </conditionalFormatting>
  <conditionalFormatting sqref="AJ27">
    <cfRule type="iconSet" priority="6">
      <iconSet showValue="0">
        <cfvo type="percent" val="0"/>
        <cfvo type="num" val="0"/>
        <cfvo type="num" val="1"/>
      </iconSet>
    </cfRule>
  </conditionalFormatting>
  <conditionalFormatting sqref="AJ26">
    <cfRule type="iconSet" priority="5">
      <iconSet showValue="0">
        <cfvo type="percent" val="0"/>
        <cfvo type="num" val="0"/>
        <cfvo type="num" val="1"/>
      </iconSet>
    </cfRule>
  </conditionalFormatting>
  <conditionalFormatting sqref="AJ25">
    <cfRule type="iconSet" priority="4">
      <iconSet showValue="0">
        <cfvo type="percent" val="0"/>
        <cfvo type="num" val="0"/>
        <cfvo type="num" val="1"/>
      </iconSet>
    </cfRule>
  </conditionalFormatting>
  <conditionalFormatting sqref="AJ57:AJ58 AJ63:AJ64 AJ52">
    <cfRule type="iconSet" priority="3">
      <iconSet showValue="0">
        <cfvo type="percent" val="0"/>
        <cfvo type="num" val="0"/>
        <cfvo type="num" val="1"/>
      </iconSet>
    </cfRule>
  </conditionalFormatting>
  <conditionalFormatting sqref="AJ53">
    <cfRule type="iconSet" priority="2">
      <iconSet showValue="0">
        <cfvo type="percent" val="0"/>
        <cfvo type="num" val="0"/>
        <cfvo type="num" val="1"/>
      </iconSet>
    </cfRule>
  </conditionalFormatting>
  <conditionalFormatting sqref="AJ54:AJ56">
    <cfRule type="iconSet" priority="1">
      <iconSet showValue="0">
        <cfvo type="percent" val="0"/>
        <cfvo type="num" val="0"/>
        <cfvo type="num" val="1"/>
      </iconSet>
    </cfRule>
  </conditionalFormatting>
  <printOptions horizontalCentered="1" verticalCentered="1"/>
  <pageMargins left="0" right="0" top="0.39370078740157483" bottom="0" header="0.19685039370078741" footer="0.19685039370078741"/>
  <pageSetup paperSize="9" scale="50" orientation="landscape" r:id="rId1"/>
  <headerFooter alignWithMargins="0">
    <oddFooter>&amp;L&amp;1#&amp;"Calibri"&amp;10&amp;K000000Internal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Investimento_Casas</vt:lpstr>
      <vt:lpstr>Fluxo_de_Caixa Casas</vt:lpstr>
      <vt:lpstr>Cidade Jardim III</vt:lpstr>
      <vt:lpstr>'Cidade Jardim III'!Area_de_impressao</vt:lpstr>
      <vt:lpstr>'Cidade Jardim III'!Titulos_de_impressao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Nascimento</dc:creator>
  <cp:keywords/>
  <dc:description/>
  <cp:lastModifiedBy>Eduardo Nascimento</cp:lastModifiedBy>
  <dcterms:created xsi:type="dcterms:W3CDTF">2022-10-18T23:59:38Z</dcterms:created>
  <dcterms:modified xsi:type="dcterms:W3CDTF">2023-02-05T00:31:56Z</dcterms:modified>
  <cp:category/>
</cp:coreProperties>
</file>