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000EAECA-0BD1-4F15-86CC-19D56B4237D0}" xr6:coauthVersionLast="45" xr6:coauthVersionMax="45" xr10:uidLastSave="{00000000-0000-0000-0000-000000000000}"/>
  <bookViews>
    <workbookView xWindow="-120" yWindow="-120" windowWidth="20730" windowHeight="11160" activeTab="1" xr2:uid="{ACD0995F-B663-46D7-9A35-A939DE7AF0E3}"/>
  </bookViews>
  <sheets>
    <sheet name="Dados" sheetId="1" r:id="rId1"/>
    <sheet name="Auxiliar" sheetId="3" r:id="rId2"/>
    <sheet name="Carta" sheetId="4" r:id="rId3"/>
    <sheet name="Planilh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3" l="1"/>
  <c r="S2" i="3" s="1"/>
  <c r="T3" i="3"/>
  <c r="S3" i="3" s="1"/>
  <c r="T4" i="3"/>
  <c r="S4" i="3" s="1"/>
  <c r="T5" i="3"/>
  <c r="S5" i="3" s="1"/>
  <c r="T6" i="3"/>
  <c r="S6" i="3" s="1"/>
  <c r="T7" i="3"/>
  <c r="S7" i="3" s="1"/>
  <c r="T8" i="3"/>
  <c r="S8" i="3" s="1"/>
  <c r="T9" i="3"/>
  <c r="S9" i="3" s="1"/>
  <c r="T10" i="3"/>
  <c r="S10" i="3" s="1"/>
  <c r="T11" i="3"/>
  <c r="S11" i="3" s="1"/>
  <c r="S1" i="3"/>
  <c r="T1" i="3"/>
  <c r="P1" i="3"/>
  <c r="Q1" i="3" s="1"/>
  <c r="R1" i="3" s="1"/>
  <c r="P2" i="3"/>
  <c r="P3" i="3"/>
  <c r="P4" i="3"/>
  <c r="P5" i="3"/>
  <c r="N5" i="3" s="1"/>
  <c r="P6" i="3"/>
  <c r="P7" i="3"/>
  <c r="P8" i="3"/>
  <c r="P9" i="3"/>
  <c r="Q9" i="3" s="1"/>
  <c r="R9" i="3" s="1"/>
  <c r="P10" i="3"/>
  <c r="P11" i="3"/>
  <c r="Q2" i="3"/>
  <c r="R2" i="3" s="1"/>
  <c r="Q3" i="3"/>
  <c r="Q4" i="3"/>
  <c r="R4" i="3" s="1"/>
  <c r="Q6" i="3"/>
  <c r="Q7" i="3"/>
  <c r="Q8" i="3"/>
  <c r="R8" i="3" s="1"/>
  <c r="Q10" i="3"/>
  <c r="R10" i="3" s="1"/>
  <c r="Q11" i="3"/>
  <c r="R3" i="3"/>
  <c r="R6" i="3"/>
  <c r="R7" i="3"/>
  <c r="R11" i="3"/>
  <c r="O8" i="3"/>
  <c r="N3" i="3"/>
  <c r="N4" i="3"/>
  <c r="O4" i="3" s="1"/>
  <c r="N7" i="3"/>
  <c r="N8" i="3"/>
  <c r="N11" i="3"/>
  <c r="Q5" i="3" l="1"/>
  <c r="R5" i="3" s="1"/>
  <c r="U4" i="3"/>
  <c r="U5" i="3"/>
  <c r="U3" i="3"/>
  <c r="V11" i="3"/>
  <c r="V4" i="3"/>
  <c r="N9" i="3"/>
  <c r="O5" i="3"/>
  <c r="V8" i="3"/>
  <c r="N1" i="3"/>
  <c r="O11" i="3"/>
  <c r="O7" i="3"/>
  <c r="O3" i="3"/>
  <c r="N10" i="3"/>
  <c r="N6" i="3"/>
  <c r="N2" i="3"/>
  <c r="M4" i="1"/>
  <c r="G4" i="1"/>
  <c r="G3" i="1"/>
  <c r="M5" i="1"/>
  <c r="V7" i="3" l="1"/>
  <c r="V3" i="3"/>
  <c r="U7" i="3"/>
  <c r="V2" i="3"/>
  <c r="U8" i="3"/>
  <c r="V10" i="3"/>
  <c r="U11" i="3"/>
  <c r="V5" i="3"/>
  <c r="O10" i="3"/>
  <c r="U10" i="3"/>
  <c r="U9" i="3"/>
  <c r="O9" i="3"/>
  <c r="V9" i="3" s="1"/>
  <c r="O6" i="3"/>
  <c r="U6" i="3"/>
  <c r="O2" i="3"/>
  <c r="U2" i="3"/>
  <c r="U1" i="3"/>
  <c r="O1" i="3"/>
  <c r="V1" i="3" s="1"/>
  <c r="A4" i="3"/>
  <c r="A5" i="3"/>
  <c r="A9" i="3"/>
  <c r="A2" i="3"/>
  <c r="A6" i="3"/>
  <c r="A10" i="3"/>
  <c r="A3" i="3"/>
  <c r="A7" i="3"/>
  <c r="A11" i="3"/>
  <c r="A8" i="3"/>
  <c r="A1" i="3"/>
  <c r="O3" i="1"/>
  <c r="P3" i="1" s="1"/>
  <c r="O4" i="1"/>
  <c r="C6" i="1" s="1"/>
  <c r="C3" i="1"/>
  <c r="V6" i="3" l="1"/>
  <c r="C7" i="1"/>
  <c r="C2" i="1"/>
  <c r="I3" i="1" s="1"/>
  <c r="J3" i="1" s="1"/>
  <c r="M6" i="1" s="1"/>
  <c r="C8" i="1"/>
  <c r="C5" i="1"/>
  <c r="C4" i="1"/>
  <c r="C9" i="1"/>
  <c r="C10" i="1"/>
  <c r="I4" i="1" s="1"/>
  <c r="J4" i="1" s="1"/>
  <c r="P2" i="1" l="1"/>
  <c r="B5" i="3" s="1"/>
  <c r="M8" i="1"/>
  <c r="B4" i="3"/>
  <c r="B1" i="3"/>
  <c r="B3" i="3"/>
  <c r="B8" i="3"/>
  <c r="B9" i="3"/>
  <c r="B7" i="3"/>
  <c r="B11" i="3"/>
  <c r="B10" i="3"/>
  <c r="G7" i="1"/>
  <c r="O2" i="1"/>
  <c r="Q2" i="1" s="1"/>
  <c r="G8" i="1"/>
  <c r="B6" i="3" l="1"/>
  <c r="D6" i="3" s="1"/>
  <c r="B2" i="3"/>
  <c r="F2" i="3" s="1"/>
  <c r="D9" i="1"/>
  <c r="D8" i="1"/>
  <c r="D5" i="1"/>
  <c r="D2" i="1"/>
  <c r="D7" i="1"/>
  <c r="D4" i="1"/>
  <c r="D10" i="1"/>
  <c r="D6" i="1"/>
  <c r="D3" i="1"/>
  <c r="J9" i="3"/>
  <c r="E9" i="3"/>
  <c r="D10" i="3"/>
  <c r="F9" i="3"/>
  <c r="L11" i="3"/>
  <c r="I9" i="3"/>
  <c r="D2" i="3"/>
  <c r="L9" i="3"/>
  <c r="H1" i="3"/>
  <c r="C5" i="3"/>
  <c r="I11" i="3"/>
  <c r="D8" i="3"/>
  <c r="J10" i="3"/>
  <c r="E5" i="3"/>
  <c r="D11" i="3"/>
  <c r="E1" i="3"/>
  <c r="L10" i="3"/>
  <c r="D5" i="3"/>
  <c r="E3" i="3"/>
  <c r="F11" i="3"/>
  <c r="G11" i="3"/>
  <c r="C6" i="3"/>
  <c r="D3" i="3"/>
  <c r="G7" i="3"/>
  <c r="K1" i="3"/>
  <c r="E11" i="3"/>
  <c r="H4" i="3"/>
  <c r="K9" i="3"/>
  <c r="F1" i="3"/>
  <c r="E10" i="3"/>
  <c r="G8" i="3"/>
  <c r="L3" i="3"/>
  <c r="F8" i="3"/>
  <c r="F6" i="3"/>
  <c r="H3" i="3"/>
  <c r="C1" i="3"/>
  <c r="H11" i="3"/>
  <c r="G9" i="3"/>
  <c r="J4" i="3"/>
  <c r="D1" i="3"/>
  <c r="C9" i="3"/>
  <c r="K4" i="3"/>
  <c r="J7" i="3"/>
  <c r="K11" i="3"/>
  <c r="G10" i="3"/>
  <c r="J6" i="3"/>
  <c r="I7" i="3"/>
  <c r="F10" i="3"/>
  <c r="K10" i="3"/>
  <c r="F3" i="3"/>
  <c r="H8" i="3"/>
  <c r="I4" i="3"/>
  <c r="K6" i="3"/>
  <c r="J5" i="3"/>
  <c r="L7" i="3"/>
  <c r="K3" i="3"/>
  <c r="H10" i="3"/>
  <c r="K5" i="3"/>
  <c r="H7" i="3"/>
  <c r="E7" i="3"/>
  <c r="H5" i="3"/>
  <c r="C11" i="3"/>
  <c r="G4" i="3"/>
  <c r="I8" i="3"/>
  <c r="L8" i="3"/>
  <c r="E4" i="3"/>
  <c r="I3" i="3"/>
  <c r="G1" i="3"/>
  <c r="D4" i="3"/>
  <c r="K7" i="3"/>
  <c r="C8" i="3"/>
  <c r="J3" i="3"/>
  <c r="D9" i="3"/>
  <c r="I1" i="3"/>
  <c r="H9" i="3"/>
  <c r="F7" i="3"/>
  <c r="L5" i="3"/>
  <c r="F4" i="3"/>
  <c r="J11" i="3"/>
  <c r="L1" i="3"/>
  <c r="G3" i="3"/>
  <c r="C7" i="3"/>
  <c r="J1" i="3"/>
  <c r="I10" i="3"/>
  <c r="I5" i="3"/>
  <c r="D7" i="3"/>
  <c r="C10" i="3"/>
  <c r="F5" i="3"/>
  <c r="C4" i="3"/>
  <c r="C3" i="3"/>
  <c r="J8" i="3"/>
  <c r="L4" i="3"/>
  <c r="K8" i="3"/>
  <c r="G5" i="3"/>
  <c r="E8" i="3"/>
  <c r="I2" i="3" l="1"/>
  <c r="I6" i="3"/>
  <c r="E2" i="3"/>
  <c r="E6" i="3"/>
  <c r="G6" i="3"/>
  <c r="H6" i="3"/>
  <c r="L6" i="3"/>
  <c r="M7" i="1"/>
  <c r="H2" i="3"/>
  <c r="J2" i="3"/>
  <c r="C2" i="3"/>
  <c r="G2" i="3"/>
  <c r="K2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Ryuji</author>
    <author>Ryuji</author>
  </authors>
  <commentList>
    <comment ref="Q2" authorId="0" shapeId="0" xr:uid="{8D86912A-7FE5-43BF-BE74-C5461178BE98}">
      <text>
        <r>
          <rPr>
            <b/>
            <sz val="9"/>
            <color indexed="81"/>
            <rFont val="Segoe UI"/>
            <family val="2"/>
          </rPr>
          <t>Ryuji:</t>
        </r>
        <r>
          <rPr>
            <sz val="9"/>
            <color indexed="81"/>
            <rFont val="Segoe UI"/>
            <family val="2"/>
          </rPr>
          <t xml:space="preserve">
Range das linhas altimétricas. Só não mexa nesses numeros.</t>
        </r>
      </text>
    </comment>
    <comment ref="O3" authorId="0" shapeId="0" xr:uid="{8C3BAAEA-F8E4-43E9-B0A1-5B86E433A7FC}">
      <text>
        <r>
          <rPr>
            <b/>
            <sz val="9"/>
            <color indexed="81"/>
            <rFont val="Segoe UI"/>
            <family val="2"/>
          </rPr>
          <t>Ryuji:</t>
        </r>
        <r>
          <rPr>
            <sz val="9"/>
            <color indexed="81"/>
            <rFont val="Segoe UI"/>
            <family val="2"/>
          </rPr>
          <t xml:space="preserve">
Não sei por que eu fiz isso. Mas achei o cosseno do arco terrestre. =)</t>
        </r>
      </text>
    </comment>
    <comment ref="M4" authorId="0" shapeId="0" xr:uid="{0805E73F-17B0-4A62-BCD1-8B1D90803107}">
      <text>
        <r>
          <rPr>
            <b/>
            <sz val="9"/>
            <color indexed="81"/>
            <rFont val="Segoe UI"/>
            <family val="2"/>
          </rPr>
          <t>Ryuji:</t>
        </r>
        <r>
          <rPr>
            <sz val="9"/>
            <color indexed="81"/>
            <rFont val="Segoe UI"/>
            <family val="2"/>
          </rPr>
          <t xml:space="preserve">
Raio Efetivo = k * Raio da Terra.</t>
        </r>
      </text>
    </comment>
    <comment ref="O4" authorId="0" shapeId="0" xr:uid="{26635C6D-BA65-477E-A104-F1B0CD47BA1A}">
      <text>
        <r>
          <rPr>
            <b/>
            <sz val="9"/>
            <color indexed="81"/>
            <rFont val="Segoe UI"/>
            <family val="2"/>
          </rPr>
          <t>Ryuji:</t>
        </r>
        <r>
          <rPr>
            <sz val="9"/>
            <color indexed="81"/>
            <rFont val="Segoe UI"/>
            <family val="2"/>
          </rPr>
          <t xml:space="preserve">
Distancia Corda: Distancia do cetro para a corda. Faz parte do calculo auxilixar.</t>
        </r>
      </text>
    </comment>
    <comment ref="M5" authorId="0" shapeId="0" xr:uid="{43B14033-EECD-41D5-B59A-61776830A908}">
      <text>
        <r>
          <rPr>
            <b/>
            <sz val="9"/>
            <color indexed="81"/>
            <rFont val="Segoe UI"/>
            <family val="2"/>
          </rPr>
          <t>Ryuji:</t>
        </r>
        <r>
          <rPr>
            <sz val="9"/>
            <color indexed="81"/>
            <rFont val="Segoe UI"/>
            <family val="2"/>
          </rPr>
          <t xml:space="preserve">
Comprimento da corda.</t>
        </r>
      </text>
    </comment>
    <comment ref="M6" authorId="1" shapeId="0" xr:uid="{161C4583-9ED4-472B-BCFB-2D8A6ECB6ED2}">
      <text>
        <r>
          <rPr>
            <b/>
            <sz val="9"/>
            <color indexed="81"/>
            <rFont val="Segoe UI"/>
            <charset val="1"/>
          </rPr>
          <t>Ryuji:</t>
        </r>
        <r>
          <rPr>
            <sz val="9"/>
            <color indexed="81"/>
            <rFont val="Segoe UI"/>
            <charset val="1"/>
          </rPr>
          <t xml:space="preserve">
"Distancia" entre as torres.</t>
        </r>
      </text>
    </comment>
  </commentList>
</comments>
</file>

<file path=xl/sharedStrings.xml><?xml version="1.0" encoding="utf-8"?>
<sst xmlns="http://schemas.openxmlformats.org/spreadsheetml/2006/main" count="17" uniqueCount="17">
  <si>
    <t>Alt. [m]</t>
  </si>
  <si>
    <t>Pos. [Km]</t>
  </si>
  <si>
    <t>Correção</t>
  </si>
  <si>
    <t>Alt. T1 [m]</t>
  </si>
  <si>
    <t>Alt. T2 [m]</t>
  </si>
  <si>
    <t>k</t>
  </si>
  <si>
    <t>Rel.</t>
  </si>
  <si>
    <t>Abs.</t>
  </si>
  <si>
    <t>Re [Km]</t>
  </si>
  <si>
    <t>Pos.</t>
  </si>
  <si>
    <t>Dif</t>
  </si>
  <si>
    <t>Ter.</t>
  </si>
  <si>
    <t>Corda [Km]</t>
  </si>
  <si>
    <t>d [Km]</t>
  </si>
  <si>
    <t>C [m]</t>
  </si>
  <si>
    <t>C teo [m]</t>
  </si>
  <si>
    <t>f [GHz]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</si>
</sst>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???/???"/>
    <numFmt numFmtId="165" formatCode="&quot;DC: &quot;#,##0.00"/>
    <numFmt numFmtId="166" formatCode="&quot;cos(Θ): &quot;0.00000000"/>
    <numFmt numFmtId="167" formatCode="&quot;Máx: &quot;#,##0.00&quot; m&quot;"/>
    <numFmt numFmtId="168" formatCode="&quot;Dif.: &quot;#,##0.00&quot; m&quot;"/>
    <numFmt numFmtId="169" formatCode="&quot;Mín: &quot;#,##0.00&quot; m&quot;"/>
    <numFmt numFmtId="170" formatCode="&quot;Θ: &quot;0.00000000&quot;°&quot;"/>
    <numFmt numFmtId="171" formatCode="&quot;a = &quot;#,##0.00"/>
    <numFmt numFmtId="172" formatCode="&quot;b = &quot;#,##0.00"/>
    <numFmt numFmtId="173" formatCode="#,##0.00&quot; 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164" fontId="0" fillId="2" borderId="1" xfId="0" applyNumberFormat="1" applyFill="1" applyBorder="1"/>
    <xf numFmtId="0" fontId="1" fillId="5" borderId="1" xfId="0" applyFon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0" fontId="0" fillId="6" borderId="1" xfId="0" applyFill="1" applyBorder="1"/>
    <xf numFmtId="0" fontId="0" fillId="5" borderId="1" xfId="0" applyFill="1" applyBorder="1"/>
    <xf numFmtId="173" fontId="0" fillId="5" borderId="1" xfId="0" applyNumberFormat="1" applyFill="1" applyBorder="1"/>
    <xf numFmtId="173" fontId="0" fillId="6" borderId="1" xfId="0" applyNumberFormat="1" applyFill="1" applyBorder="1"/>
    <xf numFmtId="173" fontId="0" fillId="0" borderId="0" xfId="0" applyNumberFormat="1"/>
    <xf numFmtId="2" fontId="0" fillId="2" borderId="1" xfId="0" applyNumberFormat="1" applyFill="1" applyBorder="1"/>
    <xf numFmtId="4" fontId="0" fillId="3" borderId="1" xfId="0" applyNumberFormat="1" applyFill="1" applyBorder="1"/>
    <xf numFmtId="4" fontId="0" fillId="2" borderId="1" xfId="0" applyNumberFormat="1" applyFill="1" applyBorder="1"/>
    <xf numFmtId="4" fontId="0" fillId="6" borderId="1" xfId="0" applyNumberFormat="1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Auxiliar!$B$1:$B$101</c:f>
              <c:numCache>
                <c:formatCode>General</c:formatCode>
                <c:ptCount val="101"/>
                <c:pt idx="0">
                  <c:v>300</c:v>
                </c:pt>
                <c:pt idx="1">
                  <c:v>308.47725632047513</c:v>
                </c:pt>
                <c:pt idx="2">
                  <c:v>315.07067205420753</c:v>
                </c:pt>
                <c:pt idx="3">
                  <c:v>319.78025158678065</c:v>
                </c:pt>
                <c:pt idx="4">
                  <c:v>322.60599805413221</c:v>
                </c:pt>
                <c:pt idx="5">
                  <c:v>323.54791333345929</c:v>
                </c:pt>
                <c:pt idx="6">
                  <c:v>322.60599805413221</c:v>
                </c:pt>
                <c:pt idx="7">
                  <c:v>319.78025158678065</c:v>
                </c:pt>
                <c:pt idx="8">
                  <c:v>315.07067205420753</c:v>
                </c:pt>
                <c:pt idx="9">
                  <c:v>308.47725632047513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0-439C-87AB-CA004A64EB22}"/>
            </c:ext>
          </c:extLst>
        </c:ser>
        <c:ser>
          <c:idx val="1"/>
          <c:order val="1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Auxiliar!$C$1:$C$101</c:f>
              <c:numCache>
                <c:formatCode>General</c:formatCode>
                <c:ptCount val="101"/>
                <c:pt idx="0">
                  <c:v>308</c:v>
                </c:pt>
                <c:pt idx="1">
                  <c:v>316.47725632047513</c:v>
                </c:pt>
                <c:pt idx="2">
                  <c:v>323.07067205420753</c:v>
                </c:pt>
                <c:pt idx="3">
                  <c:v>327.78025158678065</c:v>
                </c:pt>
                <c:pt idx="4">
                  <c:v>330.60599805413221</c:v>
                </c:pt>
                <c:pt idx="5">
                  <c:v>331.54791333345929</c:v>
                </c:pt>
                <c:pt idx="6">
                  <c:v>330.60599805413221</c:v>
                </c:pt>
                <c:pt idx="7">
                  <c:v>327.78025158678065</c:v>
                </c:pt>
                <c:pt idx="8">
                  <c:v>323.07067205420753</c:v>
                </c:pt>
                <c:pt idx="9">
                  <c:v>316.47725632047513</c:v>
                </c:pt>
                <c:pt idx="10">
                  <c:v>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0-439C-87AB-CA004A64EB22}"/>
            </c:ext>
          </c:extLst>
        </c:ser>
        <c:ser>
          <c:idx val="2"/>
          <c:order val="2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Auxiliar!$D$1:$D$101</c:f>
              <c:numCache>
                <c:formatCode>General</c:formatCode>
                <c:ptCount val="101"/>
                <c:pt idx="0">
                  <c:v>316</c:v>
                </c:pt>
                <c:pt idx="1">
                  <c:v>324.47725632047513</c:v>
                </c:pt>
                <c:pt idx="2">
                  <c:v>331.07067205420753</c:v>
                </c:pt>
                <c:pt idx="3">
                  <c:v>335.78025158678065</c:v>
                </c:pt>
                <c:pt idx="4">
                  <c:v>338.60599805413221</c:v>
                </c:pt>
                <c:pt idx="5">
                  <c:v>339.54791333345929</c:v>
                </c:pt>
                <c:pt idx="6">
                  <c:v>338.60599805413221</c:v>
                </c:pt>
                <c:pt idx="7">
                  <c:v>335.78025158678065</c:v>
                </c:pt>
                <c:pt idx="8">
                  <c:v>331.07067205420753</c:v>
                </c:pt>
                <c:pt idx="9">
                  <c:v>324.47725632047513</c:v>
                </c:pt>
                <c:pt idx="10">
                  <c:v>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A0-439C-87AB-CA004A64EB22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Auxiliar!$E$1:$E$101</c:f>
              <c:numCache>
                <c:formatCode>General</c:formatCode>
                <c:ptCount val="101"/>
                <c:pt idx="0">
                  <c:v>324</c:v>
                </c:pt>
                <c:pt idx="1">
                  <c:v>332.47725632047513</c:v>
                </c:pt>
                <c:pt idx="2">
                  <c:v>339.07067205420753</c:v>
                </c:pt>
                <c:pt idx="3">
                  <c:v>343.78025158678065</c:v>
                </c:pt>
                <c:pt idx="4">
                  <c:v>346.60599805413221</c:v>
                </c:pt>
                <c:pt idx="5">
                  <c:v>347.54791333345929</c:v>
                </c:pt>
                <c:pt idx="6">
                  <c:v>346.60599805413221</c:v>
                </c:pt>
                <c:pt idx="7">
                  <c:v>343.78025158678065</c:v>
                </c:pt>
                <c:pt idx="8">
                  <c:v>339.07067205420753</c:v>
                </c:pt>
                <c:pt idx="9">
                  <c:v>332.47725632047513</c:v>
                </c:pt>
                <c:pt idx="10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A0-439C-87AB-CA004A64EB22}"/>
            </c:ext>
          </c:extLst>
        </c:ser>
        <c:ser>
          <c:idx val="4"/>
          <c:order val="4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Auxiliar!$F$1:$F$101</c:f>
              <c:numCache>
                <c:formatCode>General</c:formatCode>
                <c:ptCount val="101"/>
                <c:pt idx="0">
                  <c:v>332</c:v>
                </c:pt>
                <c:pt idx="1">
                  <c:v>340.47725632047513</c:v>
                </c:pt>
                <c:pt idx="2">
                  <c:v>347.07067205420753</c:v>
                </c:pt>
                <c:pt idx="3">
                  <c:v>351.78025158678065</c:v>
                </c:pt>
                <c:pt idx="4">
                  <c:v>354.60599805413221</c:v>
                </c:pt>
                <c:pt idx="5">
                  <c:v>355.54791333345929</c:v>
                </c:pt>
                <c:pt idx="6">
                  <c:v>354.60599805413221</c:v>
                </c:pt>
                <c:pt idx="7">
                  <c:v>351.78025158678065</c:v>
                </c:pt>
                <c:pt idx="8">
                  <c:v>347.07067205420753</c:v>
                </c:pt>
                <c:pt idx="9">
                  <c:v>340.47725632047513</c:v>
                </c:pt>
                <c:pt idx="10">
                  <c:v>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A0-439C-87AB-CA004A64EB22}"/>
            </c:ext>
          </c:extLst>
        </c:ser>
        <c:ser>
          <c:idx val="5"/>
          <c:order val="5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Auxiliar!$G$1:$G$101</c:f>
              <c:numCache>
                <c:formatCode>General</c:formatCode>
                <c:ptCount val="101"/>
                <c:pt idx="0">
                  <c:v>340</c:v>
                </c:pt>
                <c:pt idx="1">
                  <c:v>348.47725632047513</c:v>
                </c:pt>
                <c:pt idx="2">
                  <c:v>355.07067205420753</c:v>
                </c:pt>
                <c:pt idx="3">
                  <c:v>359.78025158678065</c:v>
                </c:pt>
                <c:pt idx="4">
                  <c:v>362.60599805413221</c:v>
                </c:pt>
                <c:pt idx="5">
                  <c:v>363.54791333345929</c:v>
                </c:pt>
                <c:pt idx="6">
                  <c:v>362.60599805413221</c:v>
                </c:pt>
                <c:pt idx="7">
                  <c:v>359.78025158678065</c:v>
                </c:pt>
                <c:pt idx="8">
                  <c:v>355.07067205420753</c:v>
                </c:pt>
                <c:pt idx="9">
                  <c:v>348.47725632047513</c:v>
                </c:pt>
                <c:pt idx="10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A0-439C-87AB-CA004A64EB22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Auxiliar!$H$1:$H$101</c:f>
              <c:numCache>
                <c:formatCode>General</c:formatCode>
                <c:ptCount val="101"/>
                <c:pt idx="0">
                  <c:v>348</c:v>
                </c:pt>
                <c:pt idx="1">
                  <c:v>356.47725632047513</c:v>
                </c:pt>
                <c:pt idx="2">
                  <c:v>363.07067205420753</c:v>
                </c:pt>
                <c:pt idx="3">
                  <c:v>367.78025158678065</c:v>
                </c:pt>
                <c:pt idx="4">
                  <c:v>370.60599805413221</c:v>
                </c:pt>
                <c:pt idx="5">
                  <c:v>371.54791333345929</c:v>
                </c:pt>
                <c:pt idx="6">
                  <c:v>370.60599805413221</c:v>
                </c:pt>
                <c:pt idx="7">
                  <c:v>367.78025158678065</c:v>
                </c:pt>
                <c:pt idx="8">
                  <c:v>363.07067205420753</c:v>
                </c:pt>
                <c:pt idx="9">
                  <c:v>356.47725632047513</c:v>
                </c:pt>
                <c:pt idx="10">
                  <c:v>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A0-439C-87AB-CA004A64EB22}"/>
            </c:ext>
          </c:extLst>
        </c:ser>
        <c:ser>
          <c:idx val="7"/>
          <c:order val="7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Auxiliar!$I$1:$I$101</c:f>
              <c:numCache>
                <c:formatCode>General</c:formatCode>
                <c:ptCount val="101"/>
                <c:pt idx="0">
                  <c:v>356</c:v>
                </c:pt>
                <c:pt idx="1">
                  <c:v>364.47725632047513</c:v>
                </c:pt>
                <c:pt idx="2">
                  <c:v>371.07067205420753</c:v>
                </c:pt>
                <c:pt idx="3">
                  <c:v>375.78025158678065</c:v>
                </c:pt>
                <c:pt idx="4">
                  <c:v>378.60599805413221</c:v>
                </c:pt>
                <c:pt idx="5">
                  <c:v>379.54791333345929</c:v>
                </c:pt>
                <c:pt idx="6">
                  <c:v>378.60599805413221</c:v>
                </c:pt>
                <c:pt idx="7">
                  <c:v>375.78025158678065</c:v>
                </c:pt>
                <c:pt idx="8">
                  <c:v>371.07067205420753</c:v>
                </c:pt>
                <c:pt idx="9">
                  <c:v>364.47725632047513</c:v>
                </c:pt>
                <c:pt idx="10">
                  <c:v>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A0-439C-87AB-CA004A64EB22}"/>
            </c:ext>
          </c:extLst>
        </c:ser>
        <c:ser>
          <c:idx val="8"/>
          <c:order val="8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Auxiliar!$J$1:$J$101</c:f>
              <c:numCache>
                <c:formatCode>General</c:formatCode>
                <c:ptCount val="101"/>
                <c:pt idx="0">
                  <c:v>364</c:v>
                </c:pt>
                <c:pt idx="1">
                  <c:v>372.47725632047513</c:v>
                </c:pt>
                <c:pt idx="2">
                  <c:v>379.07067205420753</c:v>
                </c:pt>
                <c:pt idx="3">
                  <c:v>383.78025158678065</c:v>
                </c:pt>
                <c:pt idx="4">
                  <c:v>386.60599805413221</c:v>
                </c:pt>
                <c:pt idx="5">
                  <c:v>387.54791333345929</c:v>
                </c:pt>
                <c:pt idx="6">
                  <c:v>386.60599805413221</c:v>
                </c:pt>
                <c:pt idx="7">
                  <c:v>383.78025158678065</c:v>
                </c:pt>
                <c:pt idx="8">
                  <c:v>379.07067205420753</c:v>
                </c:pt>
                <c:pt idx="9">
                  <c:v>372.47725632047513</c:v>
                </c:pt>
                <c:pt idx="10">
                  <c:v>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A0-439C-87AB-CA004A64EB22}"/>
            </c:ext>
          </c:extLst>
        </c:ser>
        <c:ser>
          <c:idx val="9"/>
          <c:order val="9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Auxiliar!$K$1:$K$101</c:f>
              <c:numCache>
                <c:formatCode>General</c:formatCode>
                <c:ptCount val="101"/>
                <c:pt idx="0">
                  <c:v>372</c:v>
                </c:pt>
                <c:pt idx="1">
                  <c:v>380.47725632047513</c:v>
                </c:pt>
                <c:pt idx="2">
                  <c:v>387.07067205420753</c:v>
                </c:pt>
                <c:pt idx="3">
                  <c:v>391.78025158678065</c:v>
                </c:pt>
                <c:pt idx="4">
                  <c:v>394.60599805413221</c:v>
                </c:pt>
                <c:pt idx="5">
                  <c:v>395.54791333345929</c:v>
                </c:pt>
                <c:pt idx="6">
                  <c:v>394.60599805413221</c:v>
                </c:pt>
                <c:pt idx="7">
                  <c:v>391.78025158678065</c:v>
                </c:pt>
                <c:pt idx="8">
                  <c:v>387.07067205420753</c:v>
                </c:pt>
                <c:pt idx="9">
                  <c:v>380.47725632047513</c:v>
                </c:pt>
                <c:pt idx="10">
                  <c:v>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A0-439C-87AB-CA004A64EB22}"/>
            </c:ext>
          </c:extLst>
        </c:ser>
        <c:ser>
          <c:idx val="10"/>
          <c:order val="1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Auxiliar!$A$1:$A$101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Auxiliar!$L$1:$L$101</c:f>
              <c:numCache>
                <c:formatCode>General</c:formatCode>
                <c:ptCount val="101"/>
                <c:pt idx="0">
                  <c:v>380</c:v>
                </c:pt>
                <c:pt idx="1">
                  <c:v>388.47725632047513</c:v>
                </c:pt>
                <c:pt idx="2">
                  <c:v>395.07067205420753</c:v>
                </c:pt>
                <c:pt idx="3">
                  <c:v>399.78025158678065</c:v>
                </c:pt>
                <c:pt idx="4">
                  <c:v>402.60599805413221</c:v>
                </c:pt>
                <c:pt idx="5">
                  <c:v>403.54791333345929</c:v>
                </c:pt>
                <c:pt idx="6">
                  <c:v>402.60599805413221</c:v>
                </c:pt>
                <c:pt idx="7">
                  <c:v>399.78025158678065</c:v>
                </c:pt>
                <c:pt idx="8">
                  <c:v>395.07067205420753</c:v>
                </c:pt>
                <c:pt idx="9">
                  <c:v>388.47725632047513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A0-439C-87AB-CA004A64EB22}"/>
            </c:ext>
          </c:extLst>
        </c:ser>
        <c:ser>
          <c:idx val="11"/>
          <c:order val="11"/>
          <c:tx>
            <c:v>Terreno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Dados!$C$2:$C$1048576</c:f>
              <c:numCache>
                <c:formatCode>#,##0.00" m"</c:formatCode>
                <c:ptCount val="1048575"/>
                <c:pt idx="0">
                  <c:v>315</c:v>
                </c:pt>
                <c:pt idx="1">
                  <c:v>330.30222011650039</c:v>
                </c:pt>
                <c:pt idx="2">
                  <c:v>317.66094112099381</c:v>
                </c:pt>
                <c:pt idx="3">
                  <c:v>352.0761706623307</c:v>
                </c:pt>
                <c:pt idx="4">
                  <c:v>328.54791333345929</c:v>
                </c:pt>
                <c:pt idx="5">
                  <c:v>347.0761706623307</c:v>
                </c:pt>
                <c:pt idx="6">
                  <c:v>332.66094112099381</c:v>
                </c:pt>
                <c:pt idx="7">
                  <c:v>345.30222011650039</c:v>
                </c:pt>
                <c:pt idx="8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8A0-439C-87AB-CA004A64EB22}"/>
            </c:ext>
          </c:extLst>
        </c:ser>
        <c:ser>
          <c:idx val="13"/>
          <c:order val="12"/>
          <c:tx>
            <c:v>fresnel_cima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Auxiliar!$U$1:$U$11</c:f>
              <c:numCache>
                <c:formatCode>General</c:formatCode>
                <c:ptCount val="11"/>
                <c:pt idx="0">
                  <c:v>0</c:v>
                </c:pt>
                <c:pt idx="1">
                  <c:v>-4.3321364778617433</c:v>
                </c:pt>
                <c:pt idx="2">
                  <c:v>-3.1095153038156571</c:v>
                </c:pt>
                <c:pt idx="3">
                  <c:v>-0.727548703501391</c:v>
                </c:pt>
                <c:pt idx="4">
                  <c:v>2.393678108005405</c:v>
                </c:pt>
                <c:pt idx="5">
                  <c:v>6.1131058702304308</c:v>
                </c:pt>
                <c:pt idx="6">
                  <c:v>10.393678108005405</c:v>
                </c:pt>
                <c:pt idx="7">
                  <c:v>15.272451296498609</c:v>
                </c:pt>
                <c:pt idx="8">
                  <c:v>20.890484696184345</c:v>
                </c:pt>
                <c:pt idx="9">
                  <c:v>27.667863522138255</c:v>
                </c:pt>
                <c:pt idx="10">
                  <c:v>40</c:v>
                </c:pt>
              </c:numCache>
            </c:numRef>
          </c:xVal>
          <c:yVal>
            <c:numRef>
              <c:f>Auxiliar!$V$1:$V$11</c:f>
              <c:numCache>
                <c:formatCode>General</c:formatCode>
                <c:ptCount val="11"/>
                <c:pt idx="0">
                  <c:v>350</c:v>
                </c:pt>
                <c:pt idx="1">
                  <c:v>364.10951530381567</c:v>
                </c:pt>
                <c:pt idx="2">
                  <c:v>370.81268707175423</c:v>
                </c:pt>
                <c:pt idx="3">
                  <c:v>375.97006493800188</c:v>
                </c:pt>
                <c:pt idx="4">
                  <c:v>380.14176252265946</c:v>
                </c:pt>
                <c:pt idx="5">
                  <c:v>383.51585883969278</c:v>
                </c:pt>
                <c:pt idx="6">
                  <c:v>386.14176252265946</c:v>
                </c:pt>
                <c:pt idx="7">
                  <c:v>387.97006493800188</c:v>
                </c:pt>
                <c:pt idx="8">
                  <c:v>388.81268707175423</c:v>
                </c:pt>
                <c:pt idx="9">
                  <c:v>388.10951530381567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B-4BC6-9765-AA71B5388759}"/>
            </c:ext>
          </c:extLst>
        </c:ser>
        <c:ser>
          <c:idx val="12"/>
          <c:order val="13"/>
          <c:tx>
            <c:v>LoS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8A0-439C-87AB-CA004A64EB22}"/>
              </c:ext>
            </c:extLst>
          </c:dPt>
          <c:xVal>
            <c:numRef>
              <c:f>Dados!$G$3:$G$4</c:f>
              <c:numCache>
                <c:formatCode>#,##0.00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Dados!$J$3:$J$4</c:f>
              <c:numCache>
                <c:formatCode>#,##0.00</c:formatCode>
                <c:ptCount val="2"/>
                <c:pt idx="0">
                  <c:v>350</c:v>
                </c:pt>
                <c:pt idx="1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8A0-439C-87AB-CA004A64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09408"/>
        <c:axId val="1545902528"/>
      </c:scatterChart>
      <c:valAx>
        <c:axId val="14621094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902528"/>
        <c:crosses val="autoZero"/>
        <c:crossBetween val="midCat"/>
      </c:valAx>
      <c:valAx>
        <c:axId val="15459025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1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E1F663-31AA-4655-A447-D44D74E8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1</xdr:row>
      <xdr:rowOff>28575</xdr:rowOff>
    </xdr:from>
    <xdr:to>
      <xdr:col>16</xdr:col>
      <xdr:colOff>506028</xdr:colOff>
      <xdr:row>28</xdr:row>
      <xdr:rowOff>153135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D8E447-FCDF-47A9-8D71-D80B5F5A7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219075"/>
          <a:ext cx="8621328" cy="5268060"/>
        </a:xfrm>
        <a:prstGeom prst="rect">
          <a:avLst/>
        </a:prstGeom>
      </xdr:spPr>
    </xdr:pic>
    <xdr:clientData/>
  </xdr:twoCellAnchor>
  <xdr:twoCellAnchor>
    <xdr:from>
      <xdr:col>3</xdr:col>
      <xdr:colOff>276225</xdr:colOff>
      <xdr:row>23</xdr:row>
      <xdr:rowOff>47625</xdr:rowOff>
    </xdr:from>
    <xdr:to>
      <xdr:col>3</xdr:col>
      <xdr:colOff>381000</xdr:colOff>
      <xdr:row>23</xdr:row>
      <xdr:rowOff>152400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89AC62B-03B5-44D1-93DE-015FF2FC322A}"/>
            </a:ext>
          </a:extLst>
        </xdr:cNvPr>
        <xdr:cNvSpPr/>
      </xdr:nvSpPr>
      <xdr:spPr>
        <a:xfrm>
          <a:off x="2105025" y="442912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28575</xdr:colOff>
      <xdr:row>19</xdr:row>
      <xdr:rowOff>114300</xdr:rowOff>
    </xdr:from>
    <xdr:to>
      <xdr:col>5</xdr:col>
      <xdr:colOff>133350</xdr:colOff>
      <xdr:row>20</xdr:row>
      <xdr:rowOff>28575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109AB15-DA52-4271-8048-3A3EE042E217}"/>
            </a:ext>
          </a:extLst>
        </xdr:cNvPr>
        <xdr:cNvSpPr/>
      </xdr:nvSpPr>
      <xdr:spPr>
        <a:xfrm>
          <a:off x="3076575" y="3733800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409575</xdr:colOff>
      <xdr:row>22</xdr:row>
      <xdr:rowOff>123825</xdr:rowOff>
    </xdr:from>
    <xdr:to>
      <xdr:col>6</xdr:col>
      <xdr:colOff>514350</xdr:colOff>
      <xdr:row>23</xdr:row>
      <xdr:rowOff>38100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4E76B92-65BD-46A4-9BA7-E714FB0BD77F}"/>
            </a:ext>
          </a:extLst>
        </xdr:cNvPr>
        <xdr:cNvSpPr/>
      </xdr:nvSpPr>
      <xdr:spPr>
        <a:xfrm>
          <a:off x="4067175" y="431482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171450</xdr:colOff>
      <xdr:row>14</xdr:row>
      <xdr:rowOff>76200</xdr:rowOff>
    </xdr:from>
    <xdr:to>
      <xdr:col>8</xdr:col>
      <xdr:colOff>276225</xdr:colOff>
      <xdr:row>14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52B12499-EDFF-4CBE-8A93-2B827D018E80}"/>
            </a:ext>
          </a:extLst>
        </xdr:cNvPr>
        <xdr:cNvSpPr/>
      </xdr:nvSpPr>
      <xdr:spPr>
        <a:xfrm>
          <a:off x="5048250" y="2743200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552450</xdr:colOff>
      <xdr:row>20</xdr:row>
      <xdr:rowOff>9525</xdr:rowOff>
    </xdr:from>
    <xdr:to>
      <xdr:col>10</xdr:col>
      <xdr:colOff>47625</xdr:colOff>
      <xdr:row>20</xdr:row>
      <xdr:rowOff>114300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BF3E61-9329-404E-8AEB-4E46E19A1127}"/>
            </a:ext>
          </a:extLst>
        </xdr:cNvPr>
        <xdr:cNvSpPr/>
      </xdr:nvSpPr>
      <xdr:spPr>
        <a:xfrm>
          <a:off x="6038850" y="381952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314325</xdr:colOff>
      <xdr:row>15</xdr:row>
      <xdr:rowOff>123825</xdr:rowOff>
    </xdr:from>
    <xdr:to>
      <xdr:col>11</xdr:col>
      <xdr:colOff>419100</xdr:colOff>
      <xdr:row>16</xdr:row>
      <xdr:rowOff>38100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CA5AE5C1-C8AF-4FE6-ACB8-28485A59E08F}"/>
            </a:ext>
          </a:extLst>
        </xdr:cNvPr>
        <xdr:cNvSpPr/>
      </xdr:nvSpPr>
      <xdr:spPr>
        <a:xfrm>
          <a:off x="7019925" y="298132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76200</xdr:colOff>
      <xdr:row>19</xdr:row>
      <xdr:rowOff>28575</xdr:rowOff>
    </xdr:from>
    <xdr:to>
      <xdr:col>13</xdr:col>
      <xdr:colOff>180975</xdr:colOff>
      <xdr:row>19</xdr:row>
      <xdr:rowOff>133350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63748969-90A4-46EA-BD37-FF44A59A964A}"/>
            </a:ext>
          </a:extLst>
        </xdr:cNvPr>
        <xdr:cNvSpPr/>
      </xdr:nvSpPr>
      <xdr:spPr>
        <a:xfrm>
          <a:off x="8001000" y="364807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438150</xdr:colOff>
      <xdr:row>16</xdr:row>
      <xdr:rowOff>19050</xdr:rowOff>
    </xdr:from>
    <xdr:to>
      <xdr:col>14</xdr:col>
      <xdr:colOff>542925</xdr:colOff>
      <xdr:row>16</xdr:row>
      <xdr:rowOff>123825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7E97AF8-9063-47DF-8ECD-761D07F2EEE6}"/>
            </a:ext>
          </a:extLst>
        </xdr:cNvPr>
        <xdr:cNvSpPr/>
      </xdr:nvSpPr>
      <xdr:spPr>
        <a:xfrm>
          <a:off x="8972550" y="3067050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219075</xdr:colOff>
      <xdr:row>19</xdr:row>
      <xdr:rowOff>104775</xdr:rowOff>
    </xdr:from>
    <xdr:to>
      <xdr:col>16</xdr:col>
      <xdr:colOff>323850</xdr:colOff>
      <xdr:row>20</xdr:row>
      <xdr:rowOff>19050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9C16728-F130-4EBE-BDAA-E970B09823C2}"/>
            </a:ext>
          </a:extLst>
        </xdr:cNvPr>
        <xdr:cNvSpPr/>
      </xdr:nvSpPr>
      <xdr:spPr>
        <a:xfrm>
          <a:off x="9972675" y="3724275"/>
          <a:ext cx="104775" cy="104775"/>
        </a:xfrm>
        <a:prstGeom prst="ellipse">
          <a:avLst/>
        </a:prstGeom>
        <a:solidFill>
          <a:schemeClr val="accent2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276225</xdr:colOff>
      <xdr:row>14</xdr:row>
      <xdr:rowOff>161925</xdr:rowOff>
    </xdr:from>
    <xdr:to>
      <xdr:col>3</xdr:col>
      <xdr:colOff>381000</xdr:colOff>
      <xdr:row>15</xdr:row>
      <xdr:rowOff>76200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7D759EEA-6EE4-4BCA-93E6-DA6CC17AF337}"/>
            </a:ext>
          </a:extLst>
        </xdr:cNvPr>
        <xdr:cNvSpPr/>
      </xdr:nvSpPr>
      <xdr:spPr>
        <a:xfrm>
          <a:off x="2105025" y="2828925"/>
          <a:ext cx="104775" cy="104775"/>
        </a:xfrm>
        <a:prstGeom prst="ellipse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219075</xdr:colOff>
      <xdr:row>9</xdr:row>
      <xdr:rowOff>180975</xdr:rowOff>
    </xdr:from>
    <xdr:to>
      <xdr:col>16</xdr:col>
      <xdr:colOff>323850</xdr:colOff>
      <xdr:row>10</xdr:row>
      <xdr:rowOff>95250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593AA0C3-00F1-4360-A6E2-C8461CA5ACF7}"/>
            </a:ext>
          </a:extLst>
        </xdr:cNvPr>
        <xdr:cNvSpPr/>
      </xdr:nvSpPr>
      <xdr:spPr>
        <a:xfrm>
          <a:off x="9972675" y="1895475"/>
          <a:ext cx="104775" cy="104775"/>
        </a:xfrm>
        <a:prstGeom prst="ellipse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381000</xdr:colOff>
      <xdr:row>10</xdr:row>
      <xdr:rowOff>42863</xdr:rowOff>
    </xdr:from>
    <xdr:to>
      <xdr:col>16</xdr:col>
      <xdr:colOff>219075</xdr:colOff>
      <xdr:row>15</xdr:row>
      <xdr:rowOff>23813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467C8076-964B-4F4A-8AF7-3A5433EA10EC}"/>
            </a:ext>
          </a:extLst>
        </xdr:cNvPr>
        <xdr:cNvCxnSpPr>
          <a:stCxn id="14" idx="6"/>
          <a:endCxn id="16" idx="2"/>
        </xdr:cNvCxnSpPr>
      </xdr:nvCxnSpPr>
      <xdr:spPr>
        <a:xfrm flipV="1">
          <a:off x="2207012" y="1947863"/>
          <a:ext cx="7750795" cy="933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321880</xdr:colOff>
      <xdr:row>14</xdr:row>
      <xdr:rowOff>127053</xdr:rowOff>
    </xdr:from>
    <xdr:to>
      <xdr:col>16</xdr:col>
      <xdr:colOff>275896</xdr:colOff>
      <xdr:row>23</xdr:row>
      <xdr:rowOff>98534</xdr:rowOff>
    </xdr:to>
    <xdr:sp macro="" textlink="">
      <xdr:nvSpPr>
        <xdr:cNvPr id="26" name="Forma Livre: Forma 25">
          <a:extLst>
            <a:ext uri="{FF2B5EF4-FFF2-40B4-BE49-F238E27FC236}">
              <a16:creationId xmlns:a16="http://schemas.microsoft.com/office/drawing/2014/main" id="{C51AFC66-83D7-4DC0-8161-306B4092A623}"/>
            </a:ext>
          </a:extLst>
        </xdr:cNvPr>
        <xdr:cNvSpPr/>
      </xdr:nvSpPr>
      <xdr:spPr>
        <a:xfrm>
          <a:off x="2154621" y="2794053"/>
          <a:ext cx="7895896" cy="1685981"/>
        </a:xfrm>
        <a:custGeom>
          <a:avLst/>
          <a:gdLst>
            <a:gd name="connsiteX0" fmla="*/ 0 w 7895896"/>
            <a:gd name="connsiteY0" fmla="*/ 1685981 h 1685981"/>
            <a:gd name="connsiteX1" fmla="*/ 978776 w 7895896"/>
            <a:gd name="connsiteY1" fmla="*/ 989671 h 1685981"/>
            <a:gd name="connsiteX2" fmla="*/ 1970689 w 7895896"/>
            <a:gd name="connsiteY2" fmla="*/ 1567740 h 1685981"/>
            <a:gd name="connsiteX3" fmla="*/ 2962603 w 7895896"/>
            <a:gd name="connsiteY3" fmla="*/ 4326 h 1685981"/>
            <a:gd name="connsiteX4" fmla="*/ 3947948 w 7895896"/>
            <a:gd name="connsiteY4" fmla="*/ 1075068 h 1685981"/>
            <a:gd name="connsiteX5" fmla="*/ 4933293 w 7895896"/>
            <a:gd name="connsiteY5" fmla="*/ 240809 h 1685981"/>
            <a:gd name="connsiteX6" fmla="*/ 5918638 w 7895896"/>
            <a:gd name="connsiteY6" fmla="*/ 910844 h 1685981"/>
            <a:gd name="connsiteX7" fmla="*/ 6890845 w 7895896"/>
            <a:gd name="connsiteY7" fmla="*/ 326206 h 1685981"/>
            <a:gd name="connsiteX8" fmla="*/ 7895896 w 7895896"/>
            <a:gd name="connsiteY8" fmla="*/ 983102 h 16859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895896" h="1685981">
              <a:moveTo>
                <a:pt x="0" y="1685981"/>
              </a:moveTo>
              <a:cubicBezTo>
                <a:pt x="325164" y="1347679"/>
                <a:pt x="650328" y="1009378"/>
                <a:pt x="978776" y="989671"/>
              </a:cubicBezTo>
              <a:cubicBezTo>
                <a:pt x="1307224" y="969964"/>
                <a:pt x="1640051" y="1731964"/>
                <a:pt x="1970689" y="1567740"/>
              </a:cubicBezTo>
              <a:cubicBezTo>
                <a:pt x="2301327" y="1403516"/>
                <a:pt x="2633060" y="86438"/>
                <a:pt x="2962603" y="4326"/>
              </a:cubicBezTo>
              <a:cubicBezTo>
                <a:pt x="3292146" y="-77786"/>
                <a:pt x="3619500" y="1035654"/>
                <a:pt x="3947948" y="1075068"/>
              </a:cubicBezTo>
              <a:cubicBezTo>
                <a:pt x="4276396" y="1114482"/>
                <a:pt x="4604845" y="268180"/>
                <a:pt x="4933293" y="240809"/>
              </a:cubicBezTo>
              <a:cubicBezTo>
                <a:pt x="5261741" y="213438"/>
                <a:pt x="5592379" y="896611"/>
                <a:pt x="5918638" y="910844"/>
              </a:cubicBezTo>
              <a:cubicBezTo>
                <a:pt x="6244897" y="925077"/>
                <a:pt x="6561302" y="314163"/>
                <a:pt x="6890845" y="326206"/>
              </a:cubicBezTo>
              <a:cubicBezTo>
                <a:pt x="7220388" y="338249"/>
                <a:pt x="7846629" y="847343"/>
                <a:pt x="7895896" y="983102"/>
              </a:cubicBez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F12B-FC4A-4C23-B1A0-989843709322}">
  <dimension ref="A1:Q10"/>
  <sheetViews>
    <sheetView topLeftCell="F1" workbookViewId="0">
      <selection activeCell="J6" sqref="J6"/>
    </sheetView>
  </sheetViews>
  <sheetFormatPr defaultRowHeight="15" x14ac:dyDescent="0.25"/>
  <cols>
    <col min="3" max="4" width="9.140625" style="19"/>
    <col min="6" max="9" width="10" customWidth="1"/>
    <col min="12" max="12" width="10.85546875" bestFit="1" customWidth="1"/>
    <col min="15" max="16" width="17.85546875" customWidth="1"/>
    <col min="17" max="17" width="11.85546875" bestFit="1" customWidth="1"/>
  </cols>
  <sheetData>
    <row r="1" spans="1:17" x14ac:dyDescent="0.25">
      <c r="A1" s="16" t="s">
        <v>1</v>
      </c>
      <c r="B1" s="16" t="s">
        <v>0</v>
      </c>
      <c r="C1" s="17" t="s">
        <v>2</v>
      </c>
      <c r="D1" s="17" t="s">
        <v>10</v>
      </c>
    </row>
    <row r="2" spans="1:17" x14ac:dyDescent="0.25">
      <c r="A2" s="2">
        <v>0</v>
      </c>
      <c r="B2" s="2">
        <v>315</v>
      </c>
      <c r="C2" s="18">
        <f>((SQRT(POWER($M$4,2)-POWER(A2-($M$5/2),2))-$O$4)*1000)+B2</f>
        <v>315</v>
      </c>
      <c r="D2" s="18">
        <f>$G$7*A2+$G$8-C2</f>
        <v>35</v>
      </c>
      <c r="F2" s="1"/>
      <c r="G2" s="6" t="s">
        <v>9</v>
      </c>
      <c r="H2" s="6" t="s">
        <v>6</v>
      </c>
      <c r="I2" s="6" t="s">
        <v>11</v>
      </c>
      <c r="J2" s="6" t="s">
        <v>7</v>
      </c>
      <c r="L2" s="4" t="s">
        <v>5</v>
      </c>
      <c r="M2" s="5">
        <v>1.3333333333333333</v>
      </c>
      <c r="O2" s="9">
        <f>MAX(C:C,J3:J4)</f>
        <v>380</v>
      </c>
      <c r="P2" s="11">
        <f>MIN(B:B,J3:J4)</f>
        <v>300</v>
      </c>
      <c r="Q2" s="10">
        <f>O2-P2</f>
        <v>80</v>
      </c>
    </row>
    <row r="3" spans="1:17" x14ac:dyDescent="0.25">
      <c r="A3" s="2">
        <v>5</v>
      </c>
      <c r="B3" s="2">
        <v>320</v>
      </c>
      <c r="C3" s="18">
        <f>((SQRT(POWER($M$4,2)-POWER(A3-($M$5/2),2))-$O$4)*1000)+B3</f>
        <v>330.30222011650039</v>
      </c>
      <c r="D3" s="18">
        <f>$G$7*A3+$G$8-C3</f>
        <v>23.447779883499607</v>
      </c>
      <c r="F3" s="4" t="s">
        <v>3</v>
      </c>
      <c r="G3" s="21">
        <f>MIN(A:A)</f>
        <v>0</v>
      </c>
      <c r="H3" s="22">
        <v>35</v>
      </c>
      <c r="I3" s="23">
        <f>VLOOKUP(G3,A:C,3,FALSE)</f>
        <v>315</v>
      </c>
      <c r="J3" s="21">
        <f>I3+H3</f>
        <v>350</v>
      </c>
      <c r="L3" s="4" t="s">
        <v>16</v>
      </c>
      <c r="M3" s="20">
        <v>7</v>
      </c>
      <c r="O3" s="8">
        <f>((2*POWER(M4,2))-POWER(M5,2))/(2*POWER(M4,2))</f>
        <v>0.99998890994629952</v>
      </c>
      <c r="P3" s="12">
        <f>DEGREES(ACOS(O3))</f>
        <v>0.26983908538895762</v>
      </c>
    </row>
    <row r="4" spans="1:17" x14ac:dyDescent="0.25">
      <c r="A4" s="2">
        <v>10</v>
      </c>
      <c r="B4" s="2">
        <v>300</v>
      </c>
      <c r="C4" s="18">
        <f>((SQRT(POWER($M$4,2)-POWER(A4-($M$5/2),2))-$O$4)*1000)+B4</f>
        <v>317.66094112099381</v>
      </c>
      <c r="D4" s="18">
        <f>$G$7*A4+$G$8-C4</f>
        <v>39.839058879006188</v>
      </c>
      <c r="F4" s="4" t="s">
        <v>4</v>
      </c>
      <c r="G4" s="21">
        <f>MAX(A:A)</f>
        <v>40</v>
      </c>
      <c r="H4" s="22">
        <v>50</v>
      </c>
      <c r="I4" s="23">
        <f>VLOOKUP(G4,A:C,3,FALSE)</f>
        <v>330</v>
      </c>
      <c r="J4" s="21">
        <f>I4+H4</f>
        <v>380</v>
      </c>
      <c r="L4" s="4" t="s">
        <v>8</v>
      </c>
      <c r="M4" s="21">
        <f>M2*6370</f>
        <v>8493.3333333333321</v>
      </c>
      <c r="O4" s="7">
        <f>SQRT(POWER(M4,2)-POWER(M5/2,2))</f>
        <v>8493.3097854199987</v>
      </c>
    </row>
    <row r="5" spans="1:17" x14ac:dyDescent="0.25">
      <c r="A5" s="2">
        <v>15</v>
      </c>
      <c r="B5" s="2">
        <v>330</v>
      </c>
      <c r="C5" s="18">
        <f>((SQRT(POWER($M$4,2)-POWER(A5-($M$5/2),2))-$O$4)*1000)+B5</f>
        <v>352.0761706623307</v>
      </c>
      <c r="D5" s="18">
        <f>$G$7*A5+$G$8-C5</f>
        <v>9.1738293376693036</v>
      </c>
      <c r="L5" s="4" t="s">
        <v>12</v>
      </c>
      <c r="M5" s="3">
        <f>MAX(A:A)</f>
        <v>40</v>
      </c>
    </row>
    <row r="6" spans="1:17" x14ac:dyDescent="0.25">
      <c r="A6" s="2">
        <v>20</v>
      </c>
      <c r="B6" s="2">
        <v>305</v>
      </c>
      <c r="C6" s="18">
        <f>((SQRT(POWER($M$4,2)-POWER(A6-($M$5/2),2))-$O$4)*1000)+B6</f>
        <v>328.54791333345929</v>
      </c>
      <c r="D6" s="18">
        <f>$G$7*A6+$G$8-C6</f>
        <v>36.452086666540708</v>
      </c>
      <c r="L6" s="4" t="s">
        <v>13</v>
      </c>
      <c r="M6" s="3">
        <f>SQRT(POWER(G3-G4,2)+POWER(J3-J4,2))</f>
        <v>50</v>
      </c>
    </row>
    <row r="7" spans="1:17" x14ac:dyDescent="0.25">
      <c r="A7" s="2">
        <v>25</v>
      </c>
      <c r="B7" s="2">
        <v>325</v>
      </c>
      <c r="C7" s="18">
        <f>((SQRT(POWER($M$4,2)-POWER(A7-($M$5/2),2))-$O$4)*1000)+B7</f>
        <v>347.0761706623307</v>
      </c>
      <c r="D7" s="18">
        <f>$G$7*A7+$G$8-C7</f>
        <v>21.673829337669304</v>
      </c>
      <c r="G7" s="13">
        <f>(J4-J3)/(G4-G3)</f>
        <v>0.75</v>
      </c>
      <c r="L7" s="4" t="s">
        <v>14</v>
      </c>
      <c r="M7" s="15">
        <f>-MIN(D:D)</f>
        <v>-9.1738293376693036</v>
      </c>
    </row>
    <row r="8" spans="1:17" x14ac:dyDescent="0.25">
      <c r="A8" s="2">
        <v>30</v>
      </c>
      <c r="B8" s="2">
        <v>315</v>
      </c>
      <c r="C8" s="18">
        <f>((SQRT(POWER($M$4,2)-POWER(A8-($M$5/2),2))-$O$4)*1000)+B8</f>
        <v>332.66094112099381</v>
      </c>
      <c r="D8" s="18">
        <f>$G$7*A8+$G$8-C8</f>
        <v>39.839058879006188</v>
      </c>
      <c r="G8" s="14">
        <f>(J4*G3-J3*G4)/(G3-G4)</f>
        <v>350</v>
      </c>
      <c r="L8" s="4" t="s">
        <v>15</v>
      </c>
      <c r="M8" s="15">
        <f>-(J3-C5-((15/40)*(J3-J4))-((25*15)/(2*M4*1000)))</f>
        <v>-9.1738072615311559</v>
      </c>
    </row>
    <row r="9" spans="1:17" x14ac:dyDescent="0.25">
      <c r="A9" s="2">
        <v>35</v>
      </c>
      <c r="B9" s="2">
        <v>335</v>
      </c>
      <c r="C9" s="18">
        <f>((SQRT(POWER($M$4,2)-POWER(A9-($M$5/2),2))-$O$4)*1000)+B9</f>
        <v>345.30222011650039</v>
      </c>
      <c r="D9" s="18">
        <f>$G$7*A9+$G$8-C9</f>
        <v>30.947779883499607</v>
      </c>
    </row>
    <row r="10" spans="1:17" x14ac:dyDescent="0.25">
      <c r="A10" s="2">
        <v>40</v>
      </c>
      <c r="B10" s="2">
        <v>330</v>
      </c>
      <c r="C10" s="18">
        <f>((SQRT(POWER($M$4,2)-POWER(A10-($M$5/2),2))-$O$4)*1000)+B10</f>
        <v>330</v>
      </c>
      <c r="D10" s="18">
        <f>$G$7*A10+$G$8-C10</f>
        <v>50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1D14-7D70-4D86-811B-99522A3E92D8}">
  <dimension ref="A1:V11"/>
  <sheetViews>
    <sheetView tabSelected="1" topLeftCell="L1" workbookViewId="0">
      <selection activeCell="S2" sqref="S2"/>
    </sheetView>
  </sheetViews>
  <sheetFormatPr defaultRowHeight="15" x14ac:dyDescent="0.25"/>
  <sheetData>
    <row r="1" spans="1:22" x14ac:dyDescent="0.25">
      <c r="A1">
        <f>(ROW(B1)-1)*(Dados!$M$5/10)</f>
        <v>0</v>
      </c>
      <c r="B1">
        <f>((SQRT(POWER(Dados!$M$4,2)-POWER(A1-(Dados!$M$5/2),2))-Dados!$O$4)*1000)+Dados!$P$2</f>
        <v>300</v>
      </c>
      <c r="C1">
        <f>(COLUMN(A1)*(Dados!$Q$2/10))+$B1</f>
        <v>308</v>
      </c>
      <c r="D1">
        <f>(COLUMN(B1)*(Dados!$Q$2/10))+$B1</f>
        <v>316</v>
      </c>
      <c r="E1">
        <f>(COLUMN(C1)*(Dados!$Q$2/10))+$B1</f>
        <v>324</v>
      </c>
      <c r="F1">
        <f>(COLUMN(D1)*(Dados!$Q$2/10))+$B1</f>
        <v>332</v>
      </c>
      <c r="G1">
        <f>(COLUMN(E1)*(Dados!$Q$2/10))+$B1</f>
        <v>340</v>
      </c>
      <c r="H1">
        <f>(COLUMN(F1)*(Dados!$Q$2/10))+$B1</f>
        <v>348</v>
      </c>
      <c r="I1">
        <f>(COLUMN(G1)*(Dados!$Q$2/10))+$B1</f>
        <v>356</v>
      </c>
      <c r="J1">
        <f>(COLUMN(H1)*(Dados!$Q$2/10))+$B1</f>
        <v>364</v>
      </c>
      <c r="K1">
        <f>(COLUMN(I1)*(Dados!$Q$2/10))+$B1</f>
        <v>372</v>
      </c>
      <c r="L1">
        <f>(COLUMN(J1)*(Dados!$Q$2/10))+$B1</f>
        <v>380</v>
      </c>
      <c r="N1">
        <f>SQRT(POWER(P1,2)/(1+POWER(Dados!$G$7,2)))</f>
        <v>0</v>
      </c>
      <c r="O1">
        <f>SQRT(POWER(P1,2)-POWER(N1,2))+Dados!$G$8</f>
        <v>350</v>
      </c>
      <c r="P1">
        <f>Dados!$M$6/10*(ROW(M1)-1)</f>
        <v>0</v>
      </c>
      <c r="Q1">
        <f>Dados!$M$6-P1</f>
        <v>50</v>
      </c>
      <c r="R1">
        <f>17.32*SQRT((P1*Q1)/(Dados!$M$3*Dados!$M$6))</f>
        <v>0</v>
      </c>
      <c r="S1" s="24">
        <f>SQRT(POWER(R1,2)-POWER(T1,2))</f>
        <v>0</v>
      </c>
      <c r="T1" s="25">
        <f>SQRT(POWER(R1,2)/(1+POWER(Dados!$G$7,2)))</f>
        <v>0</v>
      </c>
      <c r="U1" s="24">
        <f>N1-S1</f>
        <v>0</v>
      </c>
      <c r="V1" s="25">
        <f>O1+T1</f>
        <v>350</v>
      </c>
    </row>
    <row r="2" spans="1:22" x14ac:dyDescent="0.25">
      <c r="A2">
        <f>(ROW(B2)-1)*(Dados!$M$5/10)</f>
        <v>4</v>
      </c>
      <c r="B2">
        <f>((SQRT(POWER(Dados!$M$4,2)-POWER(A2-(Dados!$M$5/2),2))-Dados!$O$4)*1000)+Dados!$P$2</f>
        <v>308.47725632047513</v>
      </c>
      <c r="C2">
        <f>(COLUMN(A2)*(Dados!$Q$2/10))+$B2</f>
        <v>316.47725632047513</v>
      </c>
      <c r="D2">
        <f>(COLUMN(B2)*(Dados!$Q$2/10))+$B2</f>
        <v>324.47725632047513</v>
      </c>
      <c r="E2">
        <f>(COLUMN(C2)*(Dados!$Q$2/10))+$B2</f>
        <v>332.47725632047513</v>
      </c>
      <c r="F2">
        <f>(COLUMN(D2)*(Dados!$Q$2/10))+$B2</f>
        <v>340.47725632047513</v>
      </c>
      <c r="G2">
        <f>(COLUMN(E2)*(Dados!$Q$2/10))+$B2</f>
        <v>348.47725632047513</v>
      </c>
      <c r="H2">
        <f>(COLUMN(F2)*(Dados!$Q$2/10))+$B2</f>
        <v>356.47725632047513</v>
      </c>
      <c r="I2">
        <f>(COLUMN(G2)*(Dados!$Q$2/10))+$B2</f>
        <v>364.47725632047513</v>
      </c>
      <c r="J2">
        <f>(COLUMN(H2)*(Dados!$Q$2/10))+$B2</f>
        <v>372.47725632047513</v>
      </c>
      <c r="K2">
        <f>(COLUMN(I2)*(Dados!$Q$2/10))+$B2</f>
        <v>380.47725632047513</v>
      </c>
      <c r="L2">
        <f>(COLUMN(J2)*(Dados!$Q$2/10))+$B2</f>
        <v>388.47725632047513</v>
      </c>
      <c r="N2">
        <f>SQRT(POWER(P2,2)/(1+POWER(Dados!$G$7,2)))</f>
        <v>4</v>
      </c>
      <c r="O2">
        <f>SQRT(POWER(P2,2)-POWER(N2,2))+Dados!$G$8</f>
        <v>353</v>
      </c>
      <c r="P2">
        <f>Dados!$M$6/10*(ROW(M2)-1)</f>
        <v>5</v>
      </c>
      <c r="Q2">
        <f>Dados!$M$6-P2</f>
        <v>45</v>
      </c>
      <c r="R2">
        <f>17.32*SQRT((P2*Q2)/(Dados!$M$3*Dados!$M$6))</f>
        <v>13.886894129769573</v>
      </c>
      <c r="S2" s="24">
        <f t="shared" ref="S2:S11" si="0">SQRT(POWER(R2,2)-POWER(T2,2))</f>
        <v>8.3321364778617433</v>
      </c>
      <c r="T2" s="25">
        <f>SQRT(POWER(R2,2)/(1+POWER(Dados!$G$7,2)))</f>
        <v>11.109515303815659</v>
      </c>
      <c r="U2" s="24">
        <f t="shared" ref="U2:U11" si="1">N2-S2</f>
        <v>-4.3321364778617433</v>
      </c>
      <c r="V2" s="25">
        <f t="shared" ref="V2:V11" si="2">O2+T2</f>
        <v>364.10951530381567</v>
      </c>
    </row>
    <row r="3" spans="1:22" x14ac:dyDescent="0.25">
      <c r="A3">
        <f>(ROW(B3)-1)*(Dados!$M$5/10)</f>
        <v>8</v>
      </c>
      <c r="B3">
        <f>((SQRT(POWER(Dados!$M$4,2)-POWER(A3-(Dados!$M$5/2),2))-Dados!$O$4)*1000)+Dados!$P$2</f>
        <v>315.07067205420753</v>
      </c>
      <c r="C3">
        <f>(COLUMN(A3)*(Dados!$Q$2/10))+$B3</f>
        <v>323.07067205420753</v>
      </c>
      <c r="D3">
        <f>(COLUMN(B3)*(Dados!$Q$2/10))+$B3</f>
        <v>331.07067205420753</v>
      </c>
      <c r="E3">
        <f>(COLUMN(C3)*(Dados!$Q$2/10))+$B3</f>
        <v>339.07067205420753</v>
      </c>
      <c r="F3">
        <f>(COLUMN(D3)*(Dados!$Q$2/10))+$B3</f>
        <v>347.07067205420753</v>
      </c>
      <c r="G3">
        <f>(COLUMN(E3)*(Dados!$Q$2/10))+$B3</f>
        <v>355.07067205420753</v>
      </c>
      <c r="H3">
        <f>(COLUMN(F3)*(Dados!$Q$2/10))+$B3</f>
        <v>363.07067205420753</v>
      </c>
      <c r="I3">
        <f>(COLUMN(G3)*(Dados!$Q$2/10))+$B3</f>
        <v>371.07067205420753</v>
      </c>
      <c r="J3">
        <f>(COLUMN(H3)*(Dados!$Q$2/10))+$B3</f>
        <v>379.07067205420753</v>
      </c>
      <c r="K3">
        <f>(COLUMN(I3)*(Dados!$Q$2/10))+$B3</f>
        <v>387.07067205420753</v>
      </c>
      <c r="L3">
        <f>(COLUMN(J3)*(Dados!$Q$2/10))+$B3</f>
        <v>395.07067205420753</v>
      </c>
      <c r="N3">
        <f>SQRT(POWER(P3,2)/(1+POWER(Dados!$G$7,2)))</f>
        <v>8</v>
      </c>
      <c r="O3">
        <f>SQRT(POWER(P3,2)-POWER(N3,2))+Dados!$G$8</f>
        <v>356</v>
      </c>
      <c r="P3">
        <f>Dados!$M$6/10*(ROW(M3)-1)</f>
        <v>10</v>
      </c>
      <c r="Q3">
        <f>Dados!$M$6-P3</f>
        <v>40</v>
      </c>
      <c r="R3">
        <f>17.32*SQRT((P3*Q3)/(Dados!$M$3*Dados!$M$6))</f>
        <v>18.515858839692761</v>
      </c>
      <c r="S3" s="24">
        <f t="shared" si="0"/>
        <v>11.109515303815657</v>
      </c>
      <c r="T3" s="25">
        <f>SQRT(POWER(R3,2)/(1+POWER(Dados!$G$7,2)))</f>
        <v>14.812687071754208</v>
      </c>
      <c r="U3" s="24">
        <f t="shared" si="1"/>
        <v>-3.1095153038156571</v>
      </c>
      <c r="V3" s="25">
        <f t="shared" si="2"/>
        <v>370.81268707175423</v>
      </c>
    </row>
    <row r="4" spans="1:22" x14ac:dyDescent="0.25">
      <c r="A4">
        <f>(ROW(B4)-1)*(Dados!$M$5/10)</f>
        <v>12</v>
      </c>
      <c r="B4">
        <f>((SQRT(POWER(Dados!$M$4,2)-POWER(A4-(Dados!$M$5/2),2))-Dados!$O$4)*1000)+Dados!$P$2</f>
        <v>319.78025158678065</v>
      </c>
      <c r="C4">
        <f>(COLUMN(A4)*(Dados!$Q$2/10))+$B4</f>
        <v>327.78025158678065</v>
      </c>
      <c r="D4">
        <f>(COLUMN(B4)*(Dados!$Q$2/10))+$B4</f>
        <v>335.78025158678065</v>
      </c>
      <c r="E4">
        <f>(COLUMN(C4)*(Dados!$Q$2/10))+$B4</f>
        <v>343.78025158678065</v>
      </c>
      <c r="F4">
        <f>(COLUMN(D4)*(Dados!$Q$2/10))+$B4</f>
        <v>351.78025158678065</v>
      </c>
      <c r="G4">
        <f>(COLUMN(E4)*(Dados!$Q$2/10))+$B4</f>
        <v>359.78025158678065</v>
      </c>
      <c r="H4">
        <f>(COLUMN(F4)*(Dados!$Q$2/10))+$B4</f>
        <v>367.78025158678065</v>
      </c>
      <c r="I4">
        <f>(COLUMN(G4)*(Dados!$Q$2/10))+$B4</f>
        <v>375.78025158678065</v>
      </c>
      <c r="J4">
        <f>(COLUMN(H4)*(Dados!$Q$2/10))+$B4</f>
        <v>383.78025158678065</v>
      </c>
      <c r="K4">
        <f>(COLUMN(I4)*(Dados!$Q$2/10))+$B4</f>
        <v>391.78025158678065</v>
      </c>
      <c r="L4">
        <f>(COLUMN(J4)*(Dados!$Q$2/10))+$B4</f>
        <v>399.78025158678065</v>
      </c>
      <c r="N4">
        <f>SQRT(POWER(P4,2)/(1+POWER(Dados!$G$7,2)))</f>
        <v>12</v>
      </c>
      <c r="O4">
        <f>SQRT(POWER(P4,2)-POWER(N4,2))+Dados!$G$8</f>
        <v>359</v>
      </c>
      <c r="P4">
        <f>Dados!$M$6/10*(ROW(M4)-1)</f>
        <v>15</v>
      </c>
      <c r="Q4">
        <f>Dados!$M$6-P4</f>
        <v>35</v>
      </c>
      <c r="R4">
        <f>17.32*SQRT((P4*Q4)/(Dados!$M$3*Dados!$M$6))</f>
        <v>21.212581172502322</v>
      </c>
      <c r="S4" s="24">
        <f t="shared" si="0"/>
        <v>12.727548703501391</v>
      </c>
      <c r="T4" s="25">
        <f>SQRT(POWER(R4,2)/(1+POWER(Dados!$G$7,2)))</f>
        <v>16.970064938001858</v>
      </c>
      <c r="U4" s="24">
        <f t="shared" si="1"/>
        <v>-0.727548703501391</v>
      </c>
      <c r="V4" s="25">
        <f t="shared" si="2"/>
        <v>375.97006493800188</v>
      </c>
    </row>
    <row r="5" spans="1:22" x14ac:dyDescent="0.25">
      <c r="A5">
        <f>(ROW(B5)-1)*(Dados!$M$5/10)</f>
        <v>16</v>
      </c>
      <c r="B5">
        <f>((SQRT(POWER(Dados!$M$4,2)-POWER(A5-(Dados!$M$5/2),2))-Dados!$O$4)*1000)+Dados!$P$2</f>
        <v>322.60599805413221</v>
      </c>
      <c r="C5">
        <f>(COLUMN(A5)*(Dados!$Q$2/10))+$B5</f>
        <v>330.60599805413221</v>
      </c>
      <c r="D5">
        <f>(COLUMN(B5)*(Dados!$Q$2/10))+$B5</f>
        <v>338.60599805413221</v>
      </c>
      <c r="E5">
        <f>(COLUMN(C5)*(Dados!$Q$2/10))+$B5</f>
        <v>346.60599805413221</v>
      </c>
      <c r="F5">
        <f>(COLUMN(D5)*(Dados!$Q$2/10))+$B5</f>
        <v>354.60599805413221</v>
      </c>
      <c r="G5">
        <f>(COLUMN(E5)*(Dados!$Q$2/10))+$B5</f>
        <v>362.60599805413221</v>
      </c>
      <c r="H5">
        <f>(COLUMN(F5)*(Dados!$Q$2/10))+$B5</f>
        <v>370.60599805413221</v>
      </c>
      <c r="I5">
        <f>(COLUMN(G5)*(Dados!$Q$2/10))+$B5</f>
        <v>378.60599805413221</v>
      </c>
      <c r="J5">
        <f>(COLUMN(H5)*(Dados!$Q$2/10))+$B5</f>
        <v>386.60599805413221</v>
      </c>
      <c r="K5">
        <f>(COLUMN(I5)*(Dados!$Q$2/10))+$B5</f>
        <v>394.60599805413221</v>
      </c>
      <c r="L5">
        <f>(COLUMN(J5)*(Dados!$Q$2/10))+$B5</f>
        <v>402.60599805413221</v>
      </c>
      <c r="N5">
        <f>SQRT(POWER(P5,2)/(1+POWER(Dados!$G$7,2)))</f>
        <v>16</v>
      </c>
      <c r="O5">
        <f>SQRT(POWER(P5,2)-POWER(N5,2))+Dados!$G$8</f>
        <v>362</v>
      </c>
      <c r="P5">
        <f>Dados!$M$6/10*(ROW(M5)-1)</f>
        <v>20</v>
      </c>
      <c r="Q5">
        <f>Dados!$M$6-P5</f>
        <v>30</v>
      </c>
      <c r="R5">
        <f>17.32*SQRT((P5*Q5)/(Dados!$M$3*Dados!$M$6))</f>
        <v>22.677203153324328</v>
      </c>
      <c r="S5" s="24">
        <f t="shared" si="0"/>
        <v>13.606321891994595</v>
      </c>
      <c r="T5" s="25">
        <f>SQRT(POWER(R5,2)/(1+POWER(Dados!$G$7,2)))</f>
        <v>18.141762522659462</v>
      </c>
      <c r="U5" s="24">
        <f t="shared" si="1"/>
        <v>2.393678108005405</v>
      </c>
      <c r="V5" s="25">
        <f t="shared" si="2"/>
        <v>380.14176252265946</v>
      </c>
    </row>
    <row r="6" spans="1:22" x14ac:dyDescent="0.25">
      <c r="A6">
        <f>(ROW(B6)-1)*(Dados!$M$5/10)</f>
        <v>20</v>
      </c>
      <c r="B6">
        <f>((SQRT(POWER(Dados!$M$4,2)-POWER(A6-(Dados!$M$5/2),2))-Dados!$O$4)*1000)+Dados!$P$2</f>
        <v>323.54791333345929</v>
      </c>
      <c r="C6">
        <f>(COLUMN(A6)*(Dados!$Q$2/10))+$B6</f>
        <v>331.54791333345929</v>
      </c>
      <c r="D6">
        <f>(COLUMN(B6)*(Dados!$Q$2/10))+$B6</f>
        <v>339.54791333345929</v>
      </c>
      <c r="E6">
        <f>(COLUMN(C6)*(Dados!$Q$2/10))+$B6</f>
        <v>347.54791333345929</v>
      </c>
      <c r="F6">
        <f>(COLUMN(D6)*(Dados!$Q$2/10))+$B6</f>
        <v>355.54791333345929</v>
      </c>
      <c r="G6">
        <f>(COLUMN(E6)*(Dados!$Q$2/10))+$B6</f>
        <v>363.54791333345929</v>
      </c>
      <c r="H6">
        <f>(COLUMN(F6)*(Dados!$Q$2/10))+$B6</f>
        <v>371.54791333345929</v>
      </c>
      <c r="I6">
        <f>(COLUMN(G6)*(Dados!$Q$2/10))+$B6</f>
        <v>379.54791333345929</v>
      </c>
      <c r="J6">
        <f>(COLUMN(H6)*(Dados!$Q$2/10))+$B6</f>
        <v>387.54791333345929</v>
      </c>
      <c r="K6">
        <f>(COLUMN(I6)*(Dados!$Q$2/10))+$B6</f>
        <v>395.54791333345929</v>
      </c>
      <c r="L6">
        <f>(COLUMN(J6)*(Dados!$Q$2/10))+$B6</f>
        <v>403.54791333345929</v>
      </c>
      <c r="N6">
        <f>SQRT(POWER(P6,2)/(1+POWER(Dados!$G$7,2)))</f>
        <v>20</v>
      </c>
      <c r="O6">
        <f>SQRT(POWER(P6,2)-POWER(N6,2))+Dados!$G$8</f>
        <v>365</v>
      </c>
      <c r="P6">
        <f>Dados!$M$6/10*(ROW(M6)-1)</f>
        <v>25</v>
      </c>
      <c r="Q6">
        <f>Dados!$M$6-P6</f>
        <v>25</v>
      </c>
      <c r="R6">
        <f>17.32*SQRT((P6*Q6)/(Dados!$M$3*Dados!$M$6))</f>
        <v>23.14482354961595</v>
      </c>
      <c r="S6" s="24">
        <f t="shared" si="0"/>
        <v>13.886894129769569</v>
      </c>
      <c r="T6" s="25">
        <f>SQRT(POWER(R6,2)/(1+POWER(Dados!$G$7,2)))</f>
        <v>18.515858839692761</v>
      </c>
      <c r="U6" s="24">
        <f t="shared" si="1"/>
        <v>6.1131058702304308</v>
      </c>
      <c r="V6" s="25">
        <f t="shared" si="2"/>
        <v>383.51585883969278</v>
      </c>
    </row>
    <row r="7" spans="1:22" x14ac:dyDescent="0.25">
      <c r="A7">
        <f>(ROW(B7)-1)*(Dados!$M$5/10)</f>
        <v>24</v>
      </c>
      <c r="B7">
        <f>((SQRT(POWER(Dados!$M$4,2)-POWER(A7-(Dados!$M$5/2),2))-Dados!$O$4)*1000)+Dados!$P$2</f>
        <v>322.60599805413221</v>
      </c>
      <c r="C7">
        <f>(COLUMN(A7)*(Dados!$Q$2/10))+$B7</f>
        <v>330.60599805413221</v>
      </c>
      <c r="D7">
        <f>(COLUMN(B7)*(Dados!$Q$2/10))+$B7</f>
        <v>338.60599805413221</v>
      </c>
      <c r="E7">
        <f>(COLUMN(C7)*(Dados!$Q$2/10))+$B7</f>
        <v>346.60599805413221</v>
      </c>
      <c r="F7">
        <f>(COLUMN(D7)*(Dados!$Q$2/10))+$B7</f>
        <v>354.60599805413221</v>
      </c>
      <c r="G7">
        <f>(COLUMN(E7)*(Dados!$Q$2/10))+$B7</f>
        <v>362.60599805413221</v>
      </c>
      <c r="H7">
        <f>(COLUMN(F7)*(Dados!$Q$2/10))+$B7</f>
        <v>370.60599805413221</v>
      </c>
      <c r="I7">
        <f>(COLUMN(G7)*(Dados!$Q$2/10))+$B7</f>
        <v>378.60599805413221</v>
      </c>
      <c r="J7">
        <f>(COLUMN(H7)*(Dados!$Q$2/10))+$B7</f>
        <v>386.60599805413221</v>
      </c>
      <c r="K7">
        <f>(COLUMN(I7)*(Dados!$Q$2/10))+$B7</f>
        <v>394.60599805413221</v>
      </c>
      <c r="L7">
        <f>(COLUMN(J7)*(Dados!$Q$2/10))+$B7</f>
        <v>402.60599805413221</v>
      </c>
      <c r="N7">
        <f>SQRT(POWER(P7,2)/(1+POWER(Dados!$G$7,2)))</f>
        <v>24</v>
      </c>
      <c r="O7">
        <f>SQRT(POWER(P7,2)-POWER(N7,2))+Dados!$G$8</f>
        <v>368</v>
      </c>
      <c r="P7">
        <f>Dados!$M$6/10*(ROW(M7)-1)</f>
        <v>30</v>
      </c>
      <c r="Q7">
        <f>Dados!$M$6-P7</f>
        <v>20</v>
      </c>
      <c r="R7">
        <f>17.32*SQRT((P7*Q7)/(Dados!$M$3*Dados!$M$6))</f>
        <v>22.677203153324328</v>
      </c>
      <c r="S7" s="24">
        <f t="shared" si="0"/>
        <v>13.606321891994595</v>
      </c>
      <c r="T7" s="25">
        <f>SQRT(POWER(R7,2)/(1+POWER(Dados!$G$7,2)))</f>
        <v>18.141762522659462</v>
      </c>
      <c r="U7" s="24">
        <f t="shared" si="1"/>
        <v>10.393678108005405</v>
      </c>
      <c r="V7" s="25">
        <f t="shared" si="2"/>
        <v>386.14176252265946</v>
      </c>
    </row>
    <row r="8" spans="1:22" x14ac:dyDescent="0.25">
      <c r="A8">
        <f>(ROW(B8)-1)*(Dados!$M$5/10)</f>
        <v>28</v>
      </c>
      <c r="B8">
        <f>((SQRT(POWER(Dados!$M$4,2)-POWER(A8-(Dados!$M$5/2),2))-Dados!$O$4)*1000)+Dados!$P$2</f>
        <v>319.78025158678065</v>
      </c>
      <c r="C8">
        <f>(COLUMN(A8)*(Dados!$Q$2/10))+$B8</f>
        <v>327.78025158678065</v>
      </c>
      <c r="D8">
        <f>(COLUMN(B8)*(Dados!$Q$2/10))+$B8</f>
        <v>335.78025158678065</v>
      </c>
      <c r="E8">
        <f>(COLUMN(C8)*(Dados!$Q$2/10))+$B8</f>
        <v>343.78025158678065</v>
      </c>
      <c r="F8">
        <f>(COLUMN(D8)*(Dados!$Q$2/10))+$B8</f>
        <v>351.78025158678065</v>
      </c>
      <c r="G8">
        <f>(COLUMN(E8)*(Dados!$Q$2/10))+$B8</f>
        <v>359.78025158678065</v>
      </c>
      <c r="H8">
        <f>(COLUMN(F8)*(Dados!$Q$2/10))+$B8</f>
        <v>367.78025158678065</v>
      </c>
      <c r="I8">
        <f>(COLUMN(G8)*(Dados!$Q$2/10))+$B8</f>
        <v>375.78025158678065</v>
      </c>
      <c r="J8">
        <f>(COLUMN(H8)*(Dados!$Q$2/10))+$B8</f>
        <v>383.78025158678065</v>
      </c>
      <c r="K8">
        <f>(COLUMN(I8)*(Dados!$Q$2/10))+$B8</f>
        <v>391.78025158678065</v>
      </c>
      <c r="L8">
        <f>(COLUMN(J8)*(Dados!$Q$2/10))+$B8</f>
        <v>399.78025158678065</v>
      </c>
      <c r="N8">
        <f>SQRT(POWER(P8,2)/(1+POWER(Dados!$G$7,2)))</f>
        <v>28</v>
      </c>
      <c r="O8">
        <f>SQRT(POWER(P8,2)-POWER(N8,2))+Dados!$G$8</f>
        <v>371</v>
      </c>
      <c r="P8">
        <f>Dados!$M$6/10*(ROW(M8)-1)</f>
        <v>35</v>
      </c>
      <c r="Q8">
        <f>Dados!$M$6-P8</f>
        <v>15</v>
      </c>
      <c r="R8">
        <f>17.32*SQRT((P8*Q8)/(Dados!$M$3*Dados!$M$6))</f>
        <v>21.212581172502322</v>
      </c>
      <c r="S8" s="24">
        <f t="shared" si="0"/>
        <v>12.727548703501391</v>
      </c>
      <c r="T8" s="25">
        <f>SQRT(POWER(R8,2)/(1+POWER(Dados!$G$7,2)))</f>
        <v>16.970064938001858</v>
      </c>
      <c r="U8" s="24">
        <f t="shared" si="1"/>
        <v>15.272451296498609</v>
      </c>
      <c r="V8" s="25">
        <f t="shared" si="2"/>
        <v>387.97006493800188</v>
      </c>
    </row>
    <row r="9" spans="1:22" x14ac:dyDescent="0.25">
      <c r="A9">
        <f>(ROW(B9)-1)*(Dados!$M$5/10)</f>
        <v>32</v>
      </c>
      <c r="B9">
        <f>((SQRT(POWER(Dados!$M$4,2)-POWER(A9-(Dados!$M$5/2),2))-Dados!$O$4)*1000)+Dados!$P$2</f>
        <v>315.07067205420753</v>
      </c>
      <c r="C9">
        <f>(COLUMN(A9)*(Dados!$Q$2/10))+$B9</f>
        <v>323.07067205420753</v>
      </c>
      <c r="D9">
        <f>(COLUMN(B9)*(Dados!$Q$2/10))+$B9</f>
        <v>331.07067205420753</v>
      </c>
      <c r="E9">
        <f>(COLUMN(C9)*(Dados!$Q$2/10))+$B9</f>
        <v>339.07067205420753</v>
      </c>
      <c r="F9">
        <f>(COLUMN(D9)*(Dados!$Q$2/10))+$B9</f>
        <v>347.07067205420753</v>
      </c>
      <c r="G9">
        <f>(COLUMN(E9)*(Dados!$Q$2/10))+$B9</f>
        <v>355.07067205420753</v>
      </c>
      <c r="H9">
        <f>(COLUMN(F9)*(Dados!$Q$2/10))+$B9</f>
        <v>363.07067205420753</v>
      </c>
      <c r="I9">
        <f>(COLUMN(G9)*(Dados!$Q$2/10))+$B9</f>
        <v>371.07067205420753</v>
      </c>
      <c r="J9">
        <f>(COLUMN(H9)*(Dados!$Q$2/10))+$B9</f>
        <v>379.07067205420753</v>
      </c>
      <c r="K9">
        <f>(COLUMN(I9)*(Dados!$Q$2/10))+$B9</f>
        <v>387.07067205420753</v>
      </c>
      <c r="L9">
        <f>(COLUMN(J9)*(Dados!$Q$2/10))+$B9</f>
        <v>395.07067205420753</v>
      </c>
      <c r="N9">
        <f>SQRT(POWER(P9,2)/(1+POWER(Dados!$G$7,2)))</f>
        <v>32</v>
      </c>
      <c r="O9">
        <f>SQRT(POWER(P9,2)-POWER(N9,2))+Dados!$G$8</f>
        <v>374</v>
      </c>
      <c r="P9">
        <f>Dados!$M$6/10*(ROW(M9)-1)</f>
        <v>40</v>
      </c>
      <c r="Q9">
        <f>Dados!$M$6-P9</f>
        <v>10</v>
      </c>
      <c r="R9">
        <f>17.32*SQRT((P9*Q9)/(Dados!$M$3*Dados!$M$6))</f>
        <v>18.515858839692761</v>
      </c>
      <c r="S9" s="24">
        <f t="shared" si="0"/>
        <v>11.109515303815657</v>
      </c>
      <c r="T9" s="25">
        <f>SQRT(POWER(R9,2)/(1+POWER(Dados!$G$7,2)))</f>
        <v>14.812687071754208</v>
      </c>
      <c r="U9" s="24">
        <f t="shared" si="1"/>
        <v>20.890484696184345</v>
      </c>
      <c r="V9" s="25">
        <f t="shared" si="2"/>
        <v>388.81268707175423</v>
      </c>
    </row>
    <row r="10" spans="1:22" x14ac:dyDescent="0.25">
      <c r="A10">
        <f>(ROW(B10)-1)*(Dados!$M$5/10)</f>
        <v>36</v>
      </c>
      <c r="B10">
        <f>((SQRT(POWER(Dados!$M$4,2)-POWER(A10-(Dados!$M$5/2),2))-Dados!$O$4)*1000)+Dados!$P$2</f>
        <v>308.47725632047513</v>
      </c>
      <c r="C10">
        <f>(COLUMN(A10)*(Dados!$Q$2/10))+$B10</f>
        <v>316.47725632047513</v>
      </c>
      <c r="D10">
        <f>(COLUMN(B10)*(Dados!$Q$2/10))+$B10</f>
        <v>324.47725632047513</v>
      </c>
      <c r="E10">
        <f>(COLUMN(C10)*(Dados!$Q$2/10))+$B10</f>
        <v>332.47725632047513</v>
      </c>
      <c r="F10">
        <f>(COLUMN(D10)*(Dados!$Q$2/10))+$B10</f>
        <v>340.47725632047513</v>
      </c>
      <c r="G10">
        <f>(COLUMN(E10)*(Dados!$Q$2/10))+$B10</f>
        <v>348.47725632047513</v>
      </c>
      <c r="H10">
        <f>(COLUMN(F10)*(Dados!$Q$2/10))+$B10</f>
        <v>356.47725632047513</v>
      </c>
      <c r="I10">
        <f>(COLUMN(G10)*(Dados!$Q$2/10))+$B10</f>
        <v>364.47725632047513</v>
      </c>
      <c r="J10">
        <f>(COLUMN(H10)*(Dados!$Q$2/10))+$B10</f>
        <v>372.47725632047513</v>
      </c>
      <c r="K10">
        <f>(COLUMN(I10)*(Dados!$Q$2/10))+$B10</f>
        <v>380.47725632047513</v>
      </c>
      <c r="L10">
        <f>(COLUMN(J10)*(Dados!$Q$2/10))+$B10</f>
        <v>388.47725632047513</v>
      </c>
      <c r="N10">
        <f>SQRT(POWER(P10,2)/(1+POWER(Dados!$G$7,2)))</f>
        <v>36</v>
      </c>
      <c r="O10">
        <f>SQRT(POWER(P10,2)-POWER(N10,2))+Dados!$G$8</f>
        <v>377</v>
      </c>
      <c r="P10">
        <f>Dados!$M$6/10*(ROW(M10)-1)</f>
        <v>45</v>
      </c>
      <c r="Q10">
        <f>Dados!$M$6-P10</f>
        <v>5</v>
      </c>
      <c r="R10">
        <f>17.32*SQRT((P10*Q10)/(Dados!$M$3*Dados!$M$6))</f>
        <v>13.886894129769573</v>
      </c>
      <c r="S10" s="24">
        <f t="shared" si="0"/>
        <v>8.3321364778617433</v>
      </c>
      <c r="T10" s="25">
        <f>SQRT(POWER(R10,2)/(1+POWER(Dados!$G$7,2)))</f>
        <v>11.109515303815659</v>
      </c>
      <c r="U10" s="24">
        <f t="shared" si="1"/>
        <v>27.667863522138255</v>
      </c>
      <c r="V10" s="25">
        <f t="shared" si="2"/>
        <v>388.10951530381567</v>
      </c>
    </row>
    <row r="11" spans="1:22" x14ac:dyDescent="0.25">
      <c r="A11">
        <f>(ROW(B11)-1)*(Dados!$M$5/10)</f>
        <v>40</v>
      </c>
      <c r="B11">
        <f>((SQRT(POWER(Dados!$M$4,2)-POWER(A11-(Dados!$M$5/2),2))-Dados!$O$4)*1000)+Dados!$P$2</f>
        <v>300</v>
      </c>
      <c r="C11">
        <f>(COLUMN(A11)*(Dados!$Q$2/10))+$B11</f>
        <v>308</v>
      </c>
      <c r="D11">
        <f>(COLUMN(B11)*(Dados!$Q$2/10))+$B11</f>
        <v>316</v>
      </c>
      <c r="E11">
        <f>(COLUMN(C11)*(Dados!$Q$2/10))+$B11</f>
        <v>324</v>
      </c>
      <c r="F11">
        <f>(COLUMN(D11)*(Dados!$Q$2/10))+$B11</f>
        <v>332</v>
      </c>
      <c r="G11">
        <f>(COLUMN(E11)*(Dados!$Q$2/10))+$B11</f>
        <v>340</v>
      </c>
      <c r="H11">
        <f>(COLUMN(F11)*(Dados!$Q$2/10))+$B11</f>
        <v>348</v>
      </c>
      <c r="I11">
        <f>(COLUMN(G11)*(Dados!$Q$2/10))+$B11</f>
        <v>356</v>
      </c>
      <c r="J11">
        <f>(COLUMN(H11)*(Dados!$Q$2/10))+$B11</f>
        <v>364</v>
      </c>
      <c r="K11">
        <f>(COLUMN(I11)*(Dados!$Q$2/10))+$B11</f>
        <v>372</v>
      </c>
      <c r="L11">
        <f>(COLUMN(J11)*(Dados!$Q$2/10))+$B11</f>
        <v>380</v>
      </c>
      <c r="N11">
        <f>SQRT(POWER(P11,2)/(1+POWER(Dados!$G$7,2)))</f>
        <v>40</v>
      </c>
      <c r="O11">
        <f>SQRT(POWER(P11,2)-POWER(N11,2))+Dados!$G$8</f>
        <v>380</v>
      </c>
      <c r="P11">
        <f>Dados!$M$6/10*(ROW(M11)-1)</f>
        <v>50</v>
      </c>
      <c r="Q11">
        <f>Dados!$M$6-P11</f>
        <v>0</v>
      </c>
      <c r="R11">
        <f>17.32*SQRT((P11*Q11)/(Dados!$M$3*Dados!$M$6))</f>
        <v>0</v>
      </c>
      <c r="S11" s="24">
        <f t="shared" si="0"/>
        <v>0</v>
      </c>
      <c r="T11" s="25">
        <f>SQRT(POWER(R11,2)/(1+POWER(Dados!$G$7,2)))</f>
        <v>0</v>
      </c>
      <c r="U11" s="24">
        <f t="shared" si="1"/>
        <v>40</v>
      </c>
      <c r="V11" s="25">
        <f t="shared" si="2"/>
        <v>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4519-5337-4593-8716-7C5EA4BBA06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8974-BDE7-485E-BC4F-E620B87245FE}">
  <dimension ref="A1"/>
  <sheetViews>
    <sheetView zoomScaleNormal="100" workbookViewId="0">
      <selection activeCell="S12" sqref="S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Auxiliar</vt:lpstr>
      <vt:lpstr>Carta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Ryuji</dc:creator>
  <cp:lastModifiedBy>Ryuji</cp:lastModifiedBy>
  <dcterms:created xsi:type="dcterms:W3CDTF">2020-08-13T22:41:36Z</dcterms:created>
  <dcterms:modified xsi:type="dcterms:W3CDTF">2020-08-19T04:32:27Z</dcterms:modified>
</cp:coreProperties>
</file>