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IS Assumptions" sheetId="2" r:id="rId5"/>
    <sheet state="visible" name="BS Assumptions" sheetId="3" r:id="rId6"/>
    <sheet state="visible" name="CF Assumptions" sheetId="4" r:id="rId7"/>
    <sheet state="visible" name="IncStat" sheetId="5" r:id="rId8"/>
    <sheet state="visible" name="BalSht" sheetId="6" r:id="rId9"/>
    <sheet state="visible" name="CFStat" sheetId="7" r:id="rId10"/>
    <sheet state="hidden" name="IncStat (CS)" sheetId="8" r:id="rId11"/>
    <sheet state="hidden" name="BalSht (CS)" sheetId="9" r:id="rId12"/>
    <sheet state="hidden" name="CFStat (CS)" sheetId="10" r:id="rId13"/>
    <sheet state="hidden" name="IncStat (Trend)" sheetId="11" r:id="rId14"/>
    <sheet state="hidden" name="BalSht (Trend)" sheetId="12" r:id="rId15"/>
    <sheet state="visible" name="NOPAT NOA" sheetId="13" r:id="rId16"/>
    <sheet state="visible" name="DCF Valuation" sheetId="14" r:id="rId17"/>
    <sheet state="visible" name="Cost of Capital" sheetId="15" r:id="rId18"/>
    <sheet state="visible" name="Stock Comp Outstanding" sheetId="16" r:id="rId19"/>
    <sheet state="visible" name="RI Valuation" sheetId="17" r:id="rId20"/>
  </sheets>
  <definedNames>
    <definedName name="WACC">'Cost of Capital'!$G$25</definedName>
  </definedNames>
  <calcPr/>
  <extLst>
    <ext uri="GoogleSheetsCustomDataVersion1">
      <go:sheetsCustomData xmlns:go="http://customooxmlschemas.google.com/" r:id="rId21" roundtripDataSignature="AMtx7miw51oP4o4WcFjZyqcbqp/NA2+omg=="/>
    </ext>
  </extLst>
</workbook>
</file>

<file path=xl/sharedStrings.xml><?xml version="1.0" encoding="utf-8"?>
<sst xmlns="http://schemas.openxmlformats.org/spreadsheetml/2006/main" count="560" uniqueCount="358">
  <si>
    <t>THE HOME DEPOT, INC.</t>
  </si>
  <si>
    <t>Table of Contents</t>
  </si>
  <si>
    <t>Income Statement Assumptions</t>
  </si>
  <si>
    <t>Balance Sheet Assumptions</t>
  </si>
  <si>
    <t>Cash Flow Statement Assumptions</t>
  </si>
  <si>
    <t>Income Statement</t>
  </si>
  <si>
    <t>Balance Sheet</t>
  </si>
  <si>
    <t>Cash Flow Statement</t>
  </si>
  <si>
    <t>Common Size Income Statement</t>
  </si>
  <si>
    <t>Common Size Balance Sheet</t>
  </si>
  <si>
    <t>Common Size Cash Flow Statement</t>
  </si>
  <si>
    <t>Trend Income Statement</t>
  </si>
  <si>
    <t>Trend Balance Sheet</t>
  </si>
  <si>
    <t>NOPAT and NOA calculations</t>
  </si>
  <si>
    <t>DCF Valuation</t>
  </si>
  <si>
    <t>Cost of Capital calculations</t>
  </si>
  <si>
    <t>Stock Comp outstanding calculations</t>
  </si>
  <si>
    <t>Residual Income valuation approach</t>
  </si>
  <si>
    <t xml:space="preserve"> = Cells you need to complete with formulas</t>
  </si>
  <si>
    <t xml:space="preserve"> = Cells with the assumptions from Morningstar (you use these, do not change them)</t>
  </si>
  <si>
    <t>FORECAST ASSUMPTIONS</t>
  </si>
  <si>
    <t>(in $ millions)</t>
  </si>
  <si>
    <t>Fiscal Year</t>
  </si>
  <si>
    <t>Net revenue and COGS</t>
  </si>
  <si>
    <t>Customer Transactions (millions)</t>
  </si>
  <si>
    <t>Historical is per pg. 23 of annual report</t>
  </si>
  <si>
    <t>Average Ticket ($)</t>
  </si>
  <si>
    <t>Change in Transaction Volume</t>
  </si>
  <si>
    <t>Change in Value per Transaction</t>
  </si>
  <si>
    <t xml:space="preserve">   Comparable Store Sales Growth</t>
  </si>
  <si>
    <t>&lt;-- Jaime only provided this, so we assumed a 3% growth in value per transaction and solved for assumed change in transaction volume.</t>
  </si>
  <si>
    <t>Net Store Growth (%)</t>
  </si>
  <si>
    <t># Stores</t>
  </si>
  <si>
    <t>New Store Productivity (% of full year store)</t>
  </si>
  <si>
    <t>&lt;-- This assumption essentially states what percent of the year a new store is open.</t>
  </si>
  <si>
    <t>Net Sales ($ millions)</t>
  </si>
  <si>
    <t xml:space="preserve">     Year-over-Year Growth %</t>
  </si>
  <si>
    <t>Cost of Goods Sold</t>
  </si>
  <si>
    <t xml:space="preserve">   % of Sales</t>
  </si>
  <si>
    <t>Gross Margin</t>
  </si>
  <si>
    <t xml:space="preserve">     % of Sales</t>
  </si>
  <si>
    <t>Operating Expenses (as % of Sales)</t>
  </si>
  <si>
    <t>Selling, General and Administrative</t>
  </si>
  <si>
    <t>Percent of D&amp;A expense reported on income statement</t>
  </si>
  <si>
    <t>Impairment loss</t>
  </si>
  <si>
    <t>Interest expense and income and other</t>
  </si>
  <si>
    <t>Interest rate on debt (%)</t>
  </si>
  <si>
    <t>Interest rate on cash and marketable securities (%)</t>
  </si>
  <si>
    <t>Interest and Other Income/expense: Other</t>
  </si>
  <si>
    <t>Income taxes</t>
  </si>
  <si>
    <t>Average effective tax rate</t>
  </si>
  <si>
    <t>Current operating assets</t>
  </si>
  <si>
    <t>Days sales outstanding (DSO - end of year)</t>
  </si>
  <si>
    <t>Days inventory outstanding (DIO - end of year)</t>
  </si>
  <si>
    <t>Other current assets (% of Sales)</t>
  </si>
  <si>
    <t>Current operating liabilities</t>
  </si>
  <si>
    <t>Days payables outstanding (DPO - end of year)</t>
  </si>
  <si>
    <t>Other accured liabilities (% of sales)</t>
  </si>
  <si>
    <t>Accrued salaries and related expenses (% of sales)</t>
  </si>
  <si>
    <t>Sales taxes payble (% of sales)</t>
  </si>
  <si>
    <t>Income tax payable (% of sales)</t>
  </si>
  <si>
    <t>Deferred revenue (% of sales)</t>
  </si>
  <si>
    <t>Non-current operating assets</t>
  </si>
  <si>
    <t>Fixed asset turnover (end of year)</t>
  </si>
  <si>
    <t>Average useful life of PPE</t>
  </si>
  <si>
    <t>Gross PPE</t>
  </si>
  <si>
    <t>Accumulated depreciation</t>
  </si>
  <si>
    <t>Net PPE</t>
  </si>
  <si>
    <t>Depreciation</t>
  </si>
  <si>
    <t>CAPEX</t>
  </si>
  <si>
    <t>Goodwill ($, millions)</t>
  </si>
  <si>
    <t>Other assets (% of sales)</t>
  </si>
  <si>
    <t>Operating leases</t>
  </si>
  <si>
    <t>Operating lease right-of-use assets (% of SG&amp;A)</t>
  </si>
  <si>
    <t>Operating lease right-of-use assets ($ millions)</t>
  </si>
  <si>
    <t>Operating lease right-of-use assets ($ growth millions)</t>
  </si>
  <si>
    <t>Operating lease liabilities - current ($ millions)</t>
  </si>
  <si>
    <t>Operating lease liabilities - long-term ($ millions)</t>
  </si>
  <si>
    <t>Operating lease liabilities - total ($ millions)</t>
  </si>
  <si>
    <t>Percent current</t>
  </si>
  <si>
    <t>Operating lease liabilities ($ growth millions)</t>
  </si>
  <si>
    <t>Net change in operating asset and liability (should = $0)</t>
  </si>
  <si>
    <t>Non-current operating liabilities</t>
  </si>
  <si>
    <t>Deferred Income Taxes (% of sales)</t>
  </si>
  <si>
    <t>Other Long-term Liabilities (% of sales)</t>
  </si>
  <si>
    <t>Financial assets and liabilities</t>
  </si>
  <si>
    <t>Cash (% of sales)</t>
  </si>
  <si>
    <t>Cash ($ millions)</t>
  </si>
  <si>
    <t>New borrowings or (Payments) ($ millions, including capital leases)</t>
  </si>
  <si>
    <t>Percent short-term</t>
  </si>
  <si>
    <t>Short-term debts ($ millions)</t>
  </si>
  <si>
    <t>Current portion of long-term debt ($ millions)</t>
  </si>
  <si>
    <t>Long-term debt ($ millions)</t>
  </si>
  <si>
    <t>Total debt</t>
  </si>
  <si>
    <t>Operating Activities</t>
  </si>
  <si>
    <t>Gain on Sales of Investment ($ - Assumed 0)</t>
  </si>
  <si>
    <t>Impairment Loss ($ - Assumed 0)</t>
  </si>
  <si>
    <t>Stock Based Compenation Expense (% of SGA)</t>
  </si>
  <si>
    <t>Others ($ - Assumed 0)</t>
  </si>
  <si>
    <t>Other Operating Activities ($ - Assumed 0)</t>
  </si>
  <si>
    <t>Investing Activities</t>
  </si>
  <si>
    <t xml:space="preserve">  Proceeds from Sale of Property and Equipment</t>
  </si>
  <si>
    <t xml:space="preserve">  Payments for Businesses Acquired, Net</t>
  </si>
  <si>
    <t xml:space="preserve">  Net Proceeds from (purchases of) Sale of Long-term Investment</t>
  </si>
  <si>
    <t xml:space="preserve">  Other Investing Activities</t>
  </si>
  <si>
    <t>Financing Activities</t>
  </si>
  <si>
    <t xml:space="preserve">  Repayments of Proceeds from Long-term Debt</t>
  </si>
  <si>
    <t xml:space="preserve">  Proceeds from Long-term Debt, Net of Discount</t>
  </si>
  <si>
    <t xml:space="preserve">  Proceeds from Issuance of Long-term Debt and Capital Securities, Net</t>
  </si>
  <si>
    <t xml:space="preserve">  Repayments of Short-term Borrowings-net</t>
  </si>
  <si>
    <t xml:space="preserve">  Proceeds from Sale of Common Stock</t>
  </si>
  <si>
    <t xml:space="preserve">  Repurchase of Common Stock</t>
  </si>
  <si>
    <t xml:space="preserve">  Cash Dividends</t>
  </si>
  <si>
    <t xml:space="preserve">  Other Financing Activities</t>
  </si>
  <si>
    <t>Effect of Exchange Rate Changes</t>
  </si>
  <si>
    <t>CONSOLIDATED INCOME STATEMENT</t>
  </si>
  <si>
    <t>(in $ millions, except per share amounts)</t>
  </si>
  <si>
    <t>Forecast --&gt;</t>
  </si>
  <si>
    <t>Net revenue</t>
  </si>
  <si>
    <t>YoY Growth</t>
  </si>
  <si>
    <t>Cost of goods sold</t>
  </si>
  <si>
    <t>Gross profit</t>
  </si>
  <si>
    <t>% of Sales</t>
  </si>
  <si>
    <t>Operating expenses:</t>
  </si>
  <si>
    <t xml:space="preserve">  Selling, General and Administrative</t>
  </si>
  <si>
    <t xml:space="preserve">  Depreciation and Amortization</t>
  </si>
  <si>
    <t xml:space="preserve">  Impairment Loss</t>
  </si>
  <si>
    <t xml:space="preserve">    Total operating expenses</t>
  </si>
  <si>
    <t xml:space="preserve">    % of Sales</t>
  </si>
  <si>
    <t xml:space="preserve">    Operating income</t>
  </si>
  <si>
    <t>Interest Expense</t>
  </si>
  <si>
    <t>Interest and Investment Income</t>
  </si>
  <si>
    <t xml:space="preserve">  Interest and other, net</t>
  </si>
  <si>
    <t>Earnings before income taxes</t>
  </si>
  <si>
    <t>Provision for income taxes</t>
  </si>
  <si>
    <t>% of Earnings before income taxes</t>
  </si>
  <si>
    <t>Net income</t>
  </si>
  <si>
    <t>CONSOLIDATED BALANCE SHEETS</t>
  </si>
  <si>
    <t>ASSETS</t>
  </si>
  <si>
    <t>Current Assets</t>
  </si>
  <si>
    <t xml:space="preserve">  Cash and Cash Equivalents</t>
  </si>
  <si>
    <t xml:space="preserve">  Accounts Receivables</t>
  </si>
  <si>
    <t xml:space="preserve">  Merchandise Inventories</t>
  </si>
  <si>
    <t xml:space="preserve">  Other Current Assets</t>
  </si>
  <si>
    <t xml:space="preserve">  Total Current Assets</t>
  </si>
  <si>
    <t>Non Current Assets</t>
  </si>
  <si>
    <t xml:space="preserve">  Operating Lease Right-of-use Assets</t>
  </si>
  <si>
    <t xml:space="preserve">  Property and Equipment, net</t>
  </si>
  <si>
    <t xml:space="preserve">  Goodwill</t>
  </si>
  <si>
    <t xml:space="preserve">  Other Assets</t>
  </si>
  <si>
    <t xml:space="preserve">  Total Assets</t>
  </si>
  <si>
    <t>LIABILITIES AND STOCKHOLDERS' EQUITY</t>
  </si>
  <si>
    <t>Current Liabilities</t>
  </si>
  <si>
    <t xml:space="preserve">  Accounts Payable</t>
  </si>
  <si>
    <t xml:space="preserve">  Other Accrued Liabilities</t>
  </si>
  <si>
    <t xml:space="preserve">  Accrued Salaries and Related Expenses</t>
  </si>
  <si>
    <t xml:space="preserve">  Sales Taxes Payable</t>
  </si>
  <si>
    <t xml:space="preserve">  Short-term Debts</t>
  </si>
  <si>
    <t xml:space="preserve">  Current Portion of Long-term Debt</t>
  </si>
  <si>
    <t xml:space="preserve">  Current Operating Lease Liabilities</t>
  </si>
  <si>
    <t xml:space="preserve">  Income Tax Payable</t>
  </si>
  <si>
    <t xml:space="preserve">  Deferred Revenue</t>
  </si>
  <si>
    <t xml:space="preserve">  Total Current Liabilities</t>
  </si>
  <si>
    <t>Non Current Liabilities</t>
  </si>
  <si>
    <t xml:space="preserve">  Long-term Debt</t>
  </si>
  <si>
    <t xml:space="preserve">  Long Term Operating Lease Liabilities</t>
  </si>
  <si>
    <t xml:space="preserve">  Deferred Income Taxes</t>
  </si>
  <si>
    <t xml:space="preserve">  Other Long-term Liabilities</t>
  </si>
  <si>
    <t xml:space="preserve">  Total Non Current Liabilities</t>
  </si>
  <si>
    <t>Total Liabilities</t>
  </si>
  <si>
    <t>Shareholders' Equity</t>
  </si>
  <si>
    <t xml:space="preserve">  Total Liabilities &amp; Shareholders Equity</t>
  </si>
  <si>
    <t xml:space="preserve">      (Balance Check)</t>
  </si>
  <si>
    <t xml:space="preserve">  Net Income</t>
  </si>
  <si>
    <t xml:space="preserve">Adjustments to reconcile net earnings to net cash provided </t>
  </si>
  <si>
    <t>by operating activities:</t>
  </si>
  <si>
    <t xml:space="preserve">  Gain on Sales of Investment</t>
  </si>
  <si>
    <t xml:space="preserve">  Stock Based Compenation Expense</t>
  </si>
  <si>
    <t xml:space="preserve">  Others</t>
  </si>
  <si>
    <t xml:space="preserve">  Other Operating Activities</t>
  </si>
  <si>
    <t>Change in operating assets and liabilities</t>
  </si>
  <si>
    <t xml:space="preserve">  Accounts Receivable</t>
  </si>
  <si>
    <t xml:space="preserve">  Changes in Merchandise Inventories</t>
  </si>
  <si>
    <t xml:space="preserve">  Accounts Payable and Accrued Expenses</t>
  </si>
  <si>
    <t>&lt;-- Includes changes in Accounts payable, Other Accrued Liabilities, Accrued Salaries and Related Expenses, Sales Taxes Payable, Other Long-term Liabilities</t>
  </si>
  <si>
    <t xml:space="preserve">  Changes in Incomes Taxes Payable</t>
  </si>
  <si>
    <t xml:space="preserve">  Deferred Income Tax Income/expense</t>
  </si>
  <si>
    <t>&lt;-- Assumed to be zero</t>
  </si>
  <si>
    <t xml:space="preserve">  Changes in Deferred Income Taxes</t>
  </si>
  <si>
    <t xml:space="preserve">  Changes in Deferred Revenues</t>
  </si>
  <si>
    <t xml:space="preserve">  Changes in Other Current Assets</t>
  </si>
  <si>
    <t xml:space="preserve">  Cash Flow from Operating Activities</t>
  </si>
  <si>
    <t xml:space="preserve">  Capital Expenditures</t>
  </si>
  <si>
    <t xml:space="preserve">  Proceeds from Sale of Long-term Investment</t>
  </si>
  <si>
    <t>&lt;-- Changes in "Other assets"</t>
  </si>
  <si>
    <t xml:space="preserve">  Cash Flow from Investing Activities</t>
  </si>
  <si>
    <t xml:space="preserve">  Net Debt Transactions (borrowing, repayments)</t>
  </si>
  <si>
    <t xml:space="preserve">  Net Equity Transactions (stock sales, repurchases, dividends)</t>
  </si>
  <si>
    <t xml:space="preserve">  Cash Flow from Financing Activities</t>
  </si>
  <si>
    <t>Change in Cash and Cash Equivalents</t>
  </si>
  <si>
    <t>Cash and Cash Equivalents</t>
  </si>
  <si>
    <t xml:space="preserve">  Beginning of period</t>
  </si>
  <si>
    <t xml:space="preserve">  End of period</t>
  </si>
  <si>
    <t xml:space="preserve">     (check on change in cash)</t>
  </si>
  <si>
    <t>NOPAT AND NOA CALCULATIONS</t>
  </si>
  <si>
    <t>Calculate NOA</t>
  </si>
  <si>
    <t>Operating assets</t>
  </si>
  <si>
    <t>Operating liabilities</t>
  </si>
  <si>
    <t>Net operating assets (NOA)</t>
  </si>
  <si>
    <t>Calculate NOPAT</t>
  </si>
  <si>
    <t>Operating revenues</t>
  </si>
  <si>
    <t xml:space="preserve">  Cost of goods sold</t>
  </si>
  <si>
    <t>Gross margin</t>
  </si>
  <si>
    <t xml:space="preserve">  Operating expenses</t>
  </si>
  <si>
    <t>EBIT</t>
  </si>
  <si>
    <t xml:space="preserve">  Tax on EBIT</t>
  </si>
  <si>
    <t>NOPAT</t>
  </si>
  <si>
    <t>Investment (change in NOA)</t>
  </si>
  <si>
    <t>ROIC</t>
  </si>
  <si>
    <t>RONIC</t>
  </si>
  <si>
    <t>g(Sales)</t>
  </si>
  <si>
    <t>g(NOPAT)</t>
  </si>
  <si>
    <t>DISCOUNTED CASH FLOW VALUATION</t>
  </si>
  <si>
    <t>Method I</t>
  </si>
  <si>
    <t>Add back non-cash operating expenses</t>
  </si>
  <si>
    <t xml:space="preserve">  Depreciation and amortization</t>
  </si>
  <si>
    <t>Gross cash flow</t>
  </si>
  <si>
    <t>Less net investments in working capital</t>
  </si>
  <si>
    <t xml:space="preserve">  (-) Change in current operating assets</t>
  </si>
  <si>
    <t xml:space="preserve">  (+) Change in current operating liabilities</t>
  </si>
  <si>
    <t>Less net investment in fixed assets and other noncurrent assets</t>
  </si>
  <si>
    <t xml:space="preserve">  (-) Capital expenditures for PPE</t>
  </si>
  <si>
    <t xml:space="preserve">  (-) Other net changes in long-term operating assets and liabilities </t>
  </si>
  <si>
    <t xml:space="preserve">  &lt;-- Includes changes in: "Other assets"; "Deferred income taxes"; and "Other long-term liabilities" accounts.</t>
  </si>
  <si>
    <t>Free cash flow</t>
  </si>
  <si>
    <t>Method II</t>
  </si>
  <si>
    <t>(-) Net change in NOA</t>
  </si>
  <si>
    <t>Check difference between methods</t>
  </si>
  <si>
    <t>Free Cash Flows (2020-2029)</t>
  </si>
  <si>
    <r>
      <rPr>
        <rFont val="Arial Narrow"/>
        <color theme="1"/>
        <sz val="11.0"/>
      </rPr>
      <t>Discount Factor = 1/(1+WACC)</t>
    </r>
    <r>
      <rPr>
        <rFont val="Arial Narrow"/>
        <color theme="1"/>
        <sz val="11.0"/>
        <vertAlign val="superscript"/>
      </rPr>
      <t>t</t>
    </r>
  </si>
  <si>
    <r>
      <rPr>
        <rFont val="Arial Narrow"/>
        <color theme="1"/>
        <sz val="11.0"/>
      </rPr>
      <t>PV of FCF</t>
    </r>
    <r>
      <rPr>
        <rFont val="Arial Narrow"/>
        <color theme="1"/>
        <sz val="11.0"/>
        <vertAlign val="subscript"/>
      </rPr>
      <t>t</t>
    </r>
  </si>
  <si>
    <t>Sum of PV of FCF over forecast horizon (2020 - 2028)</t>
  </si>
  <si>
    <t>Free Cash Flows Beyond 2028 (i.e., Continuing or Terminal Value) =</t>
  </si>
  <si>
    <r>
      <rPr>
        <rFont val="Arial Narrow"/>
        <color theme="1"/>
        <sz val="11.0"/>
      </rPr>
      <t xml:space="preserve">                 [FCF</t>
    </r>
    <r>
      <rPr>
        <rFont val="Arial Narrow"/>
        <color theme="1"/>
        <sz val="11.0"/>
        <vertAlign val="subscript"/>
      </rPr>
      <t>2029</t>
    </r>
    <r>
      <rPr>
        <rFont val="Arial Narrow"/>
        <color theme="1"/>
        <sz val="11.0"/>
      </rPr>
      <t xml:space="preserve"> / (WACC-g)] / [1+WACC]</t>
    </r>
    <r>
      <rPr>
        <rFont val="Arial Narrow"/>
        <color theme="1"/>
        <sz val="11.0"/>
        <vertAlign val="superscript"/>
      </rPr>
      <t>T</t>
    </r>
  </si>
  <si>
    <t xml:space="preserve">                      Terminal growth rate, g = </t>
  </si>
  <si>
    <t xml:space="preserve">                      Terminal value year (i.e., # of years forecast), T = </t>
  </si>
  <si>
    <t>Morningstar values (see pg. 12 of the Morningstar report)</t>
  </si>
  <si>
    <t>OPERATING VALUE: PV of all future Free Cash Flows</t>
  </si>
  <si>
    <t>Add financial assets:</t>
  </si>
  <si>
    <r>
      <rPr>
        <rFont val="Arial Narrow"/>
        <color theme="1"/>
        <sz val="11.0"/>
      </rPr>
      <t>(+) Value of Cash and ST Investments</t>
    </r>
    <r>
      <rPr>
        <rFont val="Arial Narrow"/>
        <color theme="1"/>
        <sz val="11.0"/>
        <vertAlign val="subscript"/>
      </rPr>
      <t>2019</t>
    </r>
  </si>
  <si>
    <r>
      <rPr>
        <rFont val="Arial Narrow"/>
        <color theme="1"/>
        <sz val="11.0"/>
      </rPr>
      <t>(+) Value of LT Investments</t>
    </r>
    <r>
      <rPr>
        <rFont val="Arial Narrow"/>
        <color theme="1"/>
        <sz val="11.0"/>
        <vertAlign val="subscript"/>
      </rPr>
      <t>2019</t>
    </r>
  </si>
  <si>
    <t>(+) Other</t>
  </si>
  <si>
    <t>ENTERPRISE VALUE:</t>
  </si>
  <si>
    <t>Subtract other financial claims:</t>
  </si>
  <si>
    <r>
      <rPr>
        <rFont val="Arial Narrow"/>
        <color theme="1"/>
        <sz val="11.0"/>
      </rPr>
      <t>(-) Notes Payable</t>
    </r>
    <r>
      <rPr>
        <rFont val="Arial Narrow"/>
        <color theme="1"/>
        <sz val="11.0"/>
        <vertAlign val="subscript"/>
      </rPr>
      <t>2019</t>
    </r>
  </si>
  <si>
    <r>
      <rPr>
        <rFont val="Arial Narrow"/>
        <color theme="1"/>
        <sz val="11.0"/>
      </rPr>
      <t>(-) Value of stock comp outstanding</t>
    </r>
    <r>
      <rPr>
        <rFont val="Arial Narrow"/>
        <color theme="1"/>
        <sz val="11.0"/>
        <vertAlign val="subscript"/>
      </rPr>
      <t>2019</t>
    </r>
    <r>
      <rPr>
        <rFont val="Arial Narrow"/>
        <color theme="1"/>
        <sz val="11.0"/>
      </rPr>
      <t>* (1-tax rate)</t>
    </r>
  </si>
  <si>
    <t>EQUITY VALUE at 1/31/2020:</t>
  </si>
  <si>
    <t># shares outstanding 1/31/2020 (millions)</t>
  </si>
  <si>
    <t>&lt;--Morningstar states they use "projected diluted shares"  but not sure where this comes from.</t>
  </si>
  <si>
    <t>Value per share = Value of Equity / # of shares</t>
  </si>
  <si>
    <t>Value per share at 8/20/2020</t>
  </si>
  <si>
    <t>Morningstar General Model v6.001</t>
  </si>
  <si>
    <t>© 2017 Morningstar, Inc. All Rights Reserved.</t>
  </si>
  <si>
    <t>Systematic Risk Bucket Assignment Tool</t>
  </si>
  <si>
    <t>If the economy entered a recession next year with a 2%-3% drop in real GDP,</t>
  </si>
  <si>
    <t>% of Cash and Investments Added to FVE</t>
  </si>
  <si>
    <t>by how much would you expect this company's total revenue to decline?</t>
  </si>
  <si>
    <t>Cash and Investments in Fair Value Estimate</t>
  </si>
  <si>
    <t>Between 2.5% and 10%</t>
  </si>
  <si>
    <t>Revenue Cyclicality:</t>
  </si>
  <si>
    <t xml:space="preserve">  Revenue cycality score</t>
  </si>
  <si>
    <t>Cost of Capital</t>
  </si>
  <si>
    <t>Credit Risk Spread</t>
  </si>
  <si>
    <t>Systematic Risk to Equity Rating from Assignment Tool (Cyclicality)</t>
  </si>
  <si>
    <t>Average</t>
  </si>
  <si>
    <t>Extremely Low</t>
  </si>
  <si>
    <t>b) What is a normalized/"mid-cycle" operating margin for this company?</t>
  </si>
  <si>
    <t>Country Risk Premium and Inflation Adjustment for COE</t>
  </si>
  <si>
    <t>Very Low</t>
  </si>
  <si>
    <t>Estimated Cost of Equity</t>
  </si>
  <si>
    <t>Low</t>
  </si>
  <si>
    <t>Credit Risk (based on your analysis of solvency, liquidity, coverage)</t>
  </si>
  <si>
    <t>Moderate</t>
  </si>
  <si>
    <t>Estimated Pre-Tax Cost of Debt</t>
  </si>
  <si>
    <t>Above average</t>
  </si>
  <si>
    <t xml:space="preserve">c) What percentage of costs (including COGS and SG&amp;A) would you estimate are </t>
  </si>
  <si>
    <t>Estimated Cost of Preferred</t>
  </si>
  <si>
    <t>High</t>
  </si>
  <si>
    <t xml:space="preserve">    fixed in the short run?</t>
  </si>
  <si>
    <t>Reporting Currency Expected Inflation Premium for COD</t>
  </si>
  <si>
    <t>Capital</t>
  </si>
  <si>
    <t>Very High</t>
  </si>
  <si>
    <t>Operating Leverage:</t>
  </si>
  <si>
    <t>Weighting of Equity in WACC</t>
  </si>
  <si>
    <t>Equity ($)</t>
  </si>
  <si>
    <t>Operating Leverage Score:</t>
  </si>
  <si>
    <t>Weighting of Debt in WACC</t>
  </si>
  <si>
    <t>Debt ($)</t>
  </si>
  <si>
    <t xml:space="preserve">  Operating leverage score</t>
  </si>
  <si>
    <t>Weighting of Preferred in WACC</t>
  </si>
  <si>
    <t>Preferred ($)</t>
  </si>
  <si>
    <t>d) What is the ratio of Enterprise Value to the Fair Value of Equity?</t>
  </si>
  <si>
    <t>Total</t>
  </si>
  <si>
    <t>Total capital ($)</t>
  </si>
  <si>
    <t>Financial Leverage:</t>
  </si>
  <si>
    <t>Long-Run Tax Rate</t>
  </si>
  <si>
    <t xml:space="preserve">  Financial leverage score</t>
  </si>
  <si>
    <t>Suggested Systematic Risk Rating:</t>
  </si>
  <si>
    <t xml:space="preserve">  Average score</t>
  </si>
  <si>
    <t>WACC</t>
  </si>
  <si>
    <t>For the value of equity, we will use the market cap as of the end of the fiscal year.</t>
  </si>
  <si>
    <t>HD price per share was $228.10 on Jan. 31, 2020 and total outstanding shares were 1,077 million.</t>
  </si>
  <si>
    <t>Option Value based on the Black-Scholes Model:</t>
  </si>
  <si>
    <t>Per Footnote 8:</t>
  </si>
  <si>
    <t>Black-Scholes Option Pricing Model</t>
  </si>
  <si>
    <t>Inputs:</t>
  </si>
  <si>
    <t>Stock Price (S)</t>
  </si>
  <si>
    <t>Strike Price (X)</t>
  </si>
  <si>
    <r>
      <rPr>
        <rFont val="Arial"/>
        <color theme="1"/>
        <sz val="10.0"/>
      </rPr>
      <t>Volatility (</t>
    </r>
    <r>
      <rPr>
        <rFont val="Symbol"/>
        <color theme="1"/>
        <sz val="10.0"/>
      </rPr>
      <t>s</t>
    </r>
    <r>
      <rPr>
        <rFont val="Arial"/>
        <color theme="1"/>
        <sz val="10.0"/>
      </rPr>
      <t>)</t>
    </r>
  </si>
  <si>
    <t>Risk-free Rate</t>
  </si>
  <si>
    <t>Time to expiration (T)</t>
  </si>
  <si>
    <t>yrs</t>
  </si>
  <si>
    <t>Dividend Yield</t>
  </si>
  <si>
    <t># of Options (000)</t>
  </si>
  <si>
    <t># Shares Outstanding (000)</t>
  </si>
  <si>
    <t>Tax Rate</t>
  </si>
  <si>
    <t>Output:</t>
  </si>
  <si>
    <t>D1</t>
  </si>
  <si>
    <t>D2</t>
  </si>
  <si>
    <t>N(D1)</t>
  </si>
  <si>
    <t>N(D2)</t>
  </si>
  <si>
    <t>Call Price</t>
  </si>
  <si>
    <t>Value of Call Options (000)</t>
  </si>
  <si>
    <t>Restricted nonvested shares oustanding (000)</t>
  </si>
  <si>
    <t>Value of Restricted shares outstanding (000)</t>
  </si>
  <si>
    <t>Value of options + restricted shares</t>
  </si>
  <si>
    <t>Less: Unrecognized expense ($000)</t>
  </si>
  <si>
    <t>Before tax value of stock comp outstanding ($000)</t>
  </si>
  <si>
    <t>After-tax Stock Comp Value (000)</t>
  </si>
  <si>
    <t>Source: http://www3.nd.edu/~scorwin/fin70610/BlackScholes.xls</t>
  </si>
  <si>
    <t>RSU footnote: HD does not tell us how many of the restricted units are RSUs</t>
  </si>
  <si>
    <t>versus restricted shares of stock. We will assume that all units are RSUs.</t>
  </si>
  <si>
    <t>Stock Price as of January 31, 2020 per Yahoo!Finance -- I suggest you start with this value and then iteratively re-value the options with your estimates of intrinsic equity value. For the purposes of this assignment, do not worry about iterating.</t>
  </si>
  <si>
    <t>RESIDUAL INCOME VALUATION</t>
  </si>
  <si>
    <r>
      <rPr>
        <rFont val="Arial Narrow"/>
        <color theme="1"/>
        <sz val="11.0"/>
      </rPr>
      <t>R</t>
    </r>
    <r>
      <rPr>
        <rFont val="Arial Narrow"/>
        <color theme="1"/>
        <sz val="11.0"/>
        <vertAlign val="subscript"/>
      </rPr>
      <t>e</t>
    </r>
  </si>
  <si>
    <r>
      <rPr>
        <rFont val="Arial Narrow"/>
        <color theme="1"/>
        <sz val="11.0"/>
      </rPr>
      <t>BVE</t>
    </r>
    <r>
      <rPr>
        <rFont val="Arial Narrow"/>
        <color theme="1"/>
        <sz val="11.0"/>
        <vertAlign val="subscript"/>
      </rPr>
      <t>(t-1)</t>
    </r>
  </si>
  <si>
    <t>NI</t>
  </si>
  <si>
    <t>RI</t>
  </si>
  <si>
    <t>Discount factor</t>
  </si>
  <si>
    <t>PV(RI)</t>
  </si>
  <si>
    <t>Sum PV(RI)</t>
  </si>
  <si>
    <t>Explicit forecast horizon (T years)</t>
  </si>
  <si>
    <t>Terminal (i.e., perpetuity) growth rate</t>
  </si>
  <si>
    <t>TV</t>
  </si>
  <si>
    <t>Equity value at 1/31/2020</t>
  </si>
  <si>
    <t>Shares outstanding</t>
  </si>
  <si>
    <t>Value per share at 1/31/2020</t>
  </si>
  <si>
    <t>Difference from WACC DCF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</si>
</sst>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8">
    <numFmt numFmtId="164" formatCode="_(* #,##0.0_);_(* \(#,##0.0\);_(* &quot;-&quot;??_);_(@_)"/>
    <numFmt numFmtId="165" formatCode="_(&quot;$&quot;* #,##0.00_);_(&quot;$&quot;* \(#,##0.00\);_(&quot;$&quot;* &quot;-&quot;??_);_(@_)"/>
    <numFmt numFmtId="166" formatCode="0.0%"/>
    <numFmt numFmtId="167" formatCode="_(* #,##0_);_(* \(#,##0\);_(* &quot;-&quot;??_);_(@_)"/>
    <numFmt numFmtId="168" formatCode="_(* #,##0.0_);_(* \(#,##0.0\);_(* &quot;-&quot;_);_(@_)"/>
    <numFmt numFmtId="169" formatCode="_(* #,##0.00_);_(* \(#,##0.00\);_(* &quot;-&quot;??_);_(@_)"/>
    <numFmt numFmtId="170" formatCode="_(* #,##0.0_);_(* \(#,##0.0\)_)\ ;_(* 0_)"/>
    <numFmt numFmtId="171" formatCode="#,##0.0"/>
    <numFmt numFmtId="172" formatCode="_(* #,##0_);_(* \(#,##0\);_(* &quot;-&quot;_);_(@_)"/>
    <numFmt numFmtId="173" formatCode="_(* #,##0.0_);_(* \(#,##0.0\);_(* &quot;-&quot;?_);_(@_)"/>
    <numFmt numFmtId="174" formatCode="_(&quot;$&quot;* #,##0.00_);_(&quot;$&quot;* \(#,##0.00\);_(&quot;$&quot;* &quot;-&quot;??.0_);_(@_)"/>
    <numFmt numFmtId="175" formatCode="0.0%;[Red]\-0.0%"/>
    <numFmt numFmtId="176" formatCode="0%;[Red]\-0%"/>
    <numFmt numFmtId="177" formatCode="0.0"/>
    <numFmt numFmtId="178" formatCode="&quot;$&quot;#,##0.00"/>
    <numFmt numFmtId="179" formatCode="0.00000"/>
    <numFmt numFmtId="180" formatCode="&quot;$&quot;#,##0.00000"/>
    <numFmt numFmtId="181" formatCode="&quot;$&quot;#,##0"/>
  </numFmts>
  <fonts count="27">
    <font>
      <sz val="11.0"/>
      <color theme="1"/>
      <name val="Calibri"/>
      <scheme val="minor"/>
    </font>
    <font>
      <sz val="11.0"/>
      <color theme="1"/>
      <name val="Arial Narrow"/>
    </font>
    <font>
      <b/>
      <sz val="12.0"/>
      <color theme="1"/>
      <name val="Arial Narrow"/>
    </font>
    <font>
      <b/>
      <sz val="11.0"/>
      <color theme="1"/>
      <name val="Arial Narrow"/>
    </font>
    <font>
      <u/>
      <sz val="11.0"/>
      <color theme="10"/>
      <name val="Calibri"/>
    </font>
    <font>
      <b/>
      <u/>
      <sz val="11.0"/>
      <color theme="1"/>
      <name val="Arial Narrow"/>
    </font>
    <font>
      <b/>
      <u/>
      <sz val="11.0"/>
      <color theme="1"/>
      <name val="Arial Narrow"/>
    </font>
    <font>
      <sz val="11.0"/>
      <color rgb="FF000000"/>
      <name val="Arial Narrow"/>
    </font>
    <font>
      <i/>
      <sz val="11.0"/>
      <color theme="1"/>
      <name val="Arial Narrow"/>
    </font>
    <font>
      <sz val="11.0"/>
      <color rgb="FF212529"/>
      <name val="Arial Narrow"/>
    </font>
    <font>
      <b/>
      <sz val="11.0"/>
      <color rgb="FF000000"/>
      <name val="Arial Narrow"/>
    </font>
    <font>
      <i/>
      <sz val="11.0"/>
      <color rgb="FF000000"/>
      <name val="Arial Narrow"/>
    </font>
    <font>
      <sz val="9.0"/>
      <color theme="1"/>
      <name val="Arial Narrow"/>
    </font>
    <font/>
    <font>
      <b/>
      <sz val="12.0"/>
      <color theme="1"/>
      <name val="Calibri"/>
    </font>
    <font>
      <b/>
      <sz val="12.0"/>
      <color rgb="FF000000"/>
      <name val="Arial Narrow"/>
    </font>
    <font>
      <sz val="12.0"/>
      <color rgb="FF000000"/>
      <name val="Arial Narrow"/>
    </font>
    <font>
      <b/>
      <u/>
      <sz val="11.0"/>
      <color rgb="FF000000"/>
      <name val="Arial Narrow"/>
    </font>
    <font>
      <sz val="12.0"/>
      <color theme="1"/>
      <name val="Arial Narrow"/>
    </font>
    <font>
      <sz val="10.0"/>
      <color rgb="FF000000"/>
      <name val="Arial Narrow"/>
    </font>
    <font>
      <u/>
      <sz val="11.0"/>
      <color rgb="FF000000"/>
      <name val="Arial Narrow"/>
    </font>
    <font>
      <sz val="11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b/>
      <sz val="10.0"/>
      <color rgb="FFFFFFCC"/>
      <name val="Arial"/>
    </font>
    <font>
      <sz val="10.0"/>
      <color rgb="FFFFFFCC"/>
      <name val="Arial"/>
    </font>
    <font>
      <sz val="8.0"/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FEF2CB"/>
        <bgColor rgb="FFFEF2CB"/>
      </patternFill>
    </fill>
    <fill>
      <patternFill patternType="solid">
        <fgColor rgb="FFC5E0B3"/>
        <bgColor rgb="FFC5E0B3"/>
      </patternFill>
    </fill>
    <fill>
      <patternFill patternType="solid">
        <fgColor theme="6"/>
        <bgColor theme="6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rgb="FF333399"/>
        <bgColor rgb="FF333399"/>
      </patternFill>
    </fill>
    <fill>
      <patternFill patternType="solid">
        <fgColor rgb="FF9999FF"/>
        <bgColor rgb="FF9999FF"/>
      </patternFill>
    </fill>
    <fill>
      <patternFill patternType="solid">
        <fgColor rgb="FFFFFFCC"/>
        <bgColor rgb="FFFFFFCC"/>
      </patternFill>
    </fill>
    <fill>
      <patternFill patternType="solid">
        <fgColor rgb="FFA8D08D"/>
        <bgColor rgb="FFA8D08D"/>
      </patternFill>
    </fill>
    <fill>
      <patternFill patternType="solid">
        <fgColor rgb="FFDADADA"/>
        <bgColor rgb="FFDADADA"/>
      </patternFill>
    </fill>
  </fills>
  <borders count="22">
    <border/>
    <border>
      <left/>
      <right/>
      <top/>
      <bottom/>
    </border>
    <border>
      <bottom style="thin">
        <color rgb="FF000000"/>
      </bottom>
    </border>
    <border>
      <left/>
      <right/>
      <top/>
      <bottom style="thin">
        <color rgb="FF000000"/>
      </bottom>
    </border>
    <border>
      <top style="thin">
        <color rgb="FF000000"/>
      </top>
      <bottom style="double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medium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thin">
        <color rgb="FF000000"/>
      </left>
      <top/>
      <bottom/>
    </border>
    <border>
      <right/>
      <top/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3" numFmtId="0" xfId="0" applyFont="1"/>
    <xf borderId="0" fillId="0" fontId="4" numFmtId="0" xfId="0" applyFont="1"/>
    <xf borderId="1" fillId="2" fontId="1" numFmtId="0" xfId="0" applyBorder="1" applyFill="1" applyFont="1"/>
    <xf borderId="1" fillId="3" fontId="1" numFmtId="0" xfId="0" applyBorder="1" applyFill="1" applyFont="1"/>
    <xf borderId="0" fillId="0" fontId="2" numFmtId="0" xfId="0" applyFont="1"/>
    <xf borderId="0" fillId="0" fontId="5" numFmtId="0" xfId="0" applyFont="1"/>
    <xf borderId="0" fillId="0" fontId="6" numFmtId="0" xfId="0" applyAlignment="1" applyFont="1">
      <alignment horizontal="center"/>
    </xf>
    <xf borderId="0" fillId="0" fontId="1" numFmtId="164" xfId="0" applyFont="1" applyNumberFormat="1"/>
    <xf borderId="0" fillId="0" fontId="1" numFmtId="165" xfId="0" applyFont="1" applyNumberFormat="1"/>
    <xf borderId="0" fillId="0" fontId="1" numFmtId="166" xfId="0" applyFont="1" applyNumberFormat="1"/>
    <xf borderId="1" fillId="3" fontId="1" numFmtId="166" xfId="0" applyBorder="1" applyFont="1" applyNumberFormat="1"/>
    <xf borderId="0" fillId="0" fontId="1" numFmtId="167" xfId="0" applyFont="1" applyNumberFormat="1"/>
    <xf borderId="0" fillId="0" fontId="7" numFmtId="167" xfId="0" applyAlignment="1" applyFont="1" applyNumberFormat="1">
      <alignment horizontal="right" shrinkToFit="0" vertical="center" wrapText="1"/>
    </xf>
    <xf borderId="0" fillId="0" fontId="1" numFmtId="9" xfId="0" applyFont="1" applyNumberFormat="1"/>
    <xf borderId="1" fillId="3" fontId="1" numFmtId="9" xfId="0" applyBorder="1" applyFont="1" applyNumberFormat="1"/>
    <xf borderId="0" fillId="0" fontId="8" numFmtId="0" xfId="0" applyFont="1"/>
    <xf borderId="0" fillId="0" fontId="8" numFmtId="166" xfId="0" applyFont="1" applyNumberFormat="1"/>
    <xf borderId="1" fillId="3" fontId="8" numFmtId="166" xfId="0" applyBorder="1" applyFont="1" applyNumberFormat="1"/>
    <xf borderId="0" fillId="0" fontId="7" numFmtId="0" xfId="0" applyAlignment="1" applyFont="1">
      <alignment horizontal="left" vertical="top"/>
    </xf>
    <xf borderId="1" fillId="3" fontId="7" numFmtId="167" xfId="0" applyAlignment="1" applyBorder="1" applyFont="1" applyNumberFormat="1">
      <alignment horizontal="right" shrinkToFit="0" vertical="center" wrapText="1"/>
    </xf>
    <xf borderId="0" fillId="0" fontId="7" numFmtId="167" xfId="0" applyAlignment="1" applyFont="1" applyNumberFormat="1">
      <alignment horizontal="right" vertical="center"/>
    </xf>
    <xf borderId="1" fillId="3" fontId="7" numFmtId="167" xfId="0" applyAlignment="1" applyBorder="1" applyFont="1" applyNumberFormat="1">
      <alignment horizontal="right" vertical="center"/>
    </xf>
    <xf borderId="1" fillId="3" fontId="1" numFmtId="164" xfId="0" applyBorder="1" applyFont="1" applyNumberFormat="1"/>
    <xf borderId="0" fillId="0" fontId="1" numFmtId="168" xfId="0" applyAlignment="1" applyFont="1" applyNumberFormat="1">
      <alignment horizontal="right"/>
    </xf>
    <xf borderId="1" fillId="2" fontId="1" numFmtId="164" xfId="0" applyBorder="1" applyFont="1" applyNumberFormat="1"/>
    <xf borderId="0" fillId="0" fontId="1" numFmtId="0" xfId="0" applyAlignment="1" applyFont="1">
      <alignment shrinkToFit="0" wrapText="1"/>
    </xf>
    <xf borderId="0" fillId="0" fontId="9" numFmtId="0" xfId="0" applyAlignment="1" applyFont="1">
      <alignment horizontal="left" shrinkToFit="0" vertical="center" wrapText="1"/>
    </xf>
    <xf borderId="0" fillId="0" fontId="10" numFmtId="0" xfId="0" applyAlignment="1" applyFont="1">
      <alignment horizontal="left" vertical="top"/>
    </xf>
    <xf borderId="0" fillId="0" fontId="7" numFmtId="167" xfId="0" applyAlignment="1" applyFont="1" applyNumberFormat="1">
      <alignment horizontal="right" shrinkToFit="0" vertical="top" wrapText="1"/>
    </xf>
    <xf borderId="0" fillId="0" fontId="1" numFmtId="0" xfId="0" applyAlignment="1" applyFont="1">
      <alignment vertical="top"/>
    </xf>
    <xf borderId="1" fillId="3" fontId="1" numFmtId="167" xfId="0" applyBorder="1" applyFont="1" applyNumberFormat="1"/>
    <xf borderId="1" fillId="2" fontId="1" numFmtId="167" xfId="0" applyAlignment="1" applyBorder="1" applyFont="1" applyNumberFormat="1">
      <alignment horizontal="right" vertical="center"/>
    </xf>
    <xf borderId="0" fillId="0" fontId="11" numFmtId="0" xfId="0" applyAlignment="1" applyFont="1">
      <alignment horizontal="left" vertical="top"/>
    </xf>
    <xf borderId="0" fillId="0" fontId="8" numFmtId="166" xfId="0" applyAlignment="1" applyFont="1" applyNumberFormat="1">
      <alignment horizontal="right"/>
    </xf>
    <xf borderId="2" fillId="0" fontId="7" numFmtId="167" xfId="0" applyAlignment="1" applyBorder="1" applyFont="1" applyNumberFormat="1">
      <alignment horizontal="right" vertical="center"/>
    </xf>
    <xf borderId="3" fillId="2" fontId="1" numFmtId="167" xfId="0" applyAlignment="1" applyBorder="1" applyFont="1" applyNumberFormat="1">
      <alignment horizontal="right" vertical="center"/>
    </xf>
    <xf borderId="0" fillId="0" fontId="11" numFmtId="166" xfId="0" applyAlignment="1" applyFont="1" applyNumberFormat="1">
      <alignment horizontal="right"/>
    </xf>
    <xf borderId="2" fillId="0" fontId="7" numFmtId="167" xfId="0" applyAlignment="1" applyBorder="1" applyFont="1" applyNumberFormat="1">
      <alignment horizontal="right" shrinkToFit="0" vertical="center" wrapText="1"/>
    </xf>
    <xf borderId="2" fillId="0" fontId="7" numFmtId="0" xfId="0" applyAlignment="1" applyBorder="1" applyFont="1">
      <alignment horizontal="left" vertical="top"/>
    </xf>
    <xf borderId="1" fillId="4" fontId="7" numFmtId="0" xfId="0" applyAlignment="1" applyBorder="1" applyFill="1" applyFont="1">
      <alignment horizontal="left" vertical="top"/>
    </xf>
    <xf borderId="1" fillId="4" fontId="7" numFmtId="167" xfId="0" applyAlignment="1" applyBorder="1" applyFont="1" applyNumberFormat="1">
      <alignment horizontal="right" vertical="center"/>
    </xf>
    <xf borderId="1" fillId="4" fontId="1" numFmtId="167" xfId="0" applyAlignment="1" applyBorder="1" applyFont="1" applyNumberFormat="1">
      <alignment horizontal="right" vertical="center"/>
    </xf>
    <xf borderId="1" fillId="4" fontId="1" numFmtId="0" xfId="0" applyBorder="1" applyFont="1"/>
    <xf borderId="3" fillId="4" fontId="7" numFmtId="167" xfId="0" applyAlignment="1" applyBorder="1" applyFont="1" applyNumberFormat="1">
      <alignment horizontal="right" vertical="center"/>
    </xf>
    <xf borderId="3" fillId="4" fontId="1" numFmtId="167" xfId="0" applyAlignment="1" applyBorder="1" applyFont="1" applyNumberFormat="1">
      <alignment horizontal="right" vertical="center"/>
    </xf>
    <xf borderId="0" fillId="0" fontId="7" numFmtId="164" xfId="0" applyAlignment="1" applyFont="1" applyNumberFormat="1">
      <alignment horizontal="left" vertical="top"/>
    </xf>
    <xf borderId="1" fillId="2" fontId="1" numFmtId="169" xfId="0" applyAlignment="1" applyBorder="1" applyFont="1" applyNumberFormat="1">
      <alignment horizontal="right" vertical="center"/>
    </xf>
    <xf borderId="4" fillId="0" fontId="7" numFmtId="167" xfId="0" applyAlignment="1" applyBorder="1" applyFont="1" applyNumberFormat="1">
      <alignment horizontal="right" vertical="center"/>
    </xf>
    <xf borderId="0" fillId="0" fontId="1" numFmtId="10" xfId="0" applyAlignment="1" applyFont="1" applyNumberFormat="1">
      <alignment horizontal="right"/>
    </xf>
    <xf borderId="1" fillId="4" fontId="7" numFmtId="170" xfId="0" applyAlignment="1" applyBorder="1" applyFont="1" applyNumberFormat="1">
      <alignment horizontal="right" shrinkToFit="0" vertical="top" wrapText="1"/>
    </xf>
    <xf borderId="1" fillId="4" fontId="7" numFmtId="167" xfId="0" applyBorder="1" applyFont="1" applyNumberFormat="1"/>
    <xf borderId="1" fillId="4" fontId="1" numFmtId="167" xfId="0" applyBorder="1" applyFont="1" applyNumberFormat="1"/>
    <xf borderId="0" fillId="0" fontId="7" numFmtId="170" xfId="0" applyAlignment="1" applyFont="1" applyNumberFormat="1">
      <alignment horizontal="right" shrinkToFit="0" vertical="top" wrapText="1"/>
    </xf>
    <xf borderId="0" fillId="0" fontId="7" numFmtId="167" xfId="0" applyFont="1" applyNumberFormat="1"/>
    <xf borderId="1" fillId="2" fontId="1" numFmtId="167" xfId="0" applyBorder="1" applyFont="1" applyNumberFormat="1"/>
    <xf borderId="2" fillId="0" fontId="7" numFmtId="167" xfId="0" applyBorder="1" applyFont="1" applyNumberFormat="1"/>
    <xf borderId="3" fillId="2" fontId="1" numFmtId="167" xfId="0" applyBorder="1" applyFont="1" applyNumberFormat="1"/>
    <xf borderId="0" fillId="0" fontId="10" numFmtId="170" xfId="0" applyAlignment="1" applyFont="1" applyNumberFormat="1">
      <alignment horizontal="right" shrinkToFit="0" vertical="top" wrapText="1"/>
    </xf>
    <xf borderId="4" fillId="0" fontId="10" numFmtId="167" xfId="0" applyBorder="1" applyFont="1" applyNumberFormat="1"/>
    <xf borderId="4" fillId="0" fontId="3" numFmtId="167" xfId="0" applyBorder="1" applyFont="1" applyNumberFormat="1"/>
    <xf borderId="2" fillId="0" fontId="1" numFmtId="167" xfId="0" applyBorder="1" applyFont="1" applyNumberFormat="1"/>
    <xf borderId="0" fillId="0" fontId="10" numFmtId="167" xfId="0" applyFont="1" applyNumberFormat="1"/>
    <xf borderId="0" fillId="0" fontId="12" numFmtId="0" xfId="0" applyFont="1"/>
    <xf borderId="0" fillId="0" fontId="12" numFmtId="171" xfId="0" applyFont="1" applyNumberFormat="1"/>
    <xf borderId="0" fillId="0" fontId="3" numFmtId="0" xfId="0" applyAlignment="1" applyFont="1">
      <alignment vertical="top"/>
    </xf>
    <xf borderId="0" fillId="0" fontId="1" numFmtId="167" xfId="0" applyAlignment="1" applyFont="1" applyNumberFormat="1">
      <alignment horizontal="right"/>
    </xf>
    <xf borderId="1" fillId="2" fontId="7" numFmtId="0" xfId="0" applyAlignment="1" applyBorder="1" applyFont="1">
      <alignment horizontal="left" vertical="top"/>
    </xf>
    <xf borderId="1" fillId="5" fontId="7" numFmtId="0" xfId="0" applyAlignment="1" applyBorder="1" applyFill="1" applyFont="1">
      <alignment horizontal="left" vertical="top"/>
    </xf>
    <xf borderId="2" fillId="0" fontId="7" numFmtId="167" xfId="0" applyAlignment="1" applyBorder="1" applyFont="1" applyNumberFormat="1">
      <alignment horizontal="right" shrinkToFit="0" vertical="top" wrapText="1"/>
    </xf>
    <xf borderId="0" fillId="0" fontId="10" numFmtId="167" xfId="0" applyAlignment="1" applyFont="1" applyNumberFormat="1">
      <alignment horizontal="right" shrinkToFit="0" vertical="top" wrapText="1"/>
    </xf>
    <xf borderId="0" fillId="0" fontId="3" numFmtId="167" xfId="0" applyFont="1" applyNumberFormat="1"/>
    <xf borderId="0" fillId="0" fontId="7" numFmtId="167" xfId="0" applyAlignment="1" applyFont="1" applyNumberFormat="1">
      <alignment horizontal="left" vertical="top"/>
    </xf>
    <xf borderId="4" fillId="0" fontId="1" numFmtId="167" xfId="0" applyBorder="1" applyFont="1" applyNumberFormat="1"/>
    <xf borderId="0" fillId="0" fontId="1" numFmtId="172" xfId="0" applyAlignment="1" applyFont="1" applyNumberFormat="1">
      <alignment horizontal="right"/>
    </xf>
    <xf borderId="0" fillId="0" fontId="12" numFmtId="0" xfId="0" applyAlignment="1" applyFont="1">
      <alignment vertical="top"/>
    </xf>
    <xf borderId="0" fillId="0" fontId="7" numFmtId="166" xfId="0" applyAlignment="1" applyFont="1" applyNumberFormat="1">
      <alignment horizontal="right" shrinkToFit="0" vertical="center" wrapText="1"/>
    </xf>
    <xf borderId="2" fillId="0" fontId="7" numFmtId="166" xfId="0" applyAlignment="1" applyBorder="1" applyFont="1" applyNumberFormat="1">
      <alignment horizontal="right" vertical="center"/>
    </xf>
    <xf borderId="2" fillId="0" fontId="1" numFmtId="166" xfId="0" applyAlignment="1" applyBorder="1" applyFont="1" applyNumberFormat="1">
      <alignment horizontal="right" vertical="center"/>
    </xf>
    <xf borderId="0" fillId="0" fontId="7" numFmtId="166" xfId="0" applyAlignment="1" applyFont="1" applyNumberFormat="1">
      <alignment horizontal="right" vertical="center"/>
    </xf>
    <xf borderId="0" fillId="0" fontId="1" numFmtId="166" xfId="0" applyAlignment="1" applyFont="1" applyNumberFormat="1">
      <alignment horizontal="right" vertical="center"/>
    </xf>
    <xf borderId="2" fillId="0" fontId="7" numFmtId="166" xfId="0" applyAlignment="1" applyBorder="1" applyFont="1" applyNumberFormat="1">
      <alignment horizontal="right" shrinkToFit="0" vertical="center" wrapText="1"/>
    </xf>
    <xf borderId="4" fillId="0" fontId="7" numFmtId="166" xfId="0" applyAlignment="1" applyBorder="1" applyFont="1" applyNumberFormat="1">
      <alignment horizontal="right" vertical="center"/>
    </xf>
    <xf borderId="0" fillId="0" fontId="7" numFmtId="166" xfId="0" applyFont="1" applyNumberFormat="1"/>
    <xf borderId="2" fillId="0" fontId="7" numFmtId="166" xfId="0" applyBorder="1" applyFont="1" applyNumberFormat="1"/>
    <xf borderId="4" fillId="0" fontId="10" numFmtId="166" xfId="0" applyBorder="1" applyFont="1" applyNumberFormat="1"/>
    <xf borderId="0" fillId="0" fontId="7" numFmtId="166" xfId="0" applyAlignment="1" applyFont="1" applyNumberFormat="1">
      <alignment horizontal="right" shrinkToFit="0" vertical="top" wrapText="1"/>
    </xf>
    <xf borderId="0" fillId="0" fontId="1" numFmtId="166" xfId="0" applyAlignment="1" applyFont="1" applyNumberFormat="1">
      <alignment horizontal="right"/>
    </xf>
    <xf borderId="2" fillId="0" fontId="7" numFmtId="166" xfId="0" applyAlignment="1" applyBorder="1" applyFont="1" applyNumberFormat="1">
      <alignment horizontal="right" shrinkToFit="0" vertical="top" wrapText="1"/>
    </xf>
    <xf borderId="2" fillId="0" fontId="1" numFmtId="166" xfId="0" applyBorder="1" applyFont="1" applyNumberFormat="1"/>
    <xf borderId="0" fillId="0" fontId="10" numFmtId="166" xfId="0" applyAlignment="1" applyFont="1" applyNumberFormat="1">
      <alignment horizontal="right" shrinkToFit="0" vertical="top" wrapText="1"/>
    </xf>
    <xf borderId="0" fillId="0" fontId="3" numFmtId="166" xfId="0" applyFont="1" applyNumberFormat="1"/>
    <xf borderId="0" fillId="0" fontId="7" numFmtId="166" xfId="0" applyAlignment="1" applyFont="1" applyNumberFormat="1">
      <alignment horizontal="left" vertical="top"/>
    </xf>
    <xf borderId="4" fillId="0" fontId="1" numFmtId="166" xfId="0" applyBorder="1" applyFont="1" applyNumberFormat="1"/>
    <xf borderId="4" fillId="0" fontId="1" numFmtId="164" xfId="0" applyBorder="1" applyFont="1" applyNumberFormat="1"/>
    <xf borderId="3" fillId="2" fontId="1" numFmtId="164" xfId="0" applyBorder="1" applyFont="1" applyNumberFormat="1"/>
    <xf borderId="0" fillId="0" fontId="1" numFmtId="173" xfId="0" applyFont="1" applyNumberFormat="1"/>
    <xf borderId="0" fillId="0" fontId="1" numFmtId="169" xfId="0" applyFont="1" applyNumberFormat="1"/>
    <xf borderId="3" fillId="2" fontId="1" numFmtId="169" xfId="0" applyBorder="1" applyFont="1" applyNumberFormat="1"/>
    <xf borderId="0" fillId="0" fontId="3" numFmtId="164" xfId="0" applyFont="1" applyNumberFormat="1"/>
    <xf borderId="0" fillId="0" fontId="1" numFmtId="0" xfId="0" applyAlignment="1" applyFont="1">
      <alignment readingOrder="0"/>
    </xf>
    <xf borderId="1" fillId="2" fontId="3" numFmtId="164" xfId="0" applyBorder="1" applyFont="1" applyNumberFormat="1"/>
    <xf borderId="2" fillId="0" fontId="1" numFmtId="164" xfId="0" applyAlignment="1" applyBorder="1" applyFont="1" applyNumberFormat="1">
      <alignment horizontal="center"/>
    </xf>
    <xf borderId="2" fillId="0" fontId="13" numFmtId="0" xfId="0" applyBorder="1" applyFont="1"/>
    <xf borderId="1" fillId="2" fontId="1" numFmtId="164" xfId="0" applyAlignment="1" applyBorder="1" applyFont="1" applyNumberFormat="1">
      <alignment readingOrder="0"/>
    </xf>
    <xf borderId="2" fillId="0" fontId="1" numFmtId="164" xfId="0" applyBorder="1" applyFont="1" applyNumberFormat="1"/>
    <xf borderId="0" fillId="0" fontId="1" numFmtId="14" xfId="0" applyFont="1" applyNumberFormat="1"/>
    <xf borderId="1" fillId="2" fontId="1" numFmtId="165" xfId="0" applyBorder="1" applyFont="1" applyNumberFormat="1"/>
    <xf borderId="1" fillId="2" fontId="3" numFmtId="174" xfId="0" applyBorder="1" applyFont="1" applyNumberFormat="1"/>
    <xf borderId="0" fillId="0" fontId="14" numFmtId="0" xfId="0" applyFont="1"/>
    <xf borderId="1" fillId="6" fontId="15" numFmtId="0" xfId="0" applyBorder="1" applyFill="1" applyFont="1"/>
    <xf borderId="1" fillId="6" fontId="14" numFmtId="0" xfId="0" applyBorder="1" applyFont="1"/>
    <xf borderId="1" fillId="7" fontId="15" numFmtId="0" xfId="0" applyBorder="1" applyFill="1" applyFont="1"/>
    <xf borderId="1" fillId="7" fontId="7" numFmtId="0" xfId="0" applyBorder="1" applyFont="1"/>
    <xf borderId="1" fillId="7" fontId="16" numFmtId="0" xfId="0" applyBorder="1" applyFont="1"/>
    <xf borderId="5" fillId="7" fontId="16" numFmtId="0" xfId="0" applyBorder="1" applyFont="1"/>
    <xf borderId="1" fillId="7" fontId="16" numFmtId="2" xfId="0" applyBorder="1" applyFont="1" applyNumberFormat="1"/>
    <xf borderId="6" fillId="7" fontId="17" numFmtId="0" xfId="0" applyBorder="1" applyFont="1"/>
    <xf borderId="7" fillId="7" fontId="16" numFmtId="0" xfId="0" applyBorder="1" applyFont="1"/>
    <xf borderId="8" fillId="7" fontId="16" numFmtId="0" xfId="0" applyBorder="1" applyFont="1"/>
    <xf borderId="1" fillId="7" fontId="18" numFmtId="0" xfId="0" applyBorder="1" applyFont="1"/>
    <xf borderId="9" fillId="6" fontId="19" numFmtId="0" xfId="0" applyBorder="1" applyFont="1"/>
    <xf borderId="1" fillId="6" fontId="19" numFmtId="0" xfId="0" applyBorder="1" applyFont="1"/>
    <xf borderId="9" fillId="7" fontId="16" numFmtId="0" xfId="0" applyBorder="1" applyFont="1"/>
    <xf borderId="10" fillId="7" fontId="16" numFmtId="0" xfId="0" applyBorder="1" applyFont="1"/>
    <xf borderId="9" fillId="7" fontId="7" numFmtId="0" xfId="0" applyBorder="1" applyFont="1"/>
    <xf borderId="10" fillId="7" fontId="7" numFmtId="0" xfId="0" applyBorder="1" applyFont="1"/>
    <xf borderId="1" fillId="7" fontId="1" numFmtId="0" xfId="0" applyBorder="1" applyFont="1"/>
    <xf borderId="5" fillId="7" fontId="18" numFmtId="0" xfId="0" applyBorder="1" applyFont="1"/>
    <xf borderId="1" fillId="8" fontId="7" numFmtId="9" xfId="0" applyBorder="1" applyFill="1" applyFont="1" applyNumberFormat="1"/>
    <xf borderId="0" fillId="0" fontId="7" numFmtId="164" xfId="0" applyFont="1" applyNumberFormat="1"/>
    <xf borderId="11" fillId="8" fontId="7" numFmtId="0" xfId="0" applyAlignment="1" applyBorder="1" applyFont="1">
      <alignment horizontal="center"/>
    </xf>
    <xf borderId="12" fillId="0" fontId="13" numFmtId="0" xfId="0" applyBorder="1" applyFont="1"/>
    <xf borderId="1" fillId="7" fontId="7" numFmtId="0" xfId="0" applyAlignment="1" applyBorder="1" applyFont="1">
      <alignment horizontal="right"/>
    </xf>
    <xf borderId="1" fillId="7" fontId="10" numFmtId="0" xfId="0" applyBorder="1" applyFont="1"/>
    <xf borderId="13" fillId="7" fontId="16" numFmtId="0" xfId="0" applyBorder="1" applyFont="1"/>
    <xf borderId="11" fillId="8" fontId="7" numFmtId="0" xfId="0" applyAlignment="1" applyBorder="1" applyFont="1">
      <alignment horizontal="center" readingOrder="0"/>
    </xf>
    <xf borderId="5" fillId="7" fontId="7" numFmtId="0" xfId="0" applyBorder="1" applyFont="1"/>
    <xf borderId="1" fillId="8" fontId="7" numFmtId="166" xfId="0" applyBorder="1" applyFont="1" applyNumberFormat="1"/>
    <xf borderId="1" fillId="7" fontId="7" numFmtId="166" xfId="0" applyBorder="1" applyFont="1" applyNumberFormat="1"/>
    <xf borderId="9" fillId="8" fontId="7" numFmtId="175" xfId="0" applyBorder="1" applyFont="1" applyNumberFormat="1"/>
    <xf borderId="1" fillId="6" fontId="7" numFmtId="10" xfId="0" applyBorder="1" applyFont="1" applyNumberFormat="1"/>
    <xf borderId="1" fillId="6" fontId="7" numFmtId="166" xfId="0" applyBorder="1" applyFont="1" applyNumberFormat="1"/>
    <xf borderId="1" fillId="7" fontId="20" numFmtId="0" xfId="0" applyAlignment="1" applyBorder="1" applyFont="1">
      <alignment horizontal="center"/>
    </xf>
    <xf borderId="14" fillId="7" fontId="7" numFmtId="0" xfId="0" applyBorder="1" applyFont="1"/>
    <xf borderId="3" fillId="7" fontId="7" numFmtId="0" xfId="0" applyBorder="1" applyFont="1"/>
    <xf borderId="15" fillId="7" fontId="7" numFmtId="0" xfId="0" applyBorder="1" applyFont="1"/>
    <xf borderId="1" fillId="8" fontId="7" numFmtId="164" xfId="0" applyBorder="1" applyFont="1" applyNumberFormat="1"/>
    <xf borderId="9" fillId="8" fontId="7" numFmtId="176" xfId="0" applyBorder="1" applyFont="1" applyNumberFormat="1"/>
    <xf borderId="1" fillId="7" fontId="7" numFmtId="177" xfId="0" applyAlignment="1" applyBorder="1" applyFont="1" applyNumberFormat="1">
      <alignment horizontal="right"/>
    </xf>
    <xf borderId="1" fillId="7" fontId="7" numFmtId="9" xfId="0" applyBorder="1" applyFont="1" applyNumberFormat="1"/>
    <xf borderId="1" fillId="7" fontId="7" numFmtId="164" xfId="0" applyAlignment="1" applyBorder="1" applyFont="1" applyNumberFormat="1">
      <alignment horizontal="center"/>
    </xf>
    <xf borderId="1" fillId="7" fontId="16" numFmtId="9" xfId="0" applyBorder="1" applyFont="1" applyNumberFormat="1"/>
    <xf borderId="9" fillId="8" fontId="7" numFmtId="40" xfId="0" applyBorder="1" applyFont="1" applyNumberFormat="1"/>
    <xf borderId="16" fillId="7" fontId="10" numFmtId="0" xfId="0" applyBorder="1" applyFont="1"/>
    <xf borderId="17" fillId="7" fontId="7" numFmtId="0" xfId="0" applyBorder="1" applyFont="1"/>
    <xf borderId="17" fillId="7" fontId="16" numFmtId="0" xfId="0" applyBorder="1" applyFont="1"/>
    <xf borderId="17" fillId="7" fontId="10" numFmtId="0" xfId="0" applyAlignment="1" applyBorder="1" applyFont="1">
      <alignment horizontal="center"/>
    </xf>
    <xf borderId="18" fillId="7" fontId="7" numFmtId="0" xfId="0" applyBorder="1" applyFont="1"/>
    <xf borderId="5" fillId="7" fontId="2" numFmtId="0" xfId="0" applyBorder="1" applyFont="1"/>
    <xf borderId="1" fillId="7" fontId="10" numFmtId="166" xfId="0" applyBorder="1" applyFont="1" applyNumberFormat="1"/>
    <xf borderId="1" fillId="6" fontId="21" numFmtId="0" xfId="0" applyBorder="1" applyFont="1"/>
    <xf borderId="0" fillId="0" fontId="22" numFmtId="0" xfId="0" applyFont="1"/>
    <xf borderId="0" fillId="0" fontId="23" numFmtId="0" xfId="0" applyFont="1"/>
    <xf borderId="19" fillId="9" fontId="24" numFmtId="0" xfId="0" applyAlignment="1" applyBorder="1" applyFill="1" applyFont="1">
      <alignment horizontal="left"/>
    </xf>
    <xf borderId="20" fillId="9" fontId="25" numFmtId="0" xfId="0" applyBorder="1" applyFont="1"/>
    <xf borderId="21" fillId="9" fontId="25" numFmtId="0" xfId="0" applyBorder="1" applyFont="1"/>
    <xf borderId="6" fillId="10" fontId="22" numFmtId="0" xfId="0" applyBorder="1" applyFill="1" applyFont="1"/>
    <xf borderId="7" fillId="10" fontId="23" numFmtId="0" xfId="0" applyBorder="1" applyFont="1"/>
    <xf borderId="13" fillId="10" fontId="23" numFmtId="0" xfId="0" applyBorder="1" applyFont="1"/>
    <xf borderId="6" fillId="11" fontId="23" numFmtId="0" xfId="0" applyBorder="1" applyFill="1" applyFont="1"/>
    <xf borderId="7" fillId="12" fontId="23" numFmtId="178" xfId="0" applyBorder="1" applyFill="1" applyFont="1" applyNumberFormat="1"/>
    <xf borderId="13" fillId="11" fontId="23" numFmtId="0" xfId="0" applyBorder="1" applyFont="1"/>
    <xf borderId="9" fillId="11" fontId="23" numFmtId="0" xfId="0" applyBorder="1" applyFont="1"/>
    <xf borderId="1" fillId="13" fontId="23" numFmtId="178" xfId="0" applyBorder="1" applyFill="1" applyFont="1" applyNumberFormat="1"/>
    <xf borderId="5" fillId="11" fontId="23" numFmtId="0" xfId="0" applyBorder="1" applyFont="1"/>
    <xf borderId="1" fillId="13" fontId="23" numFmtId="10" xfId="0" applyBorder="1" applyFont="1" applyNumberFormat="1"/>
    <xf borderId="1" fillId="13" fontId="23" numFmtId="0" xfId="0" applyBorder="1" applyFont="1"/>
    <xf borderId="1" fillId="13" fontId="23" numFmtId="3" xfId="0" applyBorder="1" applyFont="1" applyNumberFormat="1"/>
    <xf borderId="14" fillId="11" fontId="23" numFmtId="0" xfId="0" applyBorder="1" applyFont="1"/>
    <xf borderId="3" fillId="13" fontId="23" numFmtId="10" xfId="0" applyBorder="1" applyFont="1" applyNumberFormat="1"/>
    <xf borderId="15" fillId="11" fontId="23" numFmtId="0" xfId="0" applyBorder="1" applyFont="1"/>
    <xf borderId="9" fillId="10" fontId="22" numFmtId="0" xfId="0" applyBorder="1" applyFont="1"/>
    <xf borderId="1" fillId="10" fontId="23" numFmtId="0" xfId="0" applyBorder="1" applyFont="1"/>
    <xf borderId="5" fillId="10" fontId="23" numFmtId="0" xfId="0" applyBorder="1" applyFont="1"/>
    <xf borderId="6" fillId="11" fontId="22" numFmtId="0" xfId="0" applyBorder="1" applyFont="1"/>
    <xf borderId="7" fillId="11" fontId="23" numFmtId="0" xfId="0" applyBorder="1" applyFont="1"/>
    <xf borderId="1" fillId="11" fontId="23" numFmtId="179" xfId="0" applyBorder="1" applyFont="1" applyNumberFormat="1"/>
    <xf borderId="7" fillId="11" fontId="22" numFmtId="180" xfId="0" applyBorder="1" applyFont="1" applyNumberFormat="1"/>
    <xf borderId="9" fillId="11" fontId="22" numFmtId="0" xfId="0" applyBorder="1" applyFont="1"/>
    <xf borderId="1" fillId="11" fontId="22" numFmtId="181" xfId="0" applyBorder="1" applyFont="1" applyNumberFormat="1"/>
    <xf borderId="1" fillId="13" fontId="22" numFmtId="167" xfId="0" applyBorder="1" applyFont="1" applyNumberFormat="1"/>
    <xf borderId="1" fillId="13" fontId="22" numFmtId="181" xfId="0" applyBorder="1" applyFont="1" applyNumberFormat="1"/>
    <xf borderId="17" fillId="11" fontId="22" numFmtId="181" xfId="0" applyBorder="1" applyFont="1" applyNumberFormat="1"/>
    <xf borderId="14" fillId="11" fontId="22" numFmtId="0" xfId="0" applyBorder="1" applyFont="1"/>
    <xf borderId="3" fillId="11" fontId="22" numFmtId="181" xfId="0" applyBorder="1" applyFont="1" applyNumberFormat="1"/>
    <xf borderId="0" fillId="0" fontId="26" numFmtId="0" xfId="0" applyFont="1"/>
    <xf borderId="0" fillId="0" fontId="23" numFmtId="0" xfId="0" applyAlignment="1" applyFont="1">
      <alignment horizontal="left" shrinkToFit="0" vertical="top" wrapText="1"/>
    </xf>
    <xf borderId="1" fillId="2" fontId="1" numFmtId="166" xfId="0" applyBorder="1" applyFont="1" applyNumberFormat="1"/>
    <xf borderId="1" fillId="2" fontId="1" numFmtId="169" xfId="0" applyBorder="1" applyFont="1" applyNumberFormat="1"/>
    <xf borderId="1" fillId="2" fontId="1" numFmtId="166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0</xdr:row>
      <xdr:rowOff>57150</xdr:rowOff>
    </xdr:from>
    <xdr:ext cx="1133475" cy="314325"/>
    <xdr:pic>
      <xdr:nvPicPr>
        <xdr:cNvPr descr="gsblogo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</xdr:row>
      <xdr:rowOff>19050</xdr:rowOff>
    </xdr:from>
    <xdr:ext cx="419100" cy="3810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38100</xdr:colOff>
      <xdr:row>3</xdr:row>
      <xdr:rowOff>28575</xdr:rowOff>
    </xdr:from>
    <xdr:ext cx="7658100" cy="66389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55</xdr:row>
      <xdr:rowOff>47625</xdr:rowOff>
    </xdr:from>
    <xdr:ext cx="7515225" cy="4572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41</xdr:row>
      <xdr:rowOff>104775</xdr:rowOff>
    </xdr:from>
    <xdr:ext cx="7620000" cy="21717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2.86"/>
    <col customWidth="1" min="3" max="3" width="27.29"/>
    <col customWidth="1" min="4" max="26" width="8.86"/>
  </cols>
  <sheetData>
    <row r="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2" t="s">
        <v>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1">
        <v>1.0</v>
      </c>
      <c r="B9" s="1"/>
      <c r="C9" s="4" t="s">
        <v>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>
        <f t="shared" ref="A10:A24" si="1">A9+1</f>
        <v>2</v>
      </c>
      <c r="B10" s="1"/>
      <c r="C10" s="4" t="s">
        <v>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1">
        <f t="shared" si="1"/>
        <v>3</v>
      </c>
      <c r="B11" s="1"/>
      <c r="C11" s="4" t="s">
        <v>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">
        <f t="shared" si="1"/>
        <v>4</v>
      </c>
      <c r="B12" s="1"/>
      <c r="C12" s="4" t="s">
        <v>5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">
        <f t="shared" si="1"/>
        <v>5</v>
      </c>
      <c r="B13" s="1"/>
      <c r="C13" s="4" t="s">
        <v>6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>
        <f t="shared" si="1"/>
        <v>6</v>
      </c>
      <c r="B14" s="1"/>
      <c r="C14" s="4" t="s">
        <v>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>
        <f t="shared" si="1"/>
        <v>7</v>
      </c>
      <c r="B15" s="1"/>
      <c r="C15" s="4" t="s">
        <v>8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>
        <f t="shared" si="1"/>
        <v>8</v>
      </c>
      <c r="B16" s="1"/>
      <c r="C16" s="4" t="s">
        <v>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>
        <f t="shared" si="1"/>
        <v>9</v>
      </c>
      <c r="B17" s="1"/>
      <c r="C17" s="4" t="s">
        <v>10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>
        <f t="shared" si="1"/>
        <v>10</v>
      </c>
      <c r="B18" s="1"/>
      <c r="C18" s="4" t="s">
        <v>11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>
        <f t="shared" si="1"/>
        <v>11</v>
      </c>
      <c r="B19" s="1"/>
      <c r="C19" s="4" t="s">
        <v>12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1">
        <f t="shared" si="1"/>
        <v>12</v>
      </c>
      <c r="B20" s="1"/>
      <c r="C20" s="4" t="s">
        <v>13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>
        <f t="shared" si="1"/>
        <v>13</v>
      </c>
      <c r="B21" s="1"/>
      <c r="C21" s="4" t="s">
        <v>14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>
        <f t="shared" si="1"/>
        <v>14</v>
      </c>
      <c r="B22" s="1"/>
      <c r="C22" s="4" t="s">
        <v>15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>
        <f t="shared" si="1"/>
        <v>15</v>
      </c>
      <c r="B23" s="1"/>
      <c r="C23" s="4" t="s">
        <v>16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">
        <f t="shared" si="1"/>
        <v>16</v>
      </c>
      <c r="B24" s="1"/>
      <c r="C24" s="4" t="s">
        <v>17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/>
      <c r="B26" s="1"/>
      <c r="C26" s="5"/>
      <c r="D26" s="1" t="s">
        <v>18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6"/>
      <c r="D27" s="1" t="s">
        <v>19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A5:C5"/>
  </mergeCells>
  <hyperlinks>
    <hyperlink display="Income Statement Assumptions" location="'IS Assumptions'!A1" ref="C9"/>
    <hyperlink display="Balance Sheet Assumptions" location="'BS Assumptions'!A1" ref="C10"/>
    <hyperlink display="Cash Flow Statement Assumptions" location="'CF Assumptions'!A1" ref="C11"/>
    <hyperlink display="Income Statement" location="IncStat!A1" ref="C12"/>
    <hyperlink display="Balance Sheet" location="BalSht!A1" ref="C13"/>
    <hyperlink display="Cash Flow Statement" location="CFStat!A1" ref="C14"/>
    <hyperlink display="Common Size Income Statement" location="'IncStat (CS)'!A1" ref="C15"/>
    <hyperlink display="Common Size Balance Sheet" location="'BalSht (CS)'!A1" ref="C16"/>
    <hyperlink display="Common Size Cash Flow Statement" location="'CFStat (CS)'!A1" ref="C17"/>
    <hyperlink display="Trend Income Statement" location="'IncStat (Trend)'!A1" ref="C18"/>
    <hyperlink display="Trend Balance Sheet" location="'BalSht (Trend)'!A1" ref="C19"/>
    <hyperlink display="NOPAT and NOA calculations" location="'NOPAT NOA'!A1" ref="C20"/>
    <hyperlink display="DCF Valuation" location="'DCF Valuation'!A1" ref="C21"/>
    <hyperlink display="Cost of Capital calculations" location="'Cost of Capital'!A1" ref="C22"/>
    <hyperlink display="Stock Comp outstanding calculations" location="'Stock Comp Outstanding'!A1" ref="C23"/>
    <hyperlink display="Residual Income valuation approach" location="'RI Valuation'!A1" ref="C24"/>
  </hyperlink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43"/>
    <col customWidth="1" min="2" max="3" width="8.86"/>
    <col customWidth="1" min="4" max="4" width="9.14"/>
    <col customWidth="1" min="5" max="26" width="8.86"/>
  </cols>
  <sheetData>
    <row r="1" ht="13.5" customHeight="1">
      <c r="A1" s="7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21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v>2015.0</v>
      </c>
      <c r="D5" s="9">
        <f t="shared" ref="D5:Q5" si="1">C5+1</f>
        <v>2016</v>
      </c>
      <c r="E5" s="9">
        <f t="shared" si="1"/>
        <v>2017</v>
      </c>
      <c r="F5" s="9">
        <f t="shared" si="1"/>
        <v>2018</v>
      </c>
      <c r="G5" s="9">
        <f t="shared" si="1"/>
        <v>2019</v>
      </c>
      <c r="H5" s="9">
        <f t="shared" si="1"/>
        <v>2020</v>
      </c>
      <c r="I5" s="9">
        <f t="shared" si="1"/>
        <v>2021</v>
      </c>
      <c r="J5" s="9">
        <f t="shared" si="1"/>
        <v>2022</v>
      </c>
      <c r="K5" s="9">
        <f t="shared" si="1"/>
        <v>2023</v>
      </c>
      <c r="L5" s="9">
        <f t="shared" si="1"/>
        <v>2024</v>
      </c>
      <c r="M5" s="9">
        <f t="shared" si="1"/>
        <v>2025</v>
      </c>
      <c r="N5" s="9">
        <f t="shared" si="1"/>
        <v>2026</v>
      </c>
      <c r="O5" s="9">
        <f t="shared" si="1"/>
        <v>2027</v>
      </c>
      <c r="P5" s="9">
        <f t="shared" si="1"/>
        <v>2028</v>
      </c>
      <c r="Q5" s="9">
        <f t="shared" si="1"/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23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" t="s">
        <v>24</v>
      </c>
      <c r="B8" s="1"/>
      <c r="C8" s="10"/>
      <c r="D8" s="10"/>
      <c r="E8" s="10">
        <v>1578.6</v>
      </c>
      <c r="F8" s="10">
        <v>1620.8</v>
      </c>
      <c r="G8" s="10">
        <v>1616.0</v>
      </c>
      <c r="H8" s="10">
        <f t="shared" ref="H8:Q8" si="2">G8*(1+H11)</f>
        <v>1782.989467</v>
      </c>
      <c r="I8" s="10">
        <f t="shared" si="2"/>
        <v>1782.989467</v>
      </c>
      <c r="J8" s="10">
        <f t="shared" si="2"/>
        <v>1788.18264</v>
      </c>
      <c r="K8" s="10">
        <f t="shared" si="2"/>
        <v>1791.65484</v>
      </c>
      <c r="L8" s="10">
        <f t="shared" si="2"/>
        <v>1795.133781</v>
      </c>
      <c r="M8" s="10">
        <f t="shared" si="2"/>
        <v>1798.619478</v>
      </c>
      <c r="N8" s="10">
        <f t="shared" si="2"/>
        <v>1802.111943</v>
      </c>
      <c r="O8" s="10">
        <f t="shared" si="2"/>
        <v>1805.611189</v>
      </c>
      <c r="P8" s="10">
        <f t="shared" si="2"/>
        <v>1809.117231</v>
      </c>
      <c r="Q8" s="10">
        <f t="shared" si="2"/>
        <v>1812.63008</v>
      </c>
      <c r="R8" s="1" t="s">
        <v>25</v>
      </c>
      <c r="S8" s="1"/>
      <c r="T8" s="1"/>
      <c r="U8" s="1"/>
      <c r="V8" s="1"/>
      <c r="W8" s="1"/>
      <c r="X8" s="1"/>
      <c r="Y8" s="1"/>
      <c r="Z8" s="1"/>
    </row>
    <row r="9" ht="13.5" customHeight="1">
      <c r="A9" s="1" t="s">
        <v>26</v>
      </c>
      <c r="B9" s="1"/>
      <c r="C9" s="10"/>
      <c r="D9" s="10"/>
      <c r="E9" s="11">
        <v>63.06</v>
      </c>
      <c r="F9" s="11">
        <v>65.74</v>
      </c>
      <c r="G9" s="11">
        <v>67.3</v>
      </c>
      <c r="H9" s="11">
        <f t="shared" ref="H9:Q9" si="3">G9*(1+H12)</f>
        <v>69.319</v>
      </c>
      <c r="I9" s="11">
        <f t="shared" si="3"/>
        <v>71.39857</v>
      </c>
      <c r="J9" s="11">
        <f t="shared" si="3"/>
        <v>73.5405271</v>
      </c>
      <c r="K9" s="11">
        <f t="shared" si="3"/>
        <v>75.74674291</v>
      </c>
      <c r="L9" s="11">
        <f t="shared" si="3"/>
        <v>78.0191452</v>
      </c>
      <c r="M9" s="11">
        <f t="shared" si="3"/>
        <v>80.35971956</v>
      </c>
      <c r="N9" s="11">
        <f t="shared" si="3"/>
        <v>82.77051114</v>
      </c>
      <c r="O9" s="11">
        <f t="shared" si="3"/>
        <v>85.25362648</v>
      </c>
      <c r="P9" s="11">
        <f t="shared" si="3"/>
        <v>87.81123527</v>
      </c>
      <c r="Q9" s="11">
        <f t="shared" si="3"/>
        <v>90.44557233</v>
      </c>
      <c r="R9" s="1" t="s">
        <v>25</v>
      </c>
      <c r="S9" s="1"/>
      <c r="T9" s="1"/>
      <c r="U9" s="1"/>
      <c r="V9" s="1"/>
      <c r="W9" s="1"/>
      <c r="X9" s="1"/>
      <c r="Y9" s="1"/>
      <c r="Z9" s="1"/>
    </row>
    <row r="10" ht="13.5" customHeight="1">
      <c r="A10" s="1"/>
      <c r="B10" s="1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1" t="s">
        <v>27</v>
      </c>
      <c r="B11" s="1"/>
      <c r="C11" s="12"/>
      <c r="D11" s="12"/>
      <c r="E11" s="12">
        <v>0.022</v>
      </c>
      <c r="F11" s="12">
        <v>0.01</v>
      </c>
      <c r="G11" s="12">
        <v>0.011</v>
      </c>
      <c r="H11" s="13">
        <v>0.10333506637475298</v>
      </c>
      <c r="I11" s="13">
        <v>0.0</v>
      </c>
      <c r="J11" s="13">
        <v>0.002912621359223211</v>
      </c>
      <c r="K11" s="13">
        <v>0.001941747572815622</v>
      </c>
      <c r="L11" s="13">
        <v>0.001941747572815622</v>
      </c>
      <c r="M11" s="13">
        <v>0.001941747572815622</v>
      </c>
      <c r="N11" s="13">
        <v>0.001941747572815622</v>
      </c>
      <c r="O11" s="13">
        <v>0.001941747572815622</v>
      </c>
      <c r="P11" s="13">
        <v>0.001941747572815622</v>
      </c>
      <c r="Q11" s="13">
        <v>0.001941747572815622</v>
      </c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" t="s">
        <v>28</v>
      </c>
      <c r="B12" s="1"/>
      <c r="C12" s="12"/>
      <c r="D12" s="12"/>
      <c r="E12" s="12">
        <v>0.045</v>
      </c>
      <c r="F12" s="12">
        <v>0.042</v>
      </c>
      <c r="G12" s="12">
        <v>0.025</v>
      </c>
      <c r="H12" s="13">
        <v>0.03</v>
      </c>
      <c r="I12" s="13">
        <v>0.03</v>
      </c>
      <c r="J12" s="13">
        <v>0.03</v>
      </c>
      <c r="K12" s="13">
        <v>0.03</v>
      </c>
      <c r="L12" s="13">
        <v>0.03</v>
      </c>
      <c r="M12" s="13">
        <v>0.03</v>
      </c>
      <c r="N12" s="13">
        <v>0.03</v>
      </c>
      <c r="O12" s="13">
        <v>0.03</v>
      </c>
      <c r="P12" s="13">
        <v>0.03</v>
      </c>
      <c r="Q12" s="13">
        <v>0.03</v>
      </c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" t="s">
        <v>29</v>
      </c>
      <c r="B13" s="1"/>
      <c r="C13" s="12"/>
      <c r="D13" s="12"/>
      <c r="E13" s="12">
        <f t="shared" ref="E13:Q13" si="4">(1+E11)*(1+E12)-1</f>
        <v>0.06799</v>
      </c>
      <c r="F13" s="12">
        <f t="shared" si="4"/>
        <v>0.05242</v>
      </c>
      <c r="G13" s="12">
        <f t="shared" si="4"/>
        <v>0.036275</v>
      </c>
      <c r="H13" s="12">
        <f t="shared" si="4"/>
        <v>0.1364351184</v>
      </c>
      <c r="I13" s="12">
        <f t="shared" si="4"/>
        <v>0.03</v>
      </c>
      <c r="J13" s="12">
        <f t="shared" si="4"/>
        <v>0.033</v>
      </c>
      <c r="K13" s="12">
        <f t="shared" si="4"/>
        <v>0.032</v>
      </c>
      <c r="L13" s="12">
        <f t="shared" si="4"/>
        <v>0.032</v>
      </c>
      <c r="M13" s="12">
        <f t="shared" si="4"/>
        <v>0.032</v>
      </c>
      <c r="N13" s="12">
        <f t="shared" si="4"/>
        <v>0.032</v>
      </c>
      <c r="O13" s="12">
        <f t="shared" si="4"/>
        <v>0.032</v>
      </c>
      <c r="P13" s="12">
        <f t="shared" si="4"/>
        <v>0.032</v>
      </c>
      <c r="Q13" s="12">
        <f t="shared" si="4"/>
        <v>0.032</v>
      </c>
      <c r="R13" s="1" t="s">
        <v>30</v>
      </c>
      <c r="S13" s="1"/>
      <c r="T13" s="1"/>
      <c r="U13" s="1"/>
      <c r="V13" s="1"/>
      <c r="W13" s="1"/>
      <c r="X13" s="1"/>
      <c r="Y13" s="1"/>
      <c r="Z13" s="1"/>
    </row>
    <row r="14" ht="13.5" customHeight="1">
      <c r="A14" s="1"/>
      <c r="B14" s="1"/>
      <c r="C14" s="14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/>
      <c r="B15" s="1"/>
      <c r="C15" s="14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 t="s">
        <v>31</v>
      </c>
      <c r="B16" s="1"/>
      <c r="C16" s="10"/>
      <c r="D16" s="10"/>
      <c r="E16" s="12">
        <f t="shared" ref="E16:G16" si="5">E17/D17-1</f>
        <v>0.002633889377</v>
      </c>
      <c r="F16" s="12">
        <f t="shared" si="5"/>
        <v>0.001313485114</v>
      </c>
      <c r="G16" s="12">
        <f t="shared" si="5"/>
        <v>0.001749016178</v>
      </c>
      <c r="H16" s="13">
        <v>0.002</v>
      </c>
      <c r="I16" s="13">
        <v>0.003</v>
      </c>
      <c r="J16" s="13">
        <v>0.003</v>
      </c>
      <c r="K16" s="13">
        <v>0.003</v>
      </c>
      <c r="L16" s="13">
        <v>0.003</v>
      </c>
      <c r="M16" s="13">
        <v>0.003</v>
      </c>
      <c r="N16" s="13">
        <v>0.003</v>
      </c>
      <c r="O16" s="13">
        <v>0.003</v>
      </c>
      <c r="P16" s="13">
        <v>0.003</v>
      </c>
      <c r="Q16" s="13">
        <v>0.003</v>
      </c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 t="s">
        <v>32</v>
      </c>
      <c r="B17" s="1"/>
      <c r="C17" s="14"/>
      <c r="D17" s="14">
        <f>1977+182+119</f>
        <v>2278</v>
      </c>
      <c r="E17" s="14">
        <f>1980+182+122</f>
        <v>2284</v>
      </c>
      <c r="F17" s="14">
        <f>1981+182+124</f>
        <v>2287</v>
      </c>
      <c r="G17" s="14">
        <f>1984+182+125</f>
        <v>2291</v>
      </c>
      <c r="H17" s="15">
        <f t="shared" ref="H17:Q17" si="6">G17*(1+H16)</f>
        <v>2295.582</v>
      </c>
      <c r="I17" s="15">
        <f t="shared" si="6"/>
        <v>2302.468746</v>
      </c>
      <c r="J17" s="15">
        <f t="shared" si="6"/>
        <v>2309.376152</v>
      </c>
      <c r="K17" s="15">
        <f t="shared" si="6"/>
        <v>2316.304281</v>
      </c>
      <c r="L17" s="15">
        <f t="shared" si="6"/>
        <v>2323.253194</v>
      </c>
      <c r="M17" s="15">
        <f t="shared" si="6"/>
        <v>2330.222953</v>
      </c>
      <c r="N17" s="15">
        <f t="shared" si="6"/>
        <v>2337.213622</v>
      </c>
      <c r="O17" s="15">
        <f t="shared" si="6"/>
        <v>2344.225263</v>
      </c>
      <c r="P17" s="15">
        <f t="shared" si="6"/>
        <v>2351.257939</v>
      </c>
      <c r="Q17" s="15">
        <f t="shared" si="6"/>
        <v>2358.311712</v>
      </c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 t="s">
        <v>33</v>
      </c>
      <c r="B18" s="1"/>
      <c r="C18" s="14"/>
      <c r="D18" s="14"/>
      <c r="E18" s="16">
        <f t="shared" ref="E18:G18" si="7">(((1+E21)/(1+E13))-1)/E16</f>
        <v>-0.4604187467</v>
      </c>
      <c r="F18" s="16">
        <f t="shared" si="7"/>
        <v>14.40753403</v>
      </c>
      <c r="G18" s="16">
        <f t="shared" si="7"/>
        <v>-9.703875237</v>
      </c>
      <c r="H18" s="17">
        <v>0.8</v>
      </c>
      <c r="I18" s="17">
        <v>0.8</v>
      </c>
      <c r="J18" s="17">
        <v>0.8</v>
      </c>
      <c r="K18" s="17">
        <v>0.8</v>
      </c>
      <c r="L18" s="17">
        <v>0.8</v>
      </c>
      <c r="M18" s="17">
        <v>0.8</v>
      </c>
      <c r="N18" s="17">
        <v>0.8</v>
      </c>
      <c r="O18" s="17">
        <v>0.8</v>
      </c>
      <c r="P18" s="17">
        <v>0.8</v>
      </c>
      <c r="Q18" s="17">
        <v>0.8</v>
      </c>
      <c r="R18" s="1" t="s">
        <v>34</v>
      </c>
      <c r="S18" s="1"/>
      <c r="T18" s="1"/>
      <c r="U18" s="1"/>
      <c r="V18" s="1"/>
      <c r="W18" s="1"/>
      <c r="X18" s="1"/>
      <c r="Y18" s="1"/>
      <c r="Z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1" t="s">
        <v>35</v>
      </c>
      <c r="B20" s="1"/>
      <c r="C20" s="15">
        <f>IncStat!C7</f>
        <v>88519</v>
      </c>
      <c r="D20" s="15">
        <f>IncStat!D7</f>
        <v>94595</v>
      </c>
      <c r="E20" s="15">
        <f>IncStat!E7</f>
        <v>100904</v>
      </c>
      <c r="F20" s="15">
        <f>IncStat!F7</f>
        <v>108203</v>
      </c>
      <c r="G20" s="15">
        <f>IncStat!G7</f>
        <v>110225</v>
      </c>
      <c r="H20" s="15">
        <f t="shared" ref="H20:Q20" si="8">(1+H21)*G20</f>
        <v>125463.9826</v>
      </c>
      <c r="I20" s="15">
        <f t="shared" si="8"/>
        <v>129538.0491</v>
      </c>
      <c r="J20" s="15">
        <f t="shared" si="8"/>
        <v>134133.9554</v>
      </c>
      <c r="K20" s="15">
        <f t="shared" si="8"/>
        <v>138758.465</v>
      </c>
      <c r="L20" s="15">
        <f t="shared" si="8"/>
        <v>143542.4128</v>
      </c>
      <c r="M20" s="15">
        <f t="shared" si="8"/>
        <v>148491.2959</v>
      </c>
      <c r="N20" s="15">
        <f t="shared" si="8"/>
        <v>153610.8006</v>
      </c>
      <c r="O20" s="15">
        <f t="shared" si="8"/>
        <v>158906.8094</v>
      </c>
      <c r="P20" s="15">
        <f t="shared" si="8"/>
        <v>164385.4077</v>
      </c>
      <c r="Q20" s="15">
        <f t="shared" si="8"/>
        <v>170052.8905</v>
      </c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8" t="s">
        <v>36</v>
      </c>
      <c r="B21" s="18"/>
      <c r="C21" s="18"/>
      <c r="D21" s="19">
        <f t="shared" ref="D21:G21" si="9">D20/C20-1</f>
        <v>0.06864063083</v>
      </c>
      <c r="E21" s="19">
        <f t="shared" si="9"/>
        <v>0.06669485702</v>
      </c>
      <c r="F21" s="19">
        <f t="shared" si="9"/>
        <v>0.07233608182</v>
      </c>
      <c r="G21" s="19">
        <f t="shared" si="9"/>
        <v>0.0186870974</v>
      </c>
      <c r="H21" s="19">
        <f t="shared" ref="H21:Q21" si="10">(1+H13)*(1+(H16*H18))-1</f>
        <v>0.1382534146</v>
      </c>
      <c r="I21" s="19">
        <f t="shared" si="10"/>
        <v>0.032472</v>
      </c>
      <c r="J21" s="19">
        <f t="shared" si="10"/>
        <v>0.0354792</v>
      </c>
      <c r="K21" s="19">
        <f t="shared" si="10"/>
        <v>0.0344768</v>
      </c>
      <c r="L21" s="19">
        <f t="shared" si="10"/>
        <v>0.0344768</v>
      </c>
      <c r="M21" s="19">
        <f t="shared" si="10"/>
        <v>0.0344768</v>
      </c>
      <c r="N21" s="19">
        <f t="shared" si="10"/>
        <v>0.0344768</v>
      </c>
      <c r="O21" s="19">
        <f t="shared" si="10"/>
        <v>0.0344768</v>
      </c>
      <c r="P21" s="19">
        <f t="shared" si="10"/>
        <v>0.0344768</v>
      </c>
      <c r="Q21" s="19">
        <f t="shared" si="10"/>
        <v>0.0344768</v>
      </c>
      <c r="R21" s="18"/>
      <c r="S21" s="18"/>
      <c r="T21" s="18"/>
      <c r="U21" s="18"/>
      <c r="V21" s="18"/>
      <c r="W21" s="18"/>
      <c r="X21" s="18"/>
      <c r="Y21" s="18"/>
      <c r="Z21" s="18"/>
    </row>
    <row r="22" ht="13.5" customHeight="1">
      <c r="A22" s="18"/>
      <c r="B22" s="18"/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8"/>
      <c r="S22" s="18"/>
      <c r="T22" s="18"/>
      <c r="U22" s="18"/>
      <c r="V22" s="18"/>
      <c r="W22" s="18"/>
      <c r="X22" s="18"/>
      <c r="Y22" s="18"/>
      <c r="Z22" s="18"/>
    </row>
    <row r="23" ht="13.5" customHeight="1">
      <c r="A23" s="1" t="s">
        <v>37</v>
      </c>
      <c r="B23" s="1"/>
      <c r="C23" s="15">
        <f>IncStat!C10</f>
        <v>58254</v>
      </c>
      <c r="D23" s="15">
        <f>IncStat!D10</f>
        <v>62282</v>
      </c>
      <c r="E23" s="15">
        <f>IncStat!E10</f>
        <v>66548</v>
      </c>
      <c r="F23" s="15">
        <f>IncStat!F10</f>
        <v>71043</v>
      </c>
      <c r="G23" s="15">
        <f>IncStat!G10</f>
        <v>72653</v>
      </c>
      <c r="H23" s="15">
        <f t="shared" ref="H23:Q23" si="11">H20-H26</f>
        <v>82680.76455</v>
      </c>
      <c r="I23" s="15">
        <f t="shared" si="11"/>
        <v>85624.65043</v>
      </c>
      <c r="J23" s="15">
        <f t="shared" si="11"/>
        <v>88528.41057</v>
      </c>
      <c r="K23" s="15">
        <f t="shared" si="11"/>
        <v>91303.06995</v>
      </c>
      <c r="L23" s="15">
        <f t="shared" si="11"/>
        <v>94307.36522</v>
      </c>
      <c r="M23" s="15">
        <f t="shared" si="11"/>
        <v>97410.29009</v>
      </c>
      <c r="N23" s="15">
        <f t="shared" si="11"/>
        <v>100615.0744</v>
      </c>
      <c r="O23" s="15">
        <f t="shared" si="11"/>
        <v>104083.9602</v>
      </c>
      <c r="P23" s="15">
        <f t="shared" si="11"/>
        <v>107672.4421</v>
      </c>
      <c r="Q23" s="15">
        <f t="shared" si="11"/>
        <v>111418.6539</v>
      </c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8" t="s">
        <v>38</v>
      </c>
      <c r="B24" s="1"/>
      <c r="C24" s="19">
        <f t="shared" ref="C24:Q24" si="12">C23/C20</f>
        <v>0.658096002</v>
      </c>
      <c r="D24" s="19">
        <f t="shared" si="12"/>
        <v>0.6584068925</v>
      </c>
      <c r="E24" s="19">
        <f t="shared" si="12"/>
        <v>0.6595179577</v>
      </c>
      <c r="F24" s="19">
        <f t="shared" si="12"/>
        <v>0.6565714444</v>
      </c>
      <c r="G24" s="19">
        <f t="shared" si="12"/>
        <v>0.6591335904</v>
      </c>
      <c r="H24" s="19">
        <f t="shared" si="12"/>
        <v>0.659</v>
      </c>
      <c r="I24" s="19">
        <f t="shared" si="12"/>
        <v>0.661</v>
      </c>
      <c r="J24" s="19">
        <f t="shared" si="12"/>
        <v>0.66</v>
      </c>
      <c r="K24" s="19">
        <f t="shared" si="12"/>
        <v>0.658</v>
      </c>
      <c r="L24" s="19">
        <f t="shared" si="12"/>
        <v>0.657</v>
      </c>
      <c r="M24" s="19">
        <f t="shared" si="12"/>
        <v>0.656</v>
      </c>
      <c r="N24" s="19">
        <f t="shared" si="12"/>
        <v>0.655</v>
      </c>
      <c r="O24" s="19">
        <f t="shared" si="12"/>
        <v>0.655</v>
      </c>
      <c r="P24" s="19">
        <f t="shared" si="12"/>
        <v>0.655</v>
      </c>
      <c r="Q24" s="19">
        <f t="shared" si="12"/>
        <v>0.6552</v>
      </c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8"/>
      <c r="B25" s="1"/>
      <c r="C25" s="19"/>
      <c r="D25" s="19"/>
      <c r="E25" s="19"/>
      <c r="F25" s="19"/>
      <c r="G25" s="1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 t="s">
        <v>39</v>
      </c>
      <c r="B26" s="1"/>
      <c r="C26" s="15">
        <f t="shared" ref="C26:G26" si="13">C20-C23</f>
        <v>30265</v>
      </c>
      <c r="D26" s="15">
        <f t="shared" si="13"/>
        <v>32313</v>
      </c>
      <c r="E26" s="15">
        <f t="shared" si="13"/>
        <v>34356</v>
      </c>
      <c r="F26" s="15">
        <f t="shared" si="13"/>
        <v>37160</v>
      </c>
      <c r="G26" s="15">
        <f t="shared" si="13"/>
        <v>37572</v>
      </c>
      <c r="H26" s="15">
        <f t="shared" ref="H26:Q26" si="14">H27*H20</f>
        <v>42783.21807</v>
      </c>
      <c r="I26" s="15">
        <f t="shared" si="14"/>
        <v>43913.39863</v>
      </c>
      <c r="J26" s="15">
        <f t="shared" si="14"/>
        <v>45605.54484</v>
      </c>
      <c r="K26" s="15">
        <f t="shared" si="14"/>
        <v>47455.39502</v>
      </c>
      <c r="L26" s="15">
        <f t="shared" si="14"/>
        <v>49235.04759</v>
      </c>
      <c r="M26" s="15">
        <f t="shared" si="14"/>
        <v>51081.00578</v>
      </c>
      <c r="N26" s="15">
        <f t="shared" si="14"/>
        <v>52995.7262</v>
      </c>
      <c r="O26" s="15">
        <f t="shared" si="14"/>
        <v>54822.84925</v>
      </c>
      <c r="P26" s="15">
        <f t="shared" si="14"/>
        <v>56712.96566</v>
      </c>
      <c r="Q26" s="15">
        <f t="shared" si="14"/>
        <v>58634.23666</v>
      </c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8" t="s">
        <v>40</v>
      </c>
      <c r="B27" s="18"/>
      <c r="C27" s="19">
        <f t="shared" ref="C27:G27" si="15">C26/C20</f>
        <v>0.341903998</v>
      </c>
      <c r="D27" s="19">
        <f t="shared" si="15"/>
        <v>0.3415931075</v>
      </c>
      <c r="E27" s="19">
        <f t="shared" si="15"/>
        <v>0.3404820423</v>
      </c>
      <c r="F27" s="19">
        <f t="shared" si="15"/>
        <v>0.3434285556</v>
      </c>
      <c r="G27" s="19">
        <f t="shared" si="15"/>
        <v>0.3408664096</v>
      </c>
      <c r="H27" s="20">
        <v>0.341</v>
      </c>
      <c r="I27" s="20">
        <v>0.339</v>
      </c>
      <c r="J27" s="20">
        <v>0.34</v>
      </c>
      <c r="K27" s="20">
        <v>0.342</v>
      </c>
      <c r="L27" s="20">
        <v>0.343</v>
      </c>
      <c r="M27" s="20">
        <v>0.344</v>
      </c>
      <c r="N27" s="20">
        <v>0.345</v>
      </c>
      <c r="O27" s="20">
        <v>0.345</v>
      </c>
      <c r="P27" s="20">
        <v>0.345</v>
      </c>
      <c r="Q27" s="20">
        <v>0.3448</v>
      </c>
      <c r="R27" s="18"/>
      <c r="S27" s="18"/>
      <c r="T27" s="18"/>
      <c r="U27" s="18"/>
      <c r="V27" s="18"/>
      <c r="W27" s="18"/>
      <c r="X27" s="18"/>
      <c r="Y27" s="18"/>
      <c r="Z27" s="18"/>
    </row>
    <row r="28" ht="13.5" customHeight="1">
      <c r="A28" s="18"/>
      <c r="B28" s="18"/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3.5" customHeight="1">
      <c r="A29" s="3" t="s">
        <v>41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21" t="s">
        <v>42</v>
      </c>
      <c r="B30" s="21"/>
      <c r="C30" s="15">
        <f>IncStat!C15</f>
        <v>16801</v>
      </c>
      <c r="D30" s="15">
        <f>IncStat!D15</f>
        <v>17132</v>
      </c>
      <c r="E30" s="15">
        <f>IncStat!E15</f>
        <v>17864</v>
      </c>
      <c r="F30" s="15">
        <f>IncStat!F15</f>
        <v>19513</v>
      </c>
      <c r="G30" s="15">
        <f>IncStat!G15</f>
        <v>19740</v>
      </c>
      <c r="H30" s="15">
        <f t="shared" ref="H30:Q30" si="16">H20*H31</f>
        <v>23181.52504</v>
      </c>
      <c r="I30" s="15">
        <f t="shared" si="16"/>
        <v>23446.38688</v>
      </c>
      <c r="J30" s="15">
        <f t="shared" si="16"/>
        <v>23741.71011</v>
      </c>
      <c r="K30" s="15">
        <f t="shared" si="16"/>
        <v>24282.73137</v>
      </c>
      <c r="L30" s="15">
        <f t="shared" si="16"/>
        <v>24832.83742</v>
      </c>
      <c r="M30" s="15">
        <f t="shared" si="16"/>
        <v>25540.50289</v>
      </c>
      <c r="N30" s="15">
        <f t="shared" si="16"/>
        <v>26267.4469</v>
      </c>
      <c r="O30" s="15">
        <f t="shared" si="16"/>
        <v>27014.1576</v>
      </c>
      <c r="P30" s="15">
        <f t="shared" si="16"/>
        <v>27945.51931</v>
      </c>
      <c r="Q30" s="15">
        <f t="shared" si="16"/>
        <v>28908.99139</v>
      </c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8" t="s">
        <v>38</v>
      </c>
      <c r="B31" s="1"/>
      <c r="C31" s="12">
        <f t="shared" ref="C31:G31" si="17">C30/C20</f>
        <v>0.1898010597</v>
      </c>
      <c r="D31" s="12">
        <f t="shared" si="17"/>
        <v>0.1811089381</v>
      </c>
      <c r="E31" s="12">
        <f t="shared" si="17"/>
        <v>0.1770395624</v>
      </c>
      <c r="F31" s="12">
        <f t="shared" si="17"/>
        <v>0.1803369592</v>
      </c>
      <c r="G31" s="12">
        <f t="shared" si="17"/>
        <v>0.1790882286</v>
      </c>
      <c r="H31" s="13">
        <v>0.18476637323139083</v>
      </c>
      <c r="I31" s="13">
        <v>0.181</v>
      </c>
      <c r="J31" s="13">
        <v>0.177</v>
      </c>
      <c r="K31" s="13">
        <v>0.175</v>
      </c>
      <c r="L31" s="13">
        <v>0.173</v>
      </c>
      <c r="M31" s="13">
        <v>0.172</v>
      </c>
      <c r="N31" s="13">
        <v>0.171</v>
      </c>
      <c r="O31" s="13">
        <v>0.17</v>
      </c>
      <c r="P31" s="13">
        <v>0.17</v>
      </c>
      <c r="Q31" s="13">
        <v>0.17</v>
      </c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 t="s">
        <v>43</v>
      </c>
      <c r="B33" s="1"/>
      <c r="C33" s="12">
        <f>IncStat!C16/CFStat!C12</f>
        <v>0.9071390231</v>
      </c>
      <c r="D33" s="12">
        <f>IncStat!D16/CFStat!D12</f>
        <v>0.8890015205</v>
      </c>
      <c r="E33" s="12">
        <f>IncStat!E16/CFStat!E12</f>
        <v>0.8782735209</v>
      </c>
      <c r="F33" s="12">
        <f>IncStat!F16/CFStat!F12</f>
        <v>0.8689591078</v>
      </c>
      <c r="G33" s="12">
        <f>IncStat!G16/CFStat!G12</f>
        <v>0.8662891986</v>
      </c>
      <c r="H33" s="13">
        <v>0.87</v>
      </c>
      <c r="I33" s="13">
        <v>0.87</v>
      </c>
      <c r="J33" s="13">
        <v>0.87</v>
      </c>
      <c r="K33" s="13">
        <v>0.87</v>
      </c>
      <c r="L33" s="13">
        <v>0.87</v>
      </c>
      <c r="M33" s="13">
        <v>0.87</v>
      </c>
      <c r="N33" s="13">
        <v>0.87</v>
      </c>
      <c r="O33" s="13">
        <v>0.87</v>
      </c>
      <c r="P33" s="13">
        <v>0.87</v>
      </c>
      <c r="Q33" s="13">
        <v>0.87</v>
      </c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 t="s">
        <v>44</v>
      </c>
      <c r="B35" s="1"/>
      <c r="C35" s="15">
        <f>IncStat!C17</f>
        <v>0</v>
      </c>
      <c r="D35" s="15">
        <f>IncStat!D17</f>
        <v>0</v>
      </c>
      <c r="E35" s="15">
        <f>IncStat!E17</f>
        <v>0</v>
      </c>
      <c r="F35" s="15">
        <f>IncStat!F17</f>
        <v>247</v>
      </c>
      <c r="G35" s="15">
        <f>IncStat!G17</f>
        <v>0</v>
      </c>
      <c r="H35" s="22">
        <v>0.0</v>
      </c>
      <c r="I35" s="22">
        <v>0.0</v>
      </c>
      <c r="J35" s="22">
        <v>0.0</v>
      </c>
      <c r="K35" s="22">
        <v>0.0</v>
      </c>
      <c r="L35" s="22">
        <v>0.0</v>
      </c>
      <c r="M35" s="22">
        <v>0.0</v>
      </c>
      <c r="N35" s="22">
        <v>0.0</v>
      </c>
      <c r="O35" s="22">
        <v>0.0</v>
      </c>
      <c r="P35" s="22">
        <v>0.0</v>
      </c>
      <c r="Q35" s="22">
        <v>0.0</v>
      </c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3" t="s">
        <v>45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 t="s">
        <v>46</v>
      </c>
      <c r="B39" s="1"/>
      <c r="C39" s="1"/>
      <c r="D39" s="12">
        <f>IncStat!D24/AVERAGE((BalSht!C28+BalSht!C29+BalSht!C36),(BalSht!D28+BalSht!D29+BalSht!D36))</f>
        <v>0.04337639735</v>
      </c>
      <c r="E39" s="12">
        <f>IncStat!E24/AVERAGE((BalSht!D28+BalSht!D29+BalSht!D36),(BalSht!E28+BalSht!E29+BalSht!E36))</f>
        <v>0.04175472555</v>
      </c>
      <c r="F39" s="12">
        <f>IncStat!F24/AVERAGE((BalSht!E28+BalSht!E29+BalSht!E36),(BalSht!F28+BalSht!F29+BalSht!F36))</f>
        <v>0.03738218033</v>
      </c>
      <c r="G39" s="12">
        <f>IncStat!G24/AVERAGE((BalSht!F28+BalSht!F29+BalSht!F36),(BalSht!G28+BalSht!G29+BalSht!G36))</f>
        <v>0.03958144517</v>
      </c>
      <c r="H39" s="13">
        <v>0.035</v>
      </c>
      <c r="I39" s="13">
        <v>0.035</v>
      </c>
      <c r="J39" s="13">
        <v>0.035</v>
      </c>
      <c r="K39" s="13">
        <v>0.035</v>
      </c>
      <c r="L39" s="13">
        <v>0.035</v>
      </c>
      <c r="M39" s="13">
        <v>0.035</v>
      </c>
      <c r="N39" s="13">
        <v>0.035</v>
      </c>
      <c r="O39" s="13">
        <v>0.035</v>
      </c>
      <c r="P39" s="13">
        <v>0.035</v>
      </c>
      <c r="Q39" s="13">
        <v>0.035</v>
      </c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 t="s">
        <v>47</v>
      </c>
      <c r="B40" s="1"/>
      <c r="C40" s="1"/>
      <c r="D40" s="12">
        <f>-IncStat!D25/AVERAGE(BalSht!C9:D9)</f>
        <v>0.01514514093</v>
      </c>
      <c r="E40" s="12">
        <f>-IncStat!E25/AVERAGE(BalSht!D9:E9)</f>
        <v>0.02413174629</v>
      </c>
      <c r="F40" s="12">
        <f>-IncStat!F25/AVERAGE(BalSht!E9:F9)</f>
        <v>0.0346175321</v>
      </c>
      <c r="G40" s="12">
        <f>-IncStat!G25/AVERAGE(BalSht!F9:G9)</f>
        <v>0.03733060598</v>
      </c>
      <c r="H40" s="13">
        <v>0.007</v>
      </c>
      <c r="I40" s="13">
        <v>0.007</v>
      </c>
      <c r="J40" s="13">
        <v>0.007</v>
      </c>
      <c r="K40" s="13">
        <v>0.007</v>
      </c>
      <c r="L40" s="13">
        <v>0.007</v>
      </c>
      <c r="M40" s="13">
        <v>0.007</v>
      </c>
      <c r="N40" s="13">
        <v>0.007</v>
      </c>
      <c r="O40" s="13">
        <v>0.007</v>
      </c>
      <c r="P40" s="13">
        <v>0.007</v>
      </c>
      <c r="Q40" s="13">
        <v>0.007</v>
      </c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21" t="s">
        <v>48</v>
      </c>
      <c r="B42" s="1"/>
      <c r="C42" s="23">
        <v>0.0</v>
      </c>
      <c r="D42" s="23">
        <v>0.0</v>
      </c>
      <c r="E42" s="23">
        <v>0.0</v>
      </c>
      <c r="F42" s="23">
        <v>16.0</v>
      </c>
      <c r="G42" s="23">
        <v>0.0</v>
      </c>
      <c r="H42" s="24">
        <v>0.0</v>
      </c>
      <c r="I42" s="24">
        <v>0.0</v>
      </c>
      <c r="J42" s="24">
        <v>0.0</v>
      </c>
      <c r="K42" s="24">
        <v>0.0</v>
      </c>
      <c r="L42" s="24">
        <v>0.0</v>
      </c>
      <c r="M42" s="24">
        <v>0.0</v>
      </c>
      <c r="N42" s="24">
        <v>0.0</v>
      </c>
      <c r="O42" s="24">
        <v>0.0</v>
      </c>
      <c r="P42" s="24">
        <v>0.0</v>
      </c>
      <c r="Q42" s="24">
        <v>0.0</v>
      </c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3" t="s">
        <v>49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 t="s">
        <v>50</v>
      </c>
      <c r="B45" s="1"/>
      <c r="C45" s="12">
        <f>IncStat!C32</f>
        <v>0.364032302</v>
      </c>
      <c r="D45" s="12">
        <f>IncStat!D32</f>
        <v>0.3629813466</v>
      </c>
      <c r="E45" s="12">
        <f>IncStat!E32</f>
        <v>0.3699810191</v>
      </c>
      <c r="F45" s="12">
        <f>IncStat!F32</f>
        <v>0.2359851608</v>
      </c>
      <c r="G45" s="12">
        <f>IncStat!G32</f>
        <v>0.236017669</v>
      </c>
      <c r="H45" s="13">
        <v>0.254</v>
      </c>
      <c r="I45" s="13">
        <v>0.254</v>
      </c>
      <c r="J45" s="13">
        <v>0.254</v>
      </c>
      <c r="K45" s="13">
        <v>0.254</v>
      </c>
      <c r="L45" s="13">
        <v>0.254</v>
      </c>
      <c r="M45" s="13">
        <v>0.254</v>
      </c>
      <c r="N45" s="13">
        <v>0.254</v>
      </c>
      <c r="O45" s="13">
        <v>0.254</v>
      </c>
      <c r="P45" s="13">
        <v>0.254</v>
      </c>
      <c r="Q45" s="13">
        <v>0.254</v>
      </c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71"/>
    <col customWidth="1" min="2" max="3" width="8.86"/>
    <col customWidth="1" min="4" max="4" width="9.14"/>
    <col customWidth="1" min="5" max="26" width="8.86"/>
  </cols>
  <sheetData>
    <row r="1" ht="13.5" customHeight="1">
      <c r="A1" s="7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21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9">
        <f>'IS Assumptions'!Q5</f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51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" t="s">
        <v>52</v>
      </c>
      <c r="B8" s="1"/>
      <c r="C8" s="10">
        <f>BalSht!C10/(IncStat!C7/365)</f>
        <v>7.793242129</v>
      </c>
      <c r="D8" s="10">
        <f>BalSht!D10/(IncStat!D7/365)</f>
        <v>7.829007876</v>
      </c>
      <c r="E8" s="10">
        <f>BalSht!E10/(IncStat!E7/365)</f>
        <v>7.060968842</v>
      </c>
      <c r="F8" s="10">
        <f>BalSht!F10/(IncStat!F7/365)</f>
        <v>6.530687689</v>
      </c>
      <c r="G8" s="10">
        <f>BalSht!G10/(IncStat!G7/365)</f>
        <v>6.973826264</v>
      </c>
      <c r="H8" s="25">
        <v>7.0</v>
      </c>
      <c r="I8" s="25">
        <v>7.0</v>
      </c>
      <c r="J8" s="25">
        <v>7.0</v>
      </c>
      <c r="K8" s="25">
        <v>7.0</v>
      </c>
      <c r="L8" s="25">
        <v>7.0</v>
      </c>
      <c r="M8" s="25">
        <v>7.0</v>
      </c>
      <c r="N8" s="25">
        <v>7.0</v>
      </c>
      <c r="O8" s="25">
        <v>7.0</v>
      </c>
      <c r="P8" s="25">
        <v>7.0</v>
      </c>
      <c r="Q8" s="25">
        <v>7.0</v>
      </c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1" t="s">
        <v>53</v>
      </c>
      <c r="B9" s="1"/>
      <c r="C9" s="10">
        <f>BalSht!C11/(IncStat!C10/365)</f>
        <v>73.99122807</v>
      </c>
      <c r="D9" s="10">
        <f>BalSht!D11/(IncStat!D10/365)</f>
        <v>73.54267686</v>
      </c>
      <c r="E9" s="10">
        <f>BalSht!E11/(IncStat!E10/365)</f>
        <v>69.91975717</v>
      </c>
      <c r="F9" s="10">
        <f>BalSht!F11/(IncStat!F10/365)</f>
        <v>71.54293878</v>
      </c>
      <c r="G9" s="10">
        <f>BalSht!G11/(IncStat!G10/365)</f>
        <v>73.00200955</v>
      </c>
      <c r="H9" s="25">
        <v>73.0</v>
      </c>
      <c r="I9" s="25">
        <v>73.0</v>
      </c>
      <c r="J9" s="25">
        <v>73.0</v>
      </c>
      <c r="K9" s="25">
        <v>73.0</v>
      </c>
      <c r="L9" s="25">
        <v>73.0</v>
      </c>
      <c r="M9" s="25">
        <v>73.0</v>
      </c>
      <c r="N9" s="25">
        <v>73.0</v>
      </c>
      <c r="O9" s="25">
        <v>73.0</v>
      </c>
      <c r="P9" s="25">
        <v>73.0</v>
      </c>
      <c r="Q9" s="25">
        <v>73.0</v>
      </c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 t="s">
        <v>54</v>
      </c>
      <c r="B10" s="1"/>
      <c r="C10" s="12">
        <f>BalSht!C12/IncStat!C7</f>
        <v>0.006427998509</v>
      </c>
      <c r="D10" s="12">
        <f>BalSht!D12/IncStat!D7</f>
        <v>0.006427401025</v>
      </c>
      <c r="E10" s="12">
        <f>BalSht!E12/IncStat!E7</f>
        <v>0.006322841513</v>
      </c>
      <c r="F10" s="12">
        <f>BalSht!F12/IncStat!F7</f>
        <v>0.00822528026</v>
      </c>
      <c r="G10" s="12">
        <f>BalSht!G12/IncStat!G7</f>
        <v>0.009435246088</v>
      </c>
      <c r="H10" s="13">
        <v>0.008</v>
      </c>
      <c r="I10" s="13">
        <v>0.008</v>
      </c>
      <c r="J10" s="13">
        <v>0.008</v>
      </c>
      <c r="K10" s="13">
        <v>0.008</v>
      </c>
      <c r="L10" s="13">
        <v>0.008</v>
      </c>
      <c r="M10" s="13">
        <v>0.008</v>
      </c>
      <c r="N10" s="13">
        <v>0.008</v>
      </c>
      <c r="O10" s="13">
        <v>0.008</v>
      </c>
      <c r="P10" s="13">
        <v>0.008</v>
      </c>
      <c r="Q10" s="13">
        <v>0.008</v>
      </c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1"/>
      <c r="B11" s="1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3" t="s">
        <v>55</v>
      </c>
      <c r="B12" s="1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" t="s">
        <v>56</v>
      </c>
      <c r="B13" s="1"/>
      <c r="C13" s="10"/>
      <c r="D13" s="10">
        <f>BalSht!D24/((BalSht!D11-BalSht!C11+IncStat!D10)/365)</f>
        <v>40.54139824</v>
      </c>
      <c r="E13" s="10">
        <f>BalSht!E24/((BalSht!E11-BalSht!D11+IncStat!E10)/365)</f>
        <v>39.61316613</v>
      </c>
      <c r="F13" s="10">
        <f>BalSht!F24/((BalSht!F11-BalSht!E11+IncStat!F10)/365)</f>
        <v>39.19378289</v>
      </c>
      <c r="G13" s="10">
        <f>BalSht!G24/((BalSht!G11-BalSht!F11+IncStat!G10)/365)</f>
        <v>38.79734913</v>
      </c>
      <c r="H13" s="25">
        <v>39.0</v>
      </c>
      <c r="I13" s="25">
        <v>39.0</v>
      </c>
      <c r="J13" s="25">
        <v>39.0</v>
      </c>
      <c r="K13" s="25">
        <v>39.0</v>
      </c>
      <c r="L13" s="25">
        <v>39.0</v>
      </c>
      <c r="M13" s="25">
        <v>39.0</v>
      </c>
      <c r="N13" s="25">
        <v>39.0</v>
      </c>
      <c r="O13" s="25">
        <v>39.0</v>
      </c>
      <c r="P13" s="25">
        <v>39.0</v>
      </c>
      <c r="Q13" s="25">
        <v>39.0</v>
      </c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 t="s">
        <v>57</v>
      </c>
      <c r="B14" s="1"/>
      <c r="C14" s="12">
        <f>BalSht!C25/IncStat!C7</f>
        <v>0.02192749579</v>
      </c>
      <c r="D14" s="12">
        <f>BalSht!D25/IncStat!D7</f>
        <v>0.02320418627</v>
      </c>
      <c r="E14" s="12">
        <f>BalSht!E25/IncStat!E7</f>
        <v>0.02150558947</v>
      </c>
      <c r="F14" s="12">
        <f>BalSht!F25/IncStat!F7</f>
        <v>0.02413056939</v>
      </c>
      <c r="G14" s="12">
        <f>BalSht!G25/IncStat!G7</f>
        <v>0.02428668632</v>
      </c>
      <c r="H14" s="13">
        <v>0.023</v>
      </c>
      <c r="I14" s="13">
        <v>0.023</v>
      </c>
      <c r="J14" s="13">
        <v>0.023</v>
      </c>
      <c r="K14" s="13">
        <v>0.023</v>
      </c>
      <c r="L14" s="13">
        <v>0.023</v>
      </c>
      <c r="M14" s="13">
        <v>0.023</v>
      </c>
      <c r="N14" s="13">
        <v>0.023</v>
      </c>
      <c r="O14" s="13">
        <v>0.023</v>
      </c>
      <c r="P14" s="13">
        <v>0.023</v>
      </c>
      <c r="Q14" s="13">
        <v>0.023</v>
      </c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 t="s">
        <v>58</v>
      </c>
      <c r="B15" s="1"/>
      <c r="C15" s="12">
        <f>BalSht!C26/IncStat!C7</f>
        <v>0.01711496967</v>
      </c>
      <c r="D15" s="12">
        <f>BalSht!D26/IncStat!D7</f>
        <v>0.01568793277</v>
      </c>
      <c r="E15" s="12">
        <f>BalSht!E26/IncStat!E7</f>
        <v>0.01625307223</v>
      </c>
      <c r="F15" s="12">
        <f>BalSht!F26/IncStat!F7</f>
        <v>0.01391828323</v>
      </c>
      <c r="G15" s="12">
        <f>BalSht!G26/IncStat!G7</f>
        <v>0.0135540939</v>
      </c>
      <c r="H15" s="13">
        <v>0.014</v>
      </c>
      <c r="I15" s="13">
        <v>0.014</v>
      </c>
      <c r="J15" s="13">
        <v>0.014</v>
      </c>
      <c r="K15" s="13">
        <v>0.014</v>
      </c>
      <c r="L15" s="13">
        <v>0.014</v>
      </c>
      <c r="M15" s="13">
        <v>0.014</v>
      </c>
      <c r="N15" s="13">
        <v>0.014</v>
      </c>
      <c r="O15" s="13">
        <v>0.014</v>
      </c>
      <c r="P15" s="13">
        <v>0.014</v>
      </c>
      <c r="Q15" s="13">
        <v>0.014</v>
      </c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 t="s">
        <v>59</v>
      </c>
      <c r="B16" s="1"/>
      <c r="C16" s="12">
        <f>BalSht!C27/IncStat!C7</f>
        <v>0.005377376608</v>
      </c>
      <c r="D16" s="12">
        <f>BalSht!D27/IncStat!D7</f>
        <v>0.005370262699</v>
      </c>
      <c r="E16" s="12">
        <f>BalSht!E27/IncStat!E7</f>
        <v>0.005153413145</v>
      </c>
      <c r="F16" s="12">
        <f>BalSht!F27/IncStat!F7</f>
        <v>0.006062678484</v>
      </c>
      <c r="G16" s="12">
        <f>BalSht!G27/IncStat!G7</f>
        <v>0.005488772964</v>
      </c>
      <c r="H16" s="13">
        <v>0.005</v>
      </c>
      <c r="I16" s="13">
        <v>0.005</v>
      </c>
      <c r="J16" s="13">
        <v>0.005</v>
      </c>
      <c r="K16" s="13">
        <v>0.005</v>
      </c>
      <c r="L16" s="13">
        <v>0.005</v>
      </c>
      <c r="M16" s="13">
        <v>0.005</v>
      </c>
      <c r="N16" s="13">
        <v>0.005</v>
      </c>
      <c r="O16" s="13">
        <v>0.005</v>
      </c>
      <c r="P16" s="13">
        <v>0.005</v>
      </c>
      <c r="Q16" s="13">
        <v>0.005</v>
      </c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 t="s">
        <v>60</v>
      </c>
      <c r="B17" s="1"/>
      <c r="C17" s="12">
        <f>BalSht!C31/IncStat!C7</f>
        <v>0.0003840983292</v>
      </c>
      <c r="D17" s="12">
        <f>BalSht!D31/IncStat!D7</f>
        <v>0.0002642845816</v>
      </c>
      <c r="E17" s="12">
        <f>BalSht!E31/IncStat!E7</f>
        <v>0.0005351621343</v>
      </c>
      <c r="F17" s="12">
        <f>BalSht!F31/IncStat!F7</f>
        <v>0.0001016607673</v>
      </c>
      <c r="G17" s="12">
        <f>BalSht!G31/IncStat!G7</f>
        <v>0.0004989793604</v>
      </c>
      <c r="H17" s="13">
        <v>0.0</v>
      </c>
      <c r="I17" s="13">
        <v>0.0</v>
      </c>
      <c r="J17" s="13">
        <v>0.0</v>
      </c>
      <c r="K17" s="13">
        <v>0.0</v>
      </c>
      <c r="L17" s="13">
        <v>0.0</v>
      </c>
      <c r="M17" s="13">
        <v>0.0</v>
      </c>
      <c r="N17" s="13">
        <v>0.0</v>
      </c>
      <c r="O17" s="13">
        <v>0.0</v>
      </c>
      <c r="P17" s="13">
        <v>0.0</v>
      </c>
      <c r="Q17" s="13">
        <v>0.0</v>
      </c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 t="s">
        <v>61</v>
      </c>
      <c r="B18" s="1"/>
      <c r="C18" s="12">
        <f>BalSht!C32/IncStat!C7</f>
        <v>0.01769111716</v>
      </c>
      <c r="D18" s="12">
        <f>BalSht!D32/IncStat!D7</f>
        <v>0.01764363867</v>
      </c>
      <c r="E18" s="12">
        <f>BalSht!E32/IncStat!E7</f>
        <v>0.01788828986</v>
      </c>
      <c r="F18" s="12">
        <f>BalSht!F32/IncStat!F7</f>
        <v>0.0164690443</v>
      </c>
      <c r="G18" s="12">
        <f>BalSht!G32/IncStat!G7</f>
        <v>0.01919709685</v>
      </c>
      <c r="H18" s="13">
        <v>0.018</v>
      </c>
      <c r="I18" s="13">
        <v>0.018</v>
      </c>
      <c r="J18" s="13">
        <v>0.018</v>
      </c>
      <c r="K18" s="13">
        <v>0.018</v>
      </c>
      <c r="L18" s="13">
        <v>0.018</v>
      </c>
      <c r="M18" s="13">
        <v>0.018</v>
      </c>
      <c r="N18" s="13">
        <v>0.018</v>
      </c>
      <c r="O18" s="13">
        <v>0.018</v>
      </c>
      <c r="P18" s="13">
        <v>0.018</v>
      </c>
      <c r="Q18" s="13">
        <v>0.018</v>
      </c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/>
      <c r="B19" s="1"/>
      <c r="C19" s="10"/>
      <c r="D19" s="10"/>
      <c r="E19" s="10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3" t="s">
        <v>62</v>
      </c>
      <c r="B20" s="1"/>
      <c r="C20" s="10"/>
      <c r="D20" s="10"/>
      <c r="E20" s="10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 t="s">
        <v>63</v>
      </c>
      <c r="B21" s="1"/>
      <c r="C21" s="10">
        <f>IncStat!C7/'BS Assumptions'!C25</f>
        <v>3.988959488</v>
      </c>
      <c r="D21" s="10">
        <f>IncStat!D7/'BS Assumptions'!D25</f>
        <v>4.316646892</v>
      </c>
      <c r="E21" s="10">
        <f>IncStat!E7/'BS Assumptions'!E25</f>
        <v>4.570962627</v>
      </c>
      <c r="F21" s="10">
        <f>IncStat!F7/'BS Assumptions'!F25</f>
        <v>4.835888268</v>
      </c>
      <c r="G21" s="10">
        <f>IncStat!G7/'BS Assumptions'!G25</f>
        <v>4.840799297</v>
      </c>
      <c r="H21" s="25">
        <v>4.8</v>
      </c>
      <c r="I21" s="25">
        <v>4.8</v>
      </c>
      <c r="J21" s="25">
        <v>4.8</v>
      </c>
      <c r="K21" s="25">
        <v>4.8</v>
      </c>
      <c r="L21" s="25">
        <v>4.8</v>
      </c>
      <c r="M21" s="25">
        <v>4.8</v>
      </c>
      <c r="N21" s="25">
        <v>4.8</v>
      </c>
      <c r="O21" s="25">
        <v>4.8</v>
      </c>
      <c r="P21" s="25">
        <v>4.8</v>
      </c>
      <c r="Q21" s="25">
        <v>4.8</v>
      </c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 t="s">
        <v>64</v>
      </c>
      <c r="B22" s="1"/>
      <c r="C22" s="10"/>
      <c r="D22" s="10">
        <f t="shared" ref="D22:G22" si="1">C23/D26</f>
        <v>19.90167258</v>
      </c>
      <c r="E22" s="10">
        <f t="shared" si="1"/>
        <v>19.60523763</v>
      </c>
      <c r="F22" s="10">
        <f t="shared" si="1"/>
        <v>19.24442379</v>
      </c>
      <c r="G22" s="10">
        <f t="shared" si="1"/>
        <v>18.70165505</v>
      </c>
      <c r="H22" s="25">
        <v>18.7</v>
      </c>
      <c r="I22" s="25">
        <v>18.7</v>
      </c>
      <c r="J22" s="25">
        <v>18.7</v>
      </c>
      <c r="K22" s="25">
        <v>18.7</v>
      </c>
      <c r="L22" s="25">
        <v>18.7</v>
      </c>
      <c r="M22" s="25">
        <v>18.7</v>
      </c>
      <c r="N22" s="25">
        <v>18.7</v>
      </c>
      <c r="O22" s="25">
        <v>18.7</v>
      </c>
      <c r="P22" s="25">
        <v>18.7</v>
      </c>
      <c r="Q22" s="25">
        <v>18.7</v>
      </c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 t="s">
        <v>65</v>
      </c>
      <c r="B23" s="1"/>
      <c r="C23" s="26">
        <v>39266.0</v>
      </c>
      <c r="D23" s="26">
        <v>40426.0</v>
      </c>
      <c r="E23" s="26">
        <v>41414.0</v>
      </c>
      <c r="F23" s="10">
        <v>42939.0</v>
      </c>
      <c r="G23" s="10">
        <v>44860.0</v>
      </c>
      <c r="H23" s="27">
        <f t="shared" ref="H23:Q23" si="2">H25-H24</f>
        <v>50627.26019</v>
      </c>
      <c r="I23" s="27">
        <f t="shared" si="2"/>
        <v>54183.36415</v>
      </c>
      <c r="J23" s="27">
        <f t="shared" si="2"/>
        <v>58038.35075</v>
      </c>
      <c r="K23" s="27">
        <f t="shared" si="2"/>
        <v>62105.44536</v>
      </c>
      <c r="L23" s="27">
        <f t="shared" si="2"/>
        <v>66423.24797</v>
      </c>
      <c r="M23" s="27">
        <f t="shared" si="2"/>
        <v>71006.31062</v>
      </c>
      <c r="N23" s="27">
        <f t="shared" si="2"/>
        <v>75870.00301</v>
      </c>
      <c r="O23" s="27">
        <f t="shared" si="2"/>
        <v>81030.5576</v>
      </c>
      <c r="P23" s="27">
        <f t="shared" si="2"/>
        <v>86505.11714</v>
      </c>
      <c r="Q23" s="27">
        <f t="shared" si="2"/>
        <v>92311.78482</v>
      </c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" t="s">
        <v>66</v>
      </c>
      <c r="B24" s="1"/>
      <c r="C24" s="26">
        <v>-17075.0</v>
      </c>
      <c r="D24" s="26">
        <v>-18512.0</v>
      </c>
      <c r="E24" s="26">
        <v>-19339.0</v>
      </c>
      <c r="F24" s="10">
        <v>-20564.0</v>
      </c>
      <c r="G24" s="10">
        <v>-22090.0</v>
      </c>
      <c r="H24" s="27">
        <f t="shared" ref="H24:Q24" si="3">G24-H26</f>
        <v>-24488.93048</v>
      </c>
      <c r="I24" s="27">
        <f t="shared" si="3"/>
        <v>-27196.2706</v>
      </c>
      <c r="J24" s="27">
        <f t="shared" si="3"/>
        <v>-30093.7767</v>
      </c>
      <c r="K24" s="27">
        <f t="shared" si="3"/>
        <v>-33197.43182</v>
      </c>
      <c r="L24" s="27">
        <f t="shared" si="3"/>
        <v>-36518.57863</v>
      </c>
      <c r="M24" s="27">
        <f t="shared" si="3"/>
        <v>-40070.62398</v>
      </c>
      <c r="N24" s="27">
        <f t="shared" si="3"/>
        <v>-43867.75289</v>
      </c>
      <c r="O24" s="27">
        <f t="shared" si="3"/>
        <v>-47924.9723</v>
      </c>
      <c r="P24" s="27">
        <f t="shared" si="3"/>
        <v>-52258.1572</v>
      </c>
      <c r="Q24" s="27">
        <f t="shared" si="3"/>
        <v>-56884.09929</v>
      </c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 t="s">
        <v>67</v>
      </c>
      <c r="B25" s="1"/>
      <c r="C25" s="10">
        <f t="shared" ref="C25:G25" si="4">SUM(C23:C24)</f>
        <v>22191</v>
      </c>
      <c r="D25" s="10">
        <f t="shared" si="4"/>
        <v>21914</v>
      </c>
      <c r="E25" s="10">
        <f t="shared" si="4"/>
        <v>22075</v>
      </c>
      <c r="F25" s="10">
        <f t="shared" si="4"/>
        <v>22375</v>
      </c>
      <c r="G25" s="10">
        <f t="shared" si="4"/>
        <v>22770</v>
      </c>
      <c r="H25" s="27">
        <f>IncStat!H7/'BS Assumptions'!H21</f>
        <v>26138.32971</v>
      </c>
      <c r="I25" s="27">
        <f>IncStat!I7/'BS Assumptions'!I21</f>
        <v>26987.09355</v>
      </c>
      <c r="J25" s="27">
        <f>IncStat!J7/'BS Assumptions'!J21</f>
        <v>27944.57404</v>
      </c>
      <c r="K25" s="27">
        <f>IncStat!K7/'BS Assumptions'!K21</f>
        <v>28908.01353</v>
      </c>
      <c r="L25" s="27">
        <f>IncStat!L7/'BS Assumptions'!L21</f>
        <v>29904.66934</v>
      </c>
      <c r="M25" s="27">
        <f>IncStat!M7/'BS Assumptions'!M21</f>
        <v>30935.68664</v>
      </c>
      <c r="N25" s="27">
        <f>IncStat!N7/'BS Assumptions'!N21</f>
        <v>32002.25012</v>
      </c>
      <c r="O25" s="27">
        <f>IncStat!O7/'BS Assumptions'!O21</f>
        <v>33105.5853</v>
      </c>
      <c r="P25" s="27">
        <f>IncStat!P7/'BS Assumptions'!P21</f>
        <v>34246.95994</v>
      </c>
      <c r="Q25" s="27">
        <f>IncStat!Q7/'BS Assumptions'!Q21</f>
        <v>35427.68553</v>
      </c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 t="s">
        <v>68</v>
      </c>
      <c r="B26" s="1"/>
      <c r="C26" s="10">
        <f>CFStat!C12</f>
        <v>1863</v>
      </c>
      <c r="D26" s="10">
        <f>CFStat!D12</f>
        <v>1973</v>
      </c>
      <c r="E26" s="10">
        <f>CFStat!E12</f>
        <v>2062</v>
      </c>
      <c r="F26" s="10">
        <f>CFStat!F12</f>
        <v>2152</v>
      </c>
      <c r="G26" s="10">
        <f>CFStat!G12</f>
        <v>2296</v>
      </c>
      <c r="H26" s="27">
        <f t="shared" ref="H26:Q26" si="5">G23/H22</f>
        <v>2398.930481</v>
      </c>
      <c r="I26" s="27">
        <f t="shared" si="5"/>
        <v>2707.340117</v>
      </c>
      <c r="J26" s="27">
        <f t="shared" si="5"/>
        <v>2897.506104</v>
      </c>
      <c r="K26" s="27">
        <f t="shared" si="5"/>
        <v>3103.65512</v>
      </c>
      <c r="L26" s="27">
        <f t="shared" si="5"/>
        <v>3321.146811</v>
      </c>
      <c r="M26" s="27">
        <f t="shared" si="5"/>
        <v>3552.045346</v>
      </c>
      <c r="N26" s="27">
        <f t="shared" si="5"/>
        <v>3797.12891</v>
      </c>
      <c r="O26" s="27">
        <f t="shared" si="5"/>
        <v>4057.219412</v>
      </c>
      <c r="P26" s="27">
        <f t="shared" si="5"/>
        <v>4333.184898</v>
      </c>
      <c r="Q26" s="27">
        <f t="shared" si="5"/>
        <v>4625.942093</v>
      </c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 t="s">
        <v>69</v>
      </c>
      <c r="B27" s="1"/>
      <c r="C27" s="10">
        <f>-CFStat!C31</f>
        <v>1503</v>
      </c>
      <c r="D27" s="10">
        <f>-CFStat!D31</f>
        <v>1621</v>
      </c>
      <c r="E27" s="10">
        <f>-CFStat!E31</f>
        <v>1897</v>
      </c>
      <c r="F27" s="10">
        <f>-CFStat!F31</f>
        <v>2442</v>
      </c>
      <c r="G27" s="10">
        <f>-CFStat!G31</f>
        <v>2678</v>
      </c>
      <c r="H27" s="27">
        <f t="shared" ref="H27:Q27" si="6">H23-G23</f>
        <v>5767.260194</v>
      </c>
      <c r="I27" s="27">
        <f t="shared" si="6"/>
        <v>3556.10396</v>
      </c>
      <c r="J27" s="27">
        <f t="shared" si="6"/>
        <v>3854.986594</v>
      </c>
      <c r="K27" s="27">
        <f t="shared" si="6"/>
        <v>4067.094611</v>
      </c>
      <c r="L27" s="27">
        <f t="shared" si="6"/>
        <v>4317.802612</v>
      </c>
      <c r="M27" s="27">
        <f t="shared" si="6"/>
        <v>4583.06265</v>
      </c>
      <c r="N27" s="27">
        <f t="shared" si="6"/>
        <v>4863.692391</v>
      </c>
      <c r="O27" s="27">
        <f t="shared" si="6"/>
        <v>5160.554589</v>
      </c>
      <c r="P27" s="27">
        <f t="shared" si="6"/>
        <v>5474.559542</v>
      </c>
      <c r="Q27" s="27">
        <f t="shared" si="6"/>
        <v>5806.667682</v>
      </c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/>
      <c r="B28" s="1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 t="s">
        <v>70</v>
      </c>
      <c r="B29" s="1"/>
      <c r="C29" s="10">
        <v>2102.0</v>
      </c>
      <c r="D29" s="10">
        <v>2093.0</v>
      </c>
      <c r="E29" s="10">
        <v>2275.0</v>
      </c>
      <c r="F29" s="10">
        <v>2252.0</v>
      </c>
      <c r="G29" s="10">
        <v>2254.0</v>
      </c>
      <c r="H29" s="25">
        <f t="shared" ref="H29:Q29" si="7">G29</f>
        <v>2254</v>
      </c>
      <c r="I29" s="25">
        <f t="shared" si="7"/>
        <v>2254</v>
      </c>
      <c r="J29" s="25">
        <f t="shared" si="7"/>
        <v>2254</v>
      </c>
      <c r="K29" s="25">
        <f t="shared" si="7"/>
        <v>2254</v>
      </c>
      <c r="L29" s="25">
        <f t="shared" si="7"/>
        <v>2254</v>
      </c>
      <c r="M29" s="25">
        <f t="shared" si="7"/>
        <v>2254</v>
      </c>
      <c r="N29" s="25">
        <f t="shared" si="7"/>
        <v>2254</v>
      </c>
      <c r="O29" s="25">
        <f t="shared" si="7"/>
        <v>2254</v>
      </c>
      <c r="P29" s="25">
        <f t="shared" si="7"/>
        <v>2254</v>
      </c>
      <c r="Q29" s="25">
        <f t="shared" si="7"/>
        <v>2254</v>
      </c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 t="s">
        <v>71</v>
      </c>
      <c r="B30" s="1"/>
      <c r="C30" s="12">
        <f>BalSht!C19/IncStat!C7</f>
        <v>0.01351122358</v>
      </c>
      <c r="D30" s="12">
        <f>BalSht!D19/IncStat!D7</f>
        <v>0.01305565833</v>
      </c>
      <c r="E30" s="12">
        <f>BalSht!E19/IncStat!E7</f>
        <v>0.01234837073</v>
      </c>
      <c r="F30" s="12">
        <f>BalSht!F19/IncStat!F7</f>
        <v>0.007827879079</v>
      </c>
      <c r="G30" s="12">
        <f>BalSht!G19/IncStat!G7</f>
        <v>0.00732138807</v>
      </c>
      <c r="H30" s="13">
        <v>0.01</v>
      </c>
      <c r="I30" s="13">
        <v>0.01</v>
      </c>
      <c r="J30" s="13">
        <v>0.01</v>
      </c>
      <c r="K30" s="13">
        <v>0.01</v>
      </c>
      <c r="L30" s="13">
        <v>0.01</v>
      </c>
      <c r="M30" s="13">
        <v>0.01</v>
      </c>
      <c r="N30" s="13">
        <v>0.01</v>
      </c>
      <c r="O30" s="13">
        <v>0.01</v>
      </c>
      <c r="P30" s="13">
        <v>0.01</v>
      </c>
      <c r="Q30" s="13">
        <v>0.01</v>
      </c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3" t="s">
        <v>72</v>
      </c>
      <c r="B32" s="1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28" t="s">
        <v>73</v>
      </c>
      <c r="B33" s="1"/>
      <c r="C33" s="10"/>
      <c r="D33" s="10"/>
      <c r="E33" s="12"/>
      <c r="F33" s="12"/>
      <c r="G33" s="12">
        <f>BalSht!G16/IncStat!G15</f>
        <v>0.2834346505</v>
      </c>
      <c r="H33" s="13">
        <f t="shared" ref="H33:Q33" si="8">G33</f>
        <v>0.2834346505</v>
      </c>
      <c r="I33" s="13">
        <f t="shared" si="8"/>
        <v>0.2834346505</v>
      </c>
      <c r="J33" s="13">
        <f t="shared" si="8"/>
        <v>0.2834346505</v>
      </c>
      <c r="K33" s="13">
        <f t="shared" si="8"/>
        <v>0.2834346505</v>
      </c>
      <c r="L33" s="13">
        <f t="shared" si="8"/>
        <v>0.2834346505</v>
      </c>
      <c r="M33" s="13">
        <f t="shared" si="8"/>
        <v>0.2834346505</v>
      </c>
      <c r="N33" s="13">
        <f t="shared" si="8"/>
        <v>0.2834346505</v>
      </c>
      <c r="O33" s="13">
        <f t="shared" si="8"/>
        <v>0.2834346505</v>
      </c>
      <c r="P33" s="13">
        <f t="shared" si="8"/>
        <v>0.2834346505</v>
      </c>
      <c r="Q33" s="13">
        <f t="shared" si="8"/>
        <v>0.2834346505</v>
      </c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28" t="s">
        <v>74</v>
      </c>
      <c r="B34" s="1"/>
      <c r="C34" s="10"/>
      <c r="D34" s="10"/>
      <c r="E34" s="10"/>
      <c r="F34" s="10"/>
      <c r="G34" s="10">
        <f>BalSht!G16</f>
        <v>5595</v>
      </c>
      <c r="H34" s="27">
        <f>H33*IncStat!H15</f>
        <v>6570.447447</v>
      </c>
      <c r="I34" s="27">
        <f>I33*IncStat!I15</f>
        <v>6645.51847</v>
      </c>
      <c r="J34" s="27">
        <f>J33*IncStat!J15</f>
        <v>6729.223306</v>
      </c>
      <c r="K34" s="27">
        <f>K33*IncStat!K15</f>
        <v>6882.567478</v>
      </c>
      <c r="L34" s="27">
        <f>L33*IncStat!L15</f>
        <v>7038.486593</v>
      </c>
      <c r="M34" s="27">
        <f>M33*IncStat!M15</f>
        <v>7239.063509</v>
      </c>
      <c r="N34" s="27">
        <f>N33*IncStat!N15</f>
        <v>7445.10463</v>
      </c>
      <c r="O34" s="27">
        <f>O33*IncStat!O15</f>
        <v>7656.748318</v>
      </c>
      <c r="P34" s="27">
        <f>P33*IncStat!P15</f>
        <v>7920.728498</v>
      </c>
      <c r="Q34" s="27">
        <f>Q33*IncStat!Q15</f>
        <v>8193.80987</v>
      </c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28" t="s">
        <v>75</v>
      </c>
      <c r="B35" s="1"/>
      <c r="C35" s="10"/>
      <c r="D35" s="10"/>
      <c r="E35" s="10"/>
      <c r="F35" s="10"/>
      <c r="G35" s="10"/>
      <c r="H35" s="27">
        <f t="shared" ref="H35:Q35" si="9">H34-G34</f>
        <v>975.4474467</v>
      </c>
      <c r="I35" s="27">
        <f t="shared" si="9"/>
        <v>75.07102322</v>
      </c>
      <c r="J35" s="27">
        <f t="shared" si="9"/>
        <v>83.70483583</v>
      </c>
      <c r="K35" s="27">
        <f t="shared" si="9"/>
        <v>153.344172</v>
      </c>
      <c r="L35" s="27">
        <f t="shared" si="9"/>
        <v>155.9191152</v>
      </c>
      <c r="M35" s="27">
        <f t="shared" si="9"/>
        <v>200.576916</v>
      </c>
      <c r="N35" s="27">
        <f t="shared" si="9"/>
        <v>206.0411212</v>
      </c>
      <c r="O35" s="27">
        <f t="shared" si="9"/>
        <v>211.6436873</v>
      </c>
      <c r="P35" s="27">
        <f t="shared" si="9"/>
        <v>263.9801804</v>
      </c>
      <c r="Q35" s="27">
        <f t="shared" si="9"/>
        <v>273.0813723</v>
      </c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28"/>
      <c r="B36" s="1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28" t="s">
        <v>76</v>
      </c>
      <c r="B37" s="1"/>
      <c r="C37" s="10"/>
      <c r="D37" s="10"/>
      <c r="E37" s="10"/>
      <c r="F37" s="10"/>
      <c r="G37" s="10">
        <f>BalSht!G30</f>
        <v>828</v>
      </c>
      <c r="H37" s="27">
        <f t="shared" ref="H37:Q37" si="10">H40*H39</f>
        <v>965.0326579</v>
      </c>
      <c r="I37" s="27">
        <f t="shared" si="10"/>
        <v>975.5787739</v>
      </c>
      <c r="J37" s="27">
        <f t="shared" si="10"/>
        <v>987.3377837</v>
      </c>
      <c r="K37" s="27">
        <f t="shared" si="10"/>
        <v>1008.879856</v>
      </c>
      <c r="L37" s="27">
        <f t="shared" si="10"/>
        <v>1030.783661</v>
      </c>
      <c r="M37" s="27">
        <f t="shared" si="10"/>
        <v>1058.961077</v>
      </c>
      <c r="N37" s="27">
        <f t="shared" si="10"/>
        <v>1087.906114</v>
      </c>
      <c r="O37" s="27">
        <f t="shared" si="10"/>
        <v>1117.63821</v>
      </c>
      <c r="P37" s="27">
        <f t="shared" si="10"/>
        <v>1154.722633</v>
      </c>
      <c r="Q37" s="27">
        <f t="shared" si="10"/>
        <v>1193.085608</v>
      </c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28" t="s">
        <v>77</v>
      </c>
      <c r="B38" s="1"/>
      <c r="C38" s="10"/>
      <c r="D38" s="10"/>
      <c r="E38" s="10"/>
      <c r="F38" s="10"/>
      <c r="G38" s="10">
        <f>BalSht!G37</f>
        <v>5066</v>
      </c>
      <c r="H38" s="27">
        <f t="shared" ref="H38:Q38" si="11">H39-H37</f>
        <v>5904.414789</v>
      </c>
      <c r="I38" s="27">
        <f t="shared" si="11"/>
        <v>5968.939696</v>
      </c>
      <c r="J38" s="27">
        <f t="shared" si="11"/>
        <v>6040.885522</v>
      </c>
      <c r="K38" s="27">
        <f t="shared" si="11"/>
        <v>6172.687622</v>
      </c>
      <c r="L38" s="27">
        <f t="shared" si="11"/>
        <v>6306.702932</v>
      </c>
      <c r="M38" s="27">
        <f t="shared" si="11"/>
        <v>6479.102432</v>
      </c>
      <c r="N38" s="27">
        <f t="shared" si="11"/>
        <v>6656.198517</v>
      </c>
      <c r="O38" s="27">
        <f t="shared" si="11"/>
        <v>6838.110108</v>
      </c>
      <c r="P38" s="27">
        <f t="shared" si="11"/>
        <v>7065.005865</v>
      </c>
      <c r="Q38" s="27">
        <f t="shared" si="11"/>
        <v>7299.724262</v>
      </c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28" t="s">
        <v>78</v>
      </c>
      <c r="B39" s="1"/>
      <c r="C39" s="10"/>
      <c r="D39" s="10"/>
      <c r="E39" s="10"/>
      <c r="F39" s="10"/>
      <c r="G39" s="10">
        <f>SUM(G37:G38)</f>
        <v>5894</v>
      </c>
      <c r="H39" s="27">
        <f t="shared" ref="H39:Q39" si="12">G39+H35</f>
        <v>6869.447447</v>
      </c>
      <c r="I39" s="27">
        <f t="shared" si="12"/>
        <v>6944.51847</v>
      </c>
      <c r="J39" s="27">
        <f t="shared" si="12"/>
        <v>7028.223306</v>
      </c>
      <c r="K39" s="27">
        <f t="shared" si="12"/>
        <v>7181.567478</v>
      </c>
      <c r="L39" s="27">
        <f t="shared" si="12"/>
        <v>7337.486593</v>
      </c>
      <c r="M39" s="27">
        <f t="shared" si="12"/>
        <v>7538.063509</v>
      </c>
      <c r="N39" s="27">
        <f t="shared" si="12"/>
        <v>7744.10463</v>
      </c>
      <c r="O39" s="27">
        <f t="shared" si="12"/>
        <v>7955.748318</v>
      </c>
      <c r="P39" s="27">
        <f t="shared" si="12"/>
        <v>8219.728498</v>
      </c>
      <c r="Q39" s="27">
        <f t="shared" si="12"/>
        <v>8492.80987</v>
      </c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29" t="s">
        <v>79</v>
      </c>
      <c r="B40" s="1"/>
      <c r="C40" s="10"/>
      <c r="D40" s="10"/>
      <c r="E40" s="10"/>
      <c r="F40" s="10"/>
      <c r="G40" s="12">
        <f>G37/G39</f>
        <v>0.1404818459</v>
      </c>
      <c r="H40" s="13">
        <f t="shared" ref="H40:Q40" si="13">G40</f>
        <v>0.1404818459</v>
      </c>
      <c r="I40" s="13">
        <f t="shared" si="13"/>
        <v>0.1404818459</v>
      </c>
      <c r="J40" s="13">
        <f t="shared" si="13"/>
        <v>0.1404818459</v>
      </c>
      <c r="K40" s="13">
        <f t="shared" si="13"/>
        <v>0.1404818459</v>
      </c>
      <c r="L40" s="13">
        <f t="shared" si="13"/>
        <v>0.1404818459</v>
      </c>
      <c r="M40" s="13">
        <f t="shared" si="13"/>
        <v>0.1404818459</v>
      </c>
      <c r="N40" s="13">
        <f t="shared" si="13"/>
        <v>0.1404818459</v>
      </c>
      <c r="O40" s="13">
        <f t="shared" si="13"/>
        <v>0.1404818459</v>
      </c>
      <c r="P40" s="13">
        <f t="shared" si="13"/>
        <v>0.1404818459</v>
      </c>
      <c r="Q40" s="13">
        <f t="shared" si="13"/>
        <v>0.1404818459</v>
      </c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29" t="s">
        <v>80</v>
      </c>
      <c r="B41" s="1"/>
      <c r="C41" s="10"/>
      <c r="D41" s="10"/>
      <c r="E41" s="10"/>
      <c r="F41" s="10"/>
      <c r="G41" s="10"/>
      <c r="H41" s="27">
        <f t="shared" ref="H41:Q41" si="14">H35</f>
        <v>975.4474467</v>
      </c>
      <c r="I41" s="27">
        <f t="shared" si="14"/>
        <v>75.07102322</v>
      </c>
      <c r="J41" s="27">
        <f t="shared" si="14"/>
        <v>83.70483583</v>
      </c>
      <c r="K41" s="27">
        <f t="shared" si="14"/>
        <v>153.344172</v>
      </c>
      <c r="L41" s="27">
        <f t="shared" si="14"/>
        <v>155.9191152</v>
      </c>
      <c r="M41" s="27">
        <f t="shared" si="14"/>
        <v>200.576916</v>
      </c>
      <c r="N41" s="27">
        <f t="shared" si="14"/>
        <v>206.0411212</v>
      </c>
      <c r="O41" s="27">
        <f t="shared" si="14"/>
        <v>211.6436873</v>
      </c>
      <c r="P41" s="27">
        <f t="shared" si="14"/>
        <v>263.9801804</v>
      </c>
      <c r="Q41" s="27">
        <f t="shared" si="14"/>
        <v>273.0813723</v>
      </c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29"/>
      <c r="B42" s="1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29" t="s">
        <v>81</v>
      </c>
      <c r="B43" s="1"/>
      <c r="C43" s="10"/>
      <c r="D43" s="10"/>
      <c r="E43" s="10"/>
      <c r="F43" s="10"/>
      <c r="G43" s="10"/>
      <c r="H43" s="27">
        <f t="shared" ref="H43:Q43" si="15">(G34-G39)-(H34-H39)</f>
        <v>0</v>
      </c>
      <c r="I43" s="27">
        <f t="shared" si="15"/>
        <v>0</v>
      </c>
      <c r="J43" s="27">
        <f t="shared" si="15"/>
        <v>0</v>
      </c>
      <c r="K43" s="27">
        <f t="shared" si="15"/>
        <v>0</v>
      </c>
      <c r="L43" s="27">
        <f t="shared" si="15"/>
        <v>0</v>
      </c>
      <c r="M43" s="27">
        <f t="shared" si="15"/>
        <v>0</v>
      </c>
      <c r="N43" s="27">
        <f t="shared" si="15"/>
        <v>0</v>
      </c>
      <c r="O43" s="27">
        <f t="shared" si="15"/>
        <v>0</v>
      </c>
      <c r="P43" s="27">
        <f t="shared" si="15"/>
        <v>0</v>
      </c>
      <c r="Q43" s="27">
        <f t="shared" si="15"/>
        <v>0</v>
      </c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3" t="s">
        <v>82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 t="s">
        <v>83</v>
      </c>
      <c r="B46" s="1"/>
      <c r="C46" s="12">
        <f>BalSht!C38/IncStat!C7</f>
        <v>0.004281566669</v>
      </c>
      <c r="D46" s="12">
        <f>BalSht!D38/IncStat!D7</f>
        <v>0.003129129447</v>
      </c>
      <c r="E46" s="12">
        <f>BalSht!E38/IncStat!E7</f>
        <v>0.004360580354</v>
      </c>
      <c r="F46" s="12">
        <f>BalSht!F38/IncStat!F7</f>
        <v>0.004537766975</v>
      </c>
      <c r="G46" s="12">
        <f>BalSht!G38/IncStat!G7</f>
        <v>0.006405080517</v>
      </c>
      <c r="H46" s="13">
        <v>0.005</v>
      </c>
      <c r="I46" s="13">
        <v>0.005</v>
      </c>
      <c r="J46" s="13">
        <v>0.005</v>
      </c>
      <c r="K46" s="13">
        <v>0.005</v>
      </c>
      <c r="L46" s="13">
        <v>0.005</v>
      </c>
      <c r="M46" s="13">
        <v>0.005</v>
      </c>
      <c r="N46" s="13">
        <v>0.005</v>
      </c>
      <c r="O46" s="13">
        <v>0.005</v>
      </c>
      <c r="P46" s="13">
        <v>0.005</v>
      </c>
      <c r="Q46" s="13">
        <v>0.005</v>
      </c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 t="s">
        <v>84</v>
      </c>
      <c r="B47" s="1"/>
      <c r="C47" s="12">
        <f>BalSht!C39/IncStat!C7</f>
        <v>0.02219862402</v>
      </c>
      <c r="D47" s="12">
        <f>BalSht!D39/IncStat!D7</f>
        <v>0.01960991596</v>
      </c>
      <c r="E47" s="12">
        <f>BalSht!E39/IncStat!E7</f>
        <v>0.02154523111</v>
      </c>
      <c r="F47" s="12">
        <f>BalSht!F39/IncStat!F7</f>
        <v>0.01725460477</v>
      </c>
      <c r="G47" s="12">
        <f>BalSht!G39/IncStat!G7</f>
        <v>0.01392606033</v>
      </c>
      <c r="H47" s="13">
        <v>0.015</v>
      </c>
      <c r="I47" s="13">
        <v>0.015</v>
      </c>
      <c r="J47" s="13">
        <v>0.015</v>
      </c>
      <c r="K47" s="13">
        <v>0.015</v>
      </c>
      <c r="L47" s="13">
        <v>0.015</v>
      </c>
      <c r="M47" s="13">
        <v>0.015</v>
      </c>
      <c r="N47" s="13">
        <v>0.015</v>
      </c>
      <c r="O47" s="13">
        <v>0.015</v>
      </c>
      <c r="P47" s="13">
        <v>0.015</v>
      </c>
      <c r="Q47" s="13">
        <v>0.015</v>
      </c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3" t="s">
        <v>85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 t="s">
        <v>86</v>
      </c>
      <c r="B50" s="1"/>
      <c r="C50" s="12">
        <f>C51/IncStat!C7</f>
        <v>0.02503417345</v>
      </c>
      <c r="D50" s="12">
        <f>D51/IncStat!D7</f>
        <v>0.02683017073</v>
      </c>
      <c r="E50" s="12">
        <f>E51/IncStat!E7</f>
        <v>0.03562792357</v>
      </c>
      <c r="F50" s="12">
        <f>F51/IncStat!F7</f>
        <v>0.01643207674</v>
      </c>
      <c r="G50" s="12">
        <f>G51/IncStat!G7</f>
        <v>0.01935132683</v>
      </c>
      <c r="H50" s="13">
        <v>0.02</v>
      </c>
      <c r="I50" s="13">
        <v>0.02</v>
      </c>
      <c r="J50" s="13">
        <v>0.02</v>
      </c>
      <c r="K50" s="13">
        <v>0.02</v>
      </c>
      <c r="L50" s="13">
        <v>0.02</v>
      </c>
      <c r="M50" s="13">
        <v>0.02</v>
      </c>
      <c r="N50" s="13">
        <v>0.02</v>
      </c>
      <c r="O50" s="13">
        <v>0.02</v>
      </c>
      <c r="P50" s="13">
        <v>0.02</v>
      </c>
      <c r="Q50" s="13">
        <v>0.02</v>
      </c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 t="s">
        <v>87</v>
      </c>
      <c r="B51" s="1"/>
      <c r="C51" s="10">
        <f>BalSht!C9</f>
        <v>2216</v>
      </c>
      <c r="D51" s="10">
        <f>BalSht!D9</f>
        <v>2538</v>
      </c>
      <c r="E51" s="10">
        <f>BalSht!E9</f>
        <v>3595</v>
      </c>
      <c r="F51" s="10">
        <f>BalSht!F9</f>
        <v>1778</v>
      </c>
      <c r="G51" s="10">
        <f>BalSht!G9</f>
        <v>2133</v>
      </c>
      <c r="H51" s="27">
        <f>H50*IncStat!H7</f>
        <v>2509.279652</v>
      </c>
      <c r="I51" s="27">
        <f>I50*IncStat!I7</f>
        <v>2590.760981</v>
      </c>
      <c r="J51" s="27">
        <f>J50*IncStat!J7</f>
        <v>2682.679108</v>
      </c>
      <c r="K51" s="27">
        <f>K50*IncStat!K7</f>
        <v>2775.169299</v>
      </c>
      <c r="L51" s="27">
        <f>L50*IncStat!L7</f>
        <v>2870.848256</v>
      </c>
      <c r="M51" s="27">
        <f>M50*IncStat!M7</f>
        <v>2969.825917</v>
      </c>
      <c r="N51" s="27">
        <f>N50*IncStat!N7</f>
        <v>3072.216012</v>
      </c>
      <c r="O51" s="27">
        <f>O50*IncStat!O7</f>
        <v>3178.136189</v>
      </c>
      <c r="P51" s="27">
        <f>P50*IncStat!P7</f>
        <v>3287.708154</v>
      </c>
      <c r="Q51" s="27">
        <f>Q50*IncStat!Q7</f>
        <v>3401.057811</v>
      </c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 t="s">
        <v>88</v>
      </c>
      <c r="B53" s="1"/>
      <c r="C53" s="10"/>
      <c r="D53" s="10"/>
      <c r="E53" s="10"/>
      <c r="F53" s="10"/>
      <c r="G53" s="10"/>
      <c r="H53" s="25">
        <v>0.0</v>
      </c>
      <c r="I53" s="25">
        <v>0.0</v>
      </c>
      <c r="J53" s="25">
        <v>0.0</v>
      </c>
      <c r="K53" s="25">
        <v>0.0</v>
      </c>
      <c r="L53" s="25">
        <v>0.0</v>
      </c>
      <c r="M53" s="25">
        <v>0.0</v>
      </c>
      <c r="N53" s="25">
        <v>0.0</v>
      </c>
      <c r="O53" s="25">
        <v>0.0</v>
      </c>
      <c r="P53" s="25">
        <v>0.0</v>
      </c>
      <c r="Q53" s="25">
        <v>0.0</v>
      </c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 t="s">
        <v>89</v>
      </c>
      <c r="B54" s="1"/>
      <c r="C54" s="12">
        <f t="shared" ref="C54:G54" si="16">C56/C59</f>
        <v>0.01649698341</v>
      </c>
      <c r="D54" s="12">
        <f t="shared" si="16"/>
        <v>0.03008347104</v>
      </c>
      <c r="E54" s="12">
        <f t="shared" si="16"/>
        <v>0.05768092349</v>
      </c>
      <c r="F54" s="12">
        <f t="shared" si="16"/>
        <v>0.04585302377</v>
      </c>
      <c r="G54" s="12">
        <f t="shared" si="16"/>
        <v>0.03093733126</v>
      </c>
      <c r="H54" s="13">
        <f t="shared" ref="H54:Q54" si="17">G54</f>
        <v>0.03093733126</v>
      </c>
      <c r="I54" s="13">
        <f t="shared" si="17"/>
        <v>0.03093733126</v>
      </c>
      <c r="J54" s="13">
        <f t="shared" si="17"/>
        <v>0.03093733126</v>
      </c>
      <c r="K54" s="13">
        <f t="shared" si="17"/>
        <v>0.03093733126</v>
      </c>
      <c r="L54" s="13">
        <f t="shared" si="17"/>
        <v>0.03093733126</v>
      </c>
      <c r="M54" s="13">
        <f t="shared" si="17"/>
        <v>0.03093733126</v>
      </c>
      <c r="N54" s="13">
        <f t="shared" si="17"/>
        <v>0.03093733126</v>
      </c>
      <c r="O54" s="13">
        <f t="shared" si="17"/>
        <v>0.03093733126</v>
      </c>
      <c r="P54" s="13">
        <f t="shared" si="17"/>
        <v>0.03093733126</v>
      </c>
      <c r="Q54" s="13">
        <f t="shared" si="17"/>
        <v>0.03093733126</v>
      </c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 t="s">
        <v>79</v>
      </c>
      <c r="B55" s="1"/>
      <c r="C55" s="12">
        <f t="shared" ref="C55:G55" si="18">C57/C59</f>
        <v>0.00362933635</v>
      </c>
      <c r="D55" s="12">
        <f t="shared" si="18"/>
        <v>0.0229651286</v>
      </c>
      <c r="E55" s="12">
        <f t="shared" si="18"/>
        <v>0.04447239899</v>
      </c>
      <c r="F55" s="12">
        <f t="shared" si="18"/>
        <v>0.03616190672</v>
      </c>
      <c r="G55" s="12">
        <f t="shared" si="18"/>
        <v>0.05841247657</v>
      </c>
      <c r="H55" s="13">
        <f t="shared" ref="H55:Q55" si="19">G55</f>
        <v>0.05841247657</v>
      </c>
      <c r="I55" s="13">
        <f t="shared" si="19"/>
        <v>0.05841247657</v>
      </c>
      <c r="J55" s="13">
        <f t="shared" si="19"/>
        <v>0.05841247657</v>
      </c>
      <c r="K55" s="13">
        <f t="shared" si="19"/>
        <v>0.05841247657</v>
      </c>
      <c r="L55" s="13">
        <f t="shared" si="19"/>
        <v>0.05841247657</v>
      </c>
      <c r="M55" s="13">
        <f t="shared" si="19"/>
        <v>0.05841247657</v>
      </c>
      <c r="N55" s="13">
        <f t="shared" si="19"/>
        <v>0.05841247657</v>
      </c>
      <c r="O55" s="13">
        <f t="shared" si="19"/>
        <v>0.05841247657</v>
      </c>
      <c r="P55" s="13">
        <f t="shared" si="19"/>
        <v>0.05841247657</v>
      </c>
      <c r="Q55" s="13">
        <f t="shared" si="19"/>
        <v>0.05841247657</v>
      </c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 t="s">
        <v>90</v>
      </c>
      <c r="B56" s="1"/>
      <c r="C56" s="10">
        <f>BalSht!C28</f>
        <v>350</v>
      </c>
      <c r="D56" s="10">
        <f>BalSht!D28</f>
        <v>710</v>
      </c>
      <c r="E56" s="10">
        <f>BalSht!E28</f>
        <v>1559</v>
      </c>
      <c r="F56" s="10">
        <f>BalSht!F28</f>
        <v>1339</v>
      </c>
      <c r="G56" s="10">
        <f>BalSht!G28</f>
        <v>974</v>
      </c>
      <c r="H56" s="27">
        <f t="shared" ref="H56:Q56" si="20">H54*H59</f>
        <v>974</v>
      </c>
      <c r="I56" s="27">
        <f t="shared" si="20"/>
        <v>974</v>
      </c>
      <c r="J56" s="27">
        <f t="shared" si="20"/>
        <v>974</v>
      </c>
      <c r="K56" s="27">
        <f t="shared" si="20"/>
        <v>974</v>
      </c>
      <c r="L56" s="27">
        <f t="shared" si="20"/>
        <v>974</v>
      </c>
      <c r="M56" s="27">
        <f t="shared" si="20"/>
        <v>974</v>
      </c>
      <c r="N56" s="27">
        <f t="shared" si="20"/>
        <v>974</v>
      </c>
      <c r="O56" s="27">
        <f t="shared" si="20"/>
        <v>974</v>
      </c>
      <c r="P56" s="27">
        <f t="shared" si="20"/>
        <v>974</v>
      </c>
      <c r="Q56" s="27">
        <f t="shared" si="20"/>
        <v>974</v>
      </c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 t="s">
        <v>91</v>
      </c>
      <c r="B57" s="1"/>
      <c r="C57" s="10">
        <f>BalSht!C29</f>
        <v>77</v>
      </c>
      <c r="D57" s="10">
        <f>BalSht!D29</f>
        <v>542</v>
      </c>
      <c r="E57" s="10">
        <f>BalSht!E29</f>
        <v>1202</v>
      </c>
      <c r="F57" s="10">
        <f>BalSht!F29</f>
        <v>1056</v>
      </c>
      <c r="G57" s="10">
        <f>BalSht!G29</f>
        <v>1839</v>
      </c>
      <c r="H57" s="27">
        <f t="shared" ref="H57:Q57" si="21">H55*H59</f>
        <v>1839</v>
      </c>
      <c r="I57" s="27">
        <f t="shared" si="21"/>
        <v>1839</v>
      </c>
      <c r="J57" s="27">
        <f t="shared" si="21"/>
        <v>1839</v>
      </c>
      <c r="K57" s="27">
        <f t="shared" si="21"/>
        <v>1839</v>
      </c>
      <c r="L57" s="27">
        <f t="shared" si="21"/>
        <v>1839</v>
      </c>
      <c r="M57" s="27">
        <f t="shared" si="21"/>
        <v>1839</v>
      </c>
      <c r="N57" s="27">
        <f t="shared" si="21"/>
        <v>1839</v>
      </c>
      <c r="O57" s="27">
        <f t="shared" si="21"/>
        <v>1839</v>
      </c>
      <c r="P57" s="27">
        <f t="shared" si="21"/>
        <v>1839</v>
      </c>
      <c r="Q57" s="27">
        <f t="shared" si="21"/>
        <v>1839</v>
      </c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 t="s">
        <v>92</v>
      </c>
      <c r="B58" s="1"/>
      <c r="C58" s="10">
        <f>BalSht!C36</f>
        <v>20789</v>
      </c>
      <c r="D58" s="10">
        <f>BalSht!D36</f>
        <v>22349</v>
      </c>
      <c r="E58" s="10">
        <f>BalSht!E36</f>
        <v>24267</v>
      </c>
      <c r="F58" s="10">
        <f>BalSht!F36</f>
        <v>26807</v>
      </c>
      <c r="G58" s="10">
        <f>BalSht!G36</f>
        <v>28670</v>
      </c>
      <c r="H58" s="27">
        <f t="shared" ref="H58:Q58" si="22">H59-H57-H56</f>
        <v>28670</v>
      </c>
      <c r="I58" s="27">
        <f t="shared" si="22"/>
        <v>28670</v>
      </c>
      <c r="J58" s="27">
        <f t="shared" si="22"/>
        <v>28670</v>
      </c>
      <c r="K58" s="27">
        <f t="shared" si="22"/>
        <v>28670</v>
      </c>
      <c r="L58" s="27">
        <f t="shared" si="22"/>
        <v>28670</v>
      </c>
      <c r="M58" s="27">
        <f t="shared" si="22"/>
        <v>28670</v>
      </c>
      <c r="N58" s="27">
        <f t="shared" si="22"/>
        <v>28670</v>
      </c>
      <c r="O58" s="27">
        <f t="shared" si="22"/>
        <v>28670</v>
      </c>
      <c r="P58" s="27">
        <f t="shared" si="22"/>
        <v>28670</v>
      </c>
      <c r="Q58" s="27">
        <f t="shared" si="22"/>
        <v>28670</v>
      </c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 t="s">
        <v>93</v>
      </c>
      <c r="B59" s="1"/>
      <c r="C59" s="10">
        <f t="shared" ref="C59:G59" si="23">SUM(C56:C58)</f>
        <v>21216</v>
      </c>
      <c r="D59" s="10">
        <f t="shared" si="23"/>
        <v>23601</v>
      </c>
      <c r="E59" s="10">
        <f t="shared" si="23"/>
        <v>27028</v>
      </c>
      <c r="F59" s="10">
        <f t="shared" si="23"/>
        <v>29202</v>
      </c>
      <c r="G59" s="10">
        <f t="shared" si="23"/>
        <v>31483</v>
      </c>
      <c r="H59" s="27">
        <f t="shared" ref="H59:Q59" si="24">G59+H53</f>
        <v>31483</v>
      </c>
      <c r="I59" s="27">
        <f t="shared" si="24"/>
        <v>31483</v>
      </c>
      <c r="J59" s="27">
        <f t="shared" si="24"/>
        <v>31483</v>
      </c>
      <c r="K59" s="27">
        <f t="shared" si="24"/>
        <v>31483</v>
      </c>
      <c r="L59" s="27">
        <f t="shared" si="24"/>
        <v>31483</v>
      </c>
      <c r="M59" s="27">
        <f t="shared" si="24"/>
        <v>31483</v>
      </c>
      <c r="N59" s="27">
        <f t="shared" si="24"/>
        <v>31483</v>
      </c>
      <c r="O59" s="27">
        <f t="shared" si="24"/>
        <v>31483</v>
      </c>
      <c r="P59" s="27">
        <f t="shared" si="24"/>
        <v>31483</v>
      </c>
      <c r="Q59" s="27">
        <f t="shared" si="24"/>
        <v>31483</v>
      </c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14"/>
    <col customWidth="1" min="2" max="3" width="8.86"/>
    <col customWidth="1" min="4" max="4" width="9.14"/>
    <col customWidth="1" min="5" max="26" width="8.86"/>
  </cols>
  <sheetData>
    <row r="1" ht="13.5" customHeight="1">
      <c r="A1" s="7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20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21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9">
        <f>'IS Assumptions'!Q5</f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0" t="s">
        <v>94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21" t="s">
        <v>95</v>
      </c>
      <c r="B8" s="1"/>
      <c r="C8" s="31">
        <v>-144.0</v>
      </c>
      <c r="D8" s="31">
        <v>0.0</v>
      </c>
      <c r="E8" s="31">
        <v>0.0</v>
      </c>
      <c r="F8" s="31">
        <v>0.0</v>
      </c>
      <c r="G8" s="31">
        <v>0.0</v>
      </c>
      <c r="H8" s="25">
        <v>0.0</v>
      </c>
      <c r="I8" s="25">
        <v>0.0</v>
      </c>
      <c r="J8" s="25">
        <v>0.0</v>
      </c>
      <c r="K8" s="25">
        <v>0.0</v>
      </c>
      <c r="L8" s="25">
        <v>0.0</v>
      </c>
      <c r="M8" s="25">
        <v>0.0</v>
      </c>
      <c r="N8" s="25">
        <v>0.0</v>
      </c>
      <c r="O8" s="25">
        <v>0.0</v>
      </c>
      <c r="P8" s="25">
        <v>0.0</v>
      </c>
      <c r="Q8" s="25">
        <v>0.0</v>
      </c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21" t="s">
        <v>96</v>
      </c>
      <c r="B9" s="1"/>
      <c r="C9" s="31">
        <v>0.0</v>
      </c>
      <c r="D9" s="31">
        <v>0.0</v>
      </c>
      <c r="E9" s="31">
        <v>0.0</v>
      </c>
      <c r="F9" s="31">
        <v>247.0</v>
      </c>
      <c r="G9" s="31">
        <v>0.0</v>
      </c>
      <c r="H9" s="25">
        <v>0.0</v>
      </c>
      <c r="I9" s="25">
        <v>0.0</v>
      </c>
      <c r="J9" s="25">
        <v>0.0</v>
      </c>
      <c r="K9" s="25">
        <v>0.0</v>
      </c>
      <c r="L9" s="25">
        <v>0.0</v>
      </c>
      <c r="M9" s="25">
        <v>0.0</v>
      </c>
      <c r="N9" s="25">
        <v>0.0</v>
      </c>
      <c r="O9" s="25">
        <v>0.0</v>
      </c>
      <c r="P9" s="25">
        <v>0.0</v>
      </c>
      <c r="Q9" s="25">
        <v>0.0</v>
      </c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21" t="s">
        <v>97</v>
      </c>
      <c r="B10" s="1"/>
      <c r="C10" s="12">
        <f>CFStat!C15/IncStat!C15</f>
        <v>0.01452294506</v>
      </c>
      <c r="D10" s="12">
        <f>CFStat!D15/IncStat!D15</f>
        <v>0.01558487042</v>
      </c>
      <c r="E10" s="12">
        <f>CFStat!E15/IncStat!E15</f>
        <v>0.01528213166</v>
      </c>
      <c r="F10" s="12">
        <f>CFStat!F15/IncStat!F15</f>
        <v>0.01445190386</v>
      </c>
      <c r="G10" s="12">
        <f>CFStat!G15/IncStat!G15</f>
        <v>0.01271529889</v>
      </c>
      <c r="H10" s="13">
        <v>0.013</v>
      </c>
      <c r="I10" s="13">
        <v>0.013</v>
      </c>
      <c r="J10" s="13">
        <v>0.013</v>
      </c>
      <c r="K10" s="13">
        <v>0.013</v>
      </c>
      <c r="L10" s="13">
        <v>0.013</v>
      </c>
      <c r="M10" s="13">
        <v>0.013</v>
      </c>
      <c r="N10" s="13">
        <v>0.013</v>
      </c>
      <c r="O10" s="13">
        <v>0.013</v>
      </c>
      <c r="P10" s="13">
        <v>0.013</v>
      </c>
      <c r="Q10" s="13">
        <v>0.013</v>
      </c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21" t="s">
        <v>98</v>
      </c>
      <c r="B11" s="1"/>
      <c r="C11" s="31">
        <v>-33.0</v>
      </c>
      <c r="D11" s="31">
        <v>0.0</v>
      </c>
      <c r="E11" s="31">
        <v>0.0</v>
      </c>
      <c r="F11" s="31">
        <v>0.0</v>
      </c>
      <c r="G11" s="31">
        <v>0.0</v>
      </c>
      <c r="H11" s="25">
        <v>0.0</v>
      </c>
      <c r="I11" s="25">
        <v>0.0</v>
      </c>
      <c r="J11" s="25">
        <v>0.0</v>
      </c>
      <c r="K11" s="25">
        <v>0.0</v>
      </c>
      <c r="L11" s="25">
        <v>0.0</v>
      </c>
      <c r="M11" s="25">
        <v>0.0</v>
      </c>
      <c r="N11" s="25">
        <v>0.0</v>
      </c>
      <c r="O11" s="25">
        <v>0.0</v>
      </c>
      <c r="P11" s="25">
        <v>0.0</v>
      </c>
      <c r="Q11" s="25">
        <v>0.0</v>
      </c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21" t="s">
        <v>99</v>
      </c>
      <c r="B12" s="1"/>
      <c r="C12" s="31">
        <v>0.0</v>
      </c>
      <c r="D12" s="31">
        <v>4.0</v>
      </c>
      <c r="E12" s="31">
        <v>420.0</v>
      </c>
      <c r="F12" s="31">
        <v>-103.0</v>
      </c>
      <c r="G12" s="31">
        <v>184.0</v>
      </c>
      <c r="H12" s="25">
        <v>0.0</v>
      </c>
      <c r="I12" s="25">
        <v>0.0</v>
      </c>
      <c r="J12" s="25">
        <v>0.0</v>
      </c>
      <c r="K12" s="25">
        <v>0.0</v>
      </c>
      <c r="L12" s="25">
        <v>0.0</v>
      </c>
      <c r="M12" s="25">
        <v>0.0</v>
      </c>
      <c r="N12" s="25">
        <v>0.0</v>
      </c>
      <c r="O12" s="25">
        <v>0.0</v>
      </c>
      <c r="P12" s="25">
        <v>0.0</v>
      </c>
      <c r="Q12" s="25">
        <v>0.0</v>
      </c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3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2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30" t="s">
        <v>100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101</v>
      </c>
      <c r="B16" s="1"/>
      <c r="C16" s="31">
        <v>43.0</v>
      </c>
      <c r="D16" s="31">
        <v>38.0</v>
      </c>
      <c r="E16" s="31">
        <v>47.0</v>
      </c>
      <c r="F16" s="31">
        <v>33.0</v>
      </c>
      <c r="G16" s="31">
        <v>37.0</v>
      </c>
      <c r="H16" s="25">
        <v>0.0</v>
      </c>
      <c r="I16" s="25">
        <v>0.0</v>
      </c>
      <c r="J16" s="25">
        <v>0.0</v>
      </c>
      <c r="K16" s="25">
        <v>0.0</v>
      </c>
      <c r="L16" s="25">
        <v>0.0</v>
      </c>
      <c r="M16" s="25">
        <v>0.0</v>
      </c>
      <c r="N16" s="25">
        <v>0.0</v>
      </c>
      <c r="O16" s="25">
        <v>0.0</v>
      </c>
      <c r="P16" s="25">
        <v>0.0</v>
      </c>
      <c r="Q16" s="25">
        <v>0.0</v>
      </c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102</v>
      </c>
      <c r="B17" s="1"/>
      <c r="C17" s="31">
        <v>-1666.0</v>
      </c>
      <c r="D17" s="31">
        <v>0.0</v>
      </c>
      <c r="E17" s="31">
        <v>-374.0</v>
      </c>
      <c r="F17" s="31">
        <v>-21.0</v>
      </c>
      <c r="G17" s="31">
        <v>0.0</v>
      </c>
      <c r="H17" s="25">
        <v>0.0</v>
      </c>
      <c r="I17" s="25">
        <v>0.0</v>
      </c>
      <c r="J17" s="25">
        <v>0.0</v>
      </c>
      <c r="K17" s="25">
        <v>0.0</v>
      </c>
      <c r="L17" s="25">
        <v>0.0</v>
      </c>
      <c r="M17" s="25">
        <v>0.0</v>
      </c>
      <c r="N17" s="25">
        <v>0.0</v>
      </c>
      <c r="O17" s="25">
        <v>0.0</v>
      </c>
      <c r="P17" s="25">
        <v>0.0</v>
      </c>
      <c r="Q17" s="25">
        <v>0.0</v>
      </c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21" t="s">
        <v>103</v>
      </c>
      <c r="B18" s="1"/>
      <c r="C18" s="31">
        <v>144.0</v>
      </c>
      <c r="D18" s="31">
        <v>0.0</v>
      </c>
      <c r="E18" s="31">
        <v>0.0</v>
      </c>
      <c r="F18" s="31">
        <v>0.0</v>
      </c>
      <c r="G18" s="31">
        <v>0.0</v>
      </c>
      <c r="H18" s="25">
        <v>0.0</v>
      </c>
      <c r="I18" s="25">
        <v>0.0</v>
      </c>
      <c r="J18" s="25">
        <v>0.0</v>
      </c>
      <c r="K18" s="25">
        <v>0.0</v>
      </c>
      <c r="L18" s="25">
        <v>0.0</v>
      </c>
      <c r="M18" s="25">
        <v>0.0</v>
      </c>
      <c r="N18" s="25">
        <v>0.0</v>
      </c>
      <c r="O18" s="25">
        <v>0.0</v>
      </c>
      <c r="P18" s="25">
        <v>0.0</v>
      </c>
      <c r="Q18" s="25">
        <v>0.0</v>
      </c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21" t="s">
        <v>104</v>
      </c>
      <c r="B19" s="1"/>
      <c r="C19" s="31">
        <v>0.0</v>
      </c>
      <c r="D19" s="31">
        <v>0.0</v>
      </c>
      <c r="E19" s="31">
        <v>-4.0</v>
      </c>
      <c r="F19" s="31">
        <v>14.0</v>
      </c>
      <c r="G19" s="31">
        <v>-12.0</v>
      </c>
      <c r="H19" s="25">
        <v>0.0</v>
      </c>
      <c r="I19" s="25">
        <v>0.0</v>
      </c>
      <c r="J19" s="25">
        <v>0.0</v>
      </c>
      <c r="K19" s="25">
        <v>0.0</v>
      </c>
      <c r="L19" s="25">
        <v>0.0</v>
      </c>
      <c r="M19" s="25">
        <v>0.0</v>
      </c>
      <c r="N19" s="25">
        <v>0.0</v>
      </c>
      <c r="O19" s="25">
        <v>0.0</v>
      </c>
      <c r="P19" s="25">
        <v>0.0</v>
      </c>
      <c r="Q19" s="25">
        <v>0.0</v>
      </c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2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30" t="s">
        <v>105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21" t="s">
        <v>106</v>
      </c>
      <c r="B22" s="1"/>
      <c r="C22" s="1"/>
      <c r="D22" s="1"/>
      <c r="E22" s="1"/>
      <c r="F22" s="1"/>
      <c r="G22" s="1"/>
      <c r="H22" s="33">
        <v>0.0</v>
      </c>
      <c r="I22" s="33">
        <v>0.0</v>
      </c>
      <c r="J22" s="33">
        <v>0.0</v>
      </c>
      <c r="K22" s="33">
        <v>0.0</v>
      </c>
      <c r="L22" s="33">
        <v>0.0</v>
      </c>
      <c r="M22" s="33">
        <v>0.0</v>
      </c>
      <c r="N22" s="33">
        <v>0.0</v>
      </c>
      <c r="O22" s="33">
        <v>0.0</v>
      </c>
      <c r="P22" s="33">
        <v>0.0</v>
      </c>
      <c r="Q22" s="33">
        <v>0.0</v>
      </c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21" t="s">
        <v>107</v>
      </c>
      <c r="B23" s="1"/>
      <c r="C23" s="1"/>
      <c r="D23" s="1"/>
      <c r="E23" s="1"/>
      <c r="F23" s="1"/>
      <c r="G23" s="1"/>
      <c r="H23" s="33">
        <v>0.0</v>
      </c>
      <c r="I23" s="33">
        <v>0.0</v>
      </c>
      <c r="J23" s="33">
        <v>0.0</v>
      </c>
      <c r="K23" s="33">
        <v>0.0</v>
      </c>
      <c r="L23" s="33">
        <v>0.0</v>
      </c>
      <c r="M23" s="33">
        <v>0.0</v>
      </c>
      <c r="N23" s="33">
        <v>0.0</v>
      </c>
      <c r="O23" s="33">
        <v>0.0</v>
      </c>
      <c r="P23" s="33">
        <v>0.0</v>
      </c>
      <c r="Q23" s="33">
        <v>0.0</v>
      </c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108</v>
      </c>
      <c r="B24" s="1"/>
      <c r="C24" s="1"/>
      <c r="D24" s="1"/>
      <c r="E24" s="1"/>
      <c r="F24" s="1"/>
      <c r="G24" s="1"/>
      <c r="H24" s="33">
        <v>0.0</v>
      </c>
      <c r="I24" s="33">
        <v>0.0</v>
      </c>
      <c r="J24" s="33">
        <v>0.0</v>
      </c>
      <c r="K24" s="33">
        <v>0.0</v>
      </c>
      <c r="L24" s="33">
        <v>0.0</v>
      </c>
      <c r="M24" s="33">
        <v>0.0</v>
      </c>
      <c r="N24" s="33">
        <v>0.0</v>
      </c>
      <c r="O24" s="33">
        <v>0.0</v>
      </c>
      <c r="P24" s="33">
        <v>0.0</v>
      </c>
      <c r="Q24" s="33">
        <v>0.0</v>
      </c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109</v>
      </c>
      <c r="B25" s="1"/>
      <c r="C25" s="1"/>
      <c r="D25" s="1"/>
      <c r="E25" s="1"/>
      <c r="F25" s="1"/>
      <c r="G25" s="1"/>
      <c r="H25" s="33">
        <v>0.0</v>
      </c>
      <c r="I25" s="33">
        <v>0.0</v>
      </c>
      <c r="J25" s="33">
        <v>0.0</v>
      </c>
      <c r="K25" s="33">
        <v>0.0</v>
      </c>
      <c r="L25" s="33">
        <v>0.0</v>
      </c>
      <c r="M25" s="33">
        <v>0.0</v>
      </c>
      <c r="N25" s="33">
        <v>0.0</v>
      </c>
      <c r="O25" s="33">
        <v>0.0</v>
      </c>
      <c r="P25" s="33">
        <v>0.0</v>
      </c>
      <c r="Q25" s="33">
        <v>0.0</v>
      </c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110</v>
      </c>
      <c r="B26" s="1"/>
      <c r="C26" s="1"/>
      <c r="D26" s="1"/>
      <c r="E26" s="1"/>
      <c r="F26" s="1"/>
      <c r="G26" s="1"/>
      <c r="H26" s="33">
        <v>0.0</v>
      </c>
      <c r="I26" s="33">
        <v>0.0</v>
      </c>
      <c r="J26" s="33">
        <v>0.0</v>
      </c>
      <c r="K26" s="33">
        <v>0.0</v>
      </c>
      <c r="L26" s="33">
        <v>0.0</v>
      </c>
      <c r="M26" s="33">
        <v>0.0</v>
      </c>
      <c r="N26" s="33">
        <v>0.0</v>
      </c>
      <c r="O26" s="33">
        <v>0.0</v>
      </c>
      <c r="P26" s="33">
        <v>0.0</v>
      </c>
      <c r="Q26" s="33">
        <v>0.0</v>
      </c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21" t="s">
        <v>111</v>
      </c>
      <c r="B27" s="1"/>
      <c r="C27" s="1"/>
      <c r="D27" s="1"/>
      <c r="E27" s="1"/>
      <c r="F27" s="1"/>
      <c r="G27" s="1"/>
      <c r="H27" s="33">
        <v>0.0</v>
      </c>
      <c r="I27" s="33">
        <v>0.0</v>
      </c>
      <c r="J27" s="33">
        <v>0.0</v>
      </c>
      <c r="K27" s="33">
        <v>0.0</v>
      </c>
      <c r="L27" s="33">
        <v>0.0</v>
      </c>
      <c r="M27" s="33">
        <v>0.0</v>
      </c>
      <c r="N27" s="33">
        <v>0.0</v>
      </c>
      <c r="O27" s="33">
        <v>0.0</v>
      </c>
      <c r="P27" s="33">
        <v>0.0</v>
      </c>
      <c r="Q27" s="33">
        <v>0.0</v>
      </c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21" t="s">
        <v>112</v>
      </c>
      <c r="B28" s="1"/>
      <c r="C28" s="1"/>
      <c r="D28" s="1"/>
      <c r="E28" s="1"/>
      <c r="F28" s="1"/>
      <c r="G28" s="1"/>
      <c r="H28" s="33">
        <v>0.0</v>
      </c>
      <c r="I28" s="33">
        <v>0.0</v>
      </c>
      <c r="J28" s="33">
        <v>0.0</v>
      </c>
      <c r="K28" s="33">
        <v>0.0</v>
      </c>
      <c r="L28" s="33">
        <v>0.0</v>
      </c>
      <c r="M28" s="33">
        <v>0.0</v>
      </c>
      <c r="N28" s="33">
        <v>0.0</v>
      </c>
      <c r="O28" s="33">
        <v>0.0</v>
      </c>
      <c r="P28" s="33">
        <v>0.0</v>
      </c>
      <c r="Q28" s="33">
        <v>0.0</v>
      </c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21" t="s">
        <v>113</v>
      </c>
      <c r="B29" s="1"/>
      <c r="C29" s="1"/>
      <c r="D29" s="1"/>
      <c r="E29" s="1"/>
      <c r="F29" s="1"/>
      <c r="G29" s="1"/>
      <c r="H29" s="33">
        <v>0.0</v>
      </c>
      <c r="I29" s="33">
        <v>0.0</v>
      </c>
      <c r="J29" s="33">
        <v>0.0</v>
      </c>
      <c r="K29" s="33">
        <v>0.0</v>
      </c>
      <c r="L29" s="33">
        <v>0.0</v>
      </c>
      <c r="M29" s="33">
        <v>0.0</v>
      </c>
      <c r="N29" s="33">
        <v>0.0</v>
      </c>
      <c r="O29" s="33">
        <v>0.0</v>
      </c>
      <c r="P29" s="33">
        <v>0.0</v>
      </c>
      <c r="Q29" s="33">
        <v>0.0</v>
      </c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30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 t="s">
        <v>114</v>
      </c>
      <c r="B32" s="1"/>
      <c r="C32" s="1"/>
      <c r="D32" s="1"/>
      <c r="E32" s="1"/>
      <c r="F32" s="1"/>
      <c r="G32" s="1"/>
      <c r="H32" s="33">
        <v>0.0</v>
      </c>
      <c r="I32" s="33">
        <v>0.0</v>
      </c>
      <c r="J32" s="33">
        <v>0.0</v>
      </c>
      <c r="K32" s="33">
        <v>0.0</v>
      </c>
      <c r="L32" s="33">
        <v>0.0</v>
      </c>
      <c r="M32" s="33">
        <v>0.0</v>
      </c>
      <c r="N32" s="33">
        <v>0.0</v>
      </c>
      <c r="O32" s="33">
        <v>0.0</v>
      </c>
      <c r="P32" s="33">
        <v>0.0</v>
      </c>
      <c r="Q32" s="33">
        <v>0.0</v>
      </c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/>
  </sheetViews>
  <sheetFormatPr customHeight="1" defaultColWidth="14.43" defaultRowHeight="15.0"/>
  <cols>
    <col customWidth="1" min="1" max="1" width="43.43"/>
    <col customWidth="1" min="2" max="2" width="8.86"/>
    <col customWidth="1" min="3" max="4" width="9.43"/>
    <col customWidth="1" min="5" max="7" width="9.71"/>
    <col customWidth="1" min="8" max="8" width="9.43"/>
    <col customWidth="1" min="9" max="16" width="9.0"/>
    <col customWidth="1" min="17" max="26" width="8.86"/>
  </cols>
  <sheetData>
    <row r="1" ht="13.5" customHeight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115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 t="s">
        <v>117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9">
        <f>'IS Assumptions'!Q5</f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118</v>
      </c>
      <c r="B7" s="30"/>
      <c r="C7" s="15">
        <v>88519.0</v>
      </c>
      <c r="D7" s="15">
        <v>94595.0</v>
      </c>
      <c r="E7" s="15">
        <v>100904.0</v>
      </c>
      <c r="F7" s="15">
        <v>108203.0</v>
      </c>
      <c r="G7" s="15">
        <v>110225.0</v>
      </c>
      <c r="H7" s="34">
        <f>'IS Assumptions'!H20</f>
        <v>125463.9826</v>
      </c>
      <c r="I7" s="34">
        <f>'IS Assumptions'!I20</f>
        <v>129538.0491</v>
      </c>
      <c r="J7" s="34">
        <f>'IS Assumptions'!J20</f>
        <v>134133.9554</v>
      </c>
      <c r="K7" s="34">
        <f>'IS Assumptions'!K20</f>
        <v>138758.465</v>
      </c>
      <c r="L7" s="34">
        <f>'IS Assumptions'!L20</f>
        <v>143542.4128</v>
      </c>
      <c r="M7" s="34">
        <f>'IS Assumptions'!M20</f>
        <v>148491.2959</v>
      </c>
      <c r="N7" s="34">
        <f>'IS Assumptions'!N20</f>
        <v>153610.8006</v>
      </c>
      <c r="O7" s="34">
        <f>'IS Assumptions'!O20</f>
        <v>158906.8094</v>
      </c>
      <c r="P7" s="34">
        <f>'IS Assumptions'!P20</f>
        <v>164385.4077</v>
      </c>
      <c r="Q7" s="34">
        <f>'IS Assumptions'!Q20</f>
        <v>170052.8905</v>
      </c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8" t="s">
        <v>119</v>
      </c>
      <c r="B8" s="35"/>
      <c r="C8" s="36">
        <f>C7/83176-1</f>
        <v>0.06423727998</v>
      </c>
      <c r="D8" s="36">
        <f t="shared" ref="D8:Q8" si="1">D7/C7-1</f>
        <v>0.06864063083</v>
      </c>
      <c r="E8" s="36">
        <f t="shared" si="1"/>
        <v>0.06669485702</v>
      </c>
      <c r="F8" s="36">
        <f t="shared" si="1"/>
        <v>0.07233608182</v>
      </c>
      <c r="G8" s="36">
        <f t="shared" si="1"/>
        <v>0.0186870974</v>
      </c>
      <c r="H8" s="36">
        <f t="shared" si="1"/>
        <v>0.1382534146</v>
      </c>
      <c r="I8" s="36">
        <f t="shared" si="1"/>
        <v>0.032472</v>
      </c>
      <c r="J8" s="36">
        <f t="shared" si="1"/>
        <v>0.0354792</v>
      </c>
      <c r="K8" s="36">
        <f t="shared" si="1"/>
        <v>0.0344768</v>
      </c>
      <c r="L8" s="36">
        <f t="shared" si="1"/>
        <v>0.0344768</v>
      </c>
      <c r="M8" s="36">
        <f t="shared" si="1"/>
        <v>0.0344768</v>
      </c>
      <c r="N8" s="36">
        <f t="shared" si="1"/>
        <v>0.0344768</v>
      </c>
      <c r="O8" s="36">
        <f t="shared" si="1"/>
        <v>0.0344768</v>
      </c>
      <c r="P8" s="36">
        <f t="shared" si="1"/>
        <v>0.0344768</v>
      </c>
      <c r="Q8" s="36">
        <f t="shared" si="1"/>
        <v>0.0344768</v>
      </c>
      <c r="R8" s="18"/>
      <c r="S8" s="18"/>
      <c r="T8" s="18"/>
      <c r="U8" s="18"/>
      <c r="V8" s="18"/>
      <c r="W8" s="18"/>
      <c r="X8" s="18"/>
      <c r="Y8" s="18"/>
      <c r="Z8" s="18"/>
    </row>
    <row r="9" ht="13.5" customHeight="1">
      <c r="A9" s="21"/>
      <c r="B9" s="21"/>
      <c r="C9" s="21"/>
      <c r="D9" s="21"/>
      <c r="E9" s="21"/>
      <c r="F9" s="21"/>
      <c r="G9" s="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 t="s">
        <v>120</v>
      </c>
      <c r="B10" s="21"/>
      <c r="C10" s="37">
        <v>58254.0</v>
      </c>
      <c r="D10" s="37">
        <v>62282.0</v>
      </c>
      <c r="E10" s="37">
        <v>66548.0</v>
      </c>
      <c r="F10" s="37">
        <v>71043.0</v>
      </c>
      <c r="G10" s="37">
        <v>72653.0</v>
      </c>
      <c r="H10" s="38">
        <f>'IS Assumptions'!H23</f>
        <v>82680.76455</v>
      </c>
      <c r="I10" s="38">
        <f>'IS Assumptions'!I23</f>
        <v>85624.65043</v>
      </c>
      <c r="J10" s="38">
        <f>'IS Assumptions'!J23</f>
        <v>88528.41057</v>
      </c>
      <c r="K10" s="38">
        <f>'IS Assumptions'!K23</f>
        <v>91303.06995</v>
      </c>
      <c r="L10" s="38">
        <f>'IS Assumptions'!L23</f>
        <v>94307.36522</v>
      </c>
      <c r="M10" s="38">
        <f>'IS Assumptions'!M23</f>
        <v>97410.29009</v>
      </c>
      <c r="N10" s="38">
        <f>'IS Assumptions'!N23</f>
        <v>100615.0744</v>
      </c>
      <c r="O10" s="38">
        <f>'IS Assumptions'!O23</f>
        <v>104083.9602</v>
      </c>
      <c r="P10" s="38">
        <f>'IS Assumptions'!P23</f>
        <v>107672.4421</v>
      </c>
      <c r="Q10" s="38">
        <f>'IS Assumptions'!Q23</f>
        <v>111418.6539</v>
      </c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3" t="s">
        <v>121</v>
      </c>
      <c r="B11" s="21"/>
      <c r="C11" s="23">
        <f t="shared" ref="C11:Q11" si="2">C7-C10</f>
        <v>30265</v>
      </c>
      <c r="D11" s="23">
        <f t="shared" si="2"/>
        <v>32313</v>
      </c>
      <c r="E11" s="23">
        <f t="shared" si="2"/>
        <v>34356</v>
      </c>
      <c r="F11" s="23">
        <f t="shared" si="2"/>
        <v>37160</v>
      </c>
      <c r="G11" s="23">
        <f t="shared" si="2"/>
        <v>37572</v>
      </c>
      <c r="H11" s="23">
        <f t="shared" si="2"/>
        <v>42783.21807</v>
      </c>
      <c r="I11" s="23">
        <f t="shared" si="2"/>
        <v>43913.39863</v>
      </c>
      <c r="J11" s="23">
        <f t="shared" si="2"/>
        <v>45605.54484</v>
      </c>
      <c r="K11" s="23">
        <f t="shared" si="2"/>
        <v>47455.39502</v>
      </c>
      <c r="L11" s="23">
        <f t="shared" si="2"/>
        <v>49235.04759</v>
      </c>
      <c r="M11" s="23">
        <f t="shared" si="2"/>
        <v>51081.00578</v>
      </c>
      <c r="N11" s="23">
        <f t="shared" si="2"/>
        <v>52995.7262</v>
      </c>
      <c r="O11" s="23">
        <f t="shared" si="2"/>
        <v>54822.84925</v>
      </c>
      <c r="P11" s="23">
        <f t="shared" si="2"/>
        <v>56712.96566</v>
      </c>
      <c r="Q11" s="23">
        <f t="shared" si="2"/>
        <v>58634.23666</v>
      </c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8" t="s">
        <v>122</v>
      </c>
      <c r="B12" s="35"/>
      <c r="C12" s="39">
        <f t="shared" ref="C12:Q12" si="3">C11/C7</f>
        <v>0.341903998</v>
      </c>
      <c r="D12" s="39">
        <f t="shared" si="3"/>
        <v>0.3415931075</v>
      </c>
      <c r="E12" s="39">
        <f t="shared" si="3"/>
        <v>0.3404820423</v>
      </c>
      <c r="F12" s="39">
        <f t="shared" si="3"/>
        <v>0.3434285556</v>
      </c>
      <c r="G12" s="39">
        <f t="shared" si="3"/>
        <v>0.3408664096</v>
      </c>
      <c r="H12" s="39">
        <f t="shared" si="3"/>
        <v>0.341</v>
      </c>
      <c r="I12" s="39">
        <f t="shared" si="3"/>
        <v>0.339</v>
      </c>
      <c r="J12" s="39">
        <f t="shared" si="3"/>
        <v>0.34</v>
      </c>
      <c r="K12" s="39">
        <f t="shared" si="3"/>
        <v>0.342</v>
      </c>
      <c r="L12" s="39">
        <f t="shared" si="3"/>
        <v>0.343</v>
      </c>
      <c r="M12" s="39">
        <f t="shared" si="3"/>
        <v>0.344</v>
      </c>
      <c r="N12" s="39">
        <f t="shared" si="3"/>
        <v>0.345</v>
      </c>
      <c r="O12" s="39">
        <f t="shared" si="3"/>
        <v>0.345</v>
      </c>
      <c r="P12" s="39">
        <f t="shared" si="3"/>
        <v>0.345</v>
      </c>
      <c r="Q12" s="39">
        <f t="shared" si="3"/>
        <v>0.3448</v>
      </c>
      <c r="R12" s="18"/>
      <c r="S12" s="18"/>
      <c r="T12" s="18"/>
      <c r="U12" s="18"/>
      <c r="V12" s="18"/>
      <c r="W12" s="18"/>
      <c r="X12" s="18"/>
      <c r="Y12" s="18"/>
      <c r="Z12" s="18"/>
    </row>
    <row r="13" ht="13.5" customHeight="1">
      <c r="A13" s="21"/>
      <c r="B13" s="21"/>
      <c r="C13" s="21"/>
      <c r="D13" s="21"/>
      <c r="E13" s="21"/>
      <c r="F13" s="21"/>
      <c r="G13" s="2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 t="s">
        <v>123</v>
      </c>
      <c r="B14" s="21"/>
      <c r="C14" s="21"/>
      <c r="D14" s="21"/>
      <c r="E14" s="21"/>
      <c r="F14" s="21"/>
      <c r="G14" s="2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21" t="s">
        <v>124</v>
      </c>
      <c r="B15" s="21"/>
      <c r="C15" s="15">
        <v>16801.0</v>
      </c>
      <c r="D15" s="15">
        <v>17132.0</v>
      </c>
      <c r="E15" s="15">
        <v>17864.0</v>
      </c>
      <c r="F15" s="15">
        <v>19513.0</v>
      </c>
      <c r="G15" s="15">
        <v>19740.0</v>
      </c>
      <c r="H15" s="34">
        <f>'IS Assumptions'!H30</f>
        <v>23181.52504</v>
      </c>
      <c r="I15" s="34">
        <f>'IS Assumptions'!I30</f>
        <v>23446.38688</v>
      </c>
      <c r="J15" s="34">
        <f>'IS Assumptions'!J30</f>
        <v>23741.71011</v>
      </c>
      <c r="K15" s="34">
        <f>'IS Assumptions'!K30</f>
        <v>24282.73137</v>
      </c>
      <c r="L15" s="34">
        <f>'IS Assumptions'!L30</f>
        <v>24832.83742</v>
      </c>
      <c r="M15" s="34">
        <f>'IS Assumptions'!M30</f>
        <v>25540.50289</v>
      </c>
      <c r="N15" s="34">
        <f>'IS Assumptions'!N30</f>
        <v>26267.4469</v>
      </c>
      <c r="O15" s="34">
        <f>'IS Assumptions'!O30</f>
        <v>27014.1576</v>
      </c>
      <c r="P15" s="34">
        <f>'IS Assumptions'!P30</f>
        <v>27945.51931</v>
      </c>
      <c r="Q15" s="34">
        <f>'IS Assumptions'!Q30</f>
        <v>28908.99139</v>
      </c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125</v>
      </c>
      <c r="B16" s="21"/>
      <c r="C16" s="15">
        <v>1690.0</v>
      </c>
      <c r="D16" s="15">
        <v>1754.0</v>
      </c>
      <c r="E16" s="15">
        <v>1811.0</v>
      </c>
      <c r="F16" s="15">
        <v>1870.0</v>
      </c>
      <c r="G16" s="15">
        <v>1989.0</v>
      </c>
      <c r="H16" s="34">
        <f>'BS Assumptions'!H26*'IS Assumptions'!H33</f>
        <v>2087.069519</v>
      </c>
      <c r="I16" s="34">
        <f>'BS Assumptions'!I26*'IS Assumptions'!I33</f>
        <v>2355.385902</v>
      </c>
      <c r="J16" s="34">
        <f>'BS Assumptions'!J26*'IS Assumptions'!J33</f>
        <v>2520.830311</v>
      </c>
      <c r="K16" s="34">
        <f>'BS Assumptions'!K26*'IS Assumptions'!K33</f>
        <v>2700.179955</v>
      </c>
      <c r="L16" s="34">
        <f>'BS Assumptions'!L26*'IS Assumptions'!L33</f>
        <v>2889.397725</v>
      </c>
      <c r="M16" s="34">
        <f>'BS Assumptions'!M26*'IS Assumptions'!M33</f>
        <v>3090.279451</v>
      </c>
      <c r="N16" s="34">
        <f>'BS Assumptions'!N26*'IS Assumptions'!N33</f>
        <v>3303.502152</v>
      </c>
      <c r="O16" s="34">
        <f>'BS Assumptions'!O26*'IS Assumptions'!O33</f>
        <v>3529.780889</v>
      </c>
      <c r="P16" s="34">
        <f>'BS Assumptions'!P26*'IS Assumptions'!P33</f>
        <v>3769.870862</v>
      </c>
      <c r="Q16" s="34">
        <f>'BS Assumptions'!Q26*'IS Assumptions'!Q33</f>
        <v>4024.569621</v>
      </c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126</v>
      </c>
      <c r="B17" s="21"/>
      <c r="C17" s="40">
        <v>0.0</v>
      </c>
      <c r="D17" s="40">
        <v>0.0</v>
      </c>
      <c r="E17" s="40">
        <v>0.0</v>
      </c>
      <c r="F17" s="40">
        <v>247.0</v>
      </c>
      <c r="G17" s="40">
        <v>0.0</v>
      </c>
      <c r="H17" s="38">
        <f>'IS Assumptions'!H35</f>
        <v>0</v>
      </c>
      <c r="I17" s="38">
        <f>'IS Assumptions'!I35</f>
        <v>0</v>
      </c>
      <c r="J17" s="38">
        <f>'IS Assumptions'!J35</f>
        <v>0</v>
      </c>
      <c r="K17" s="38">
        <f>'IS Assumptions'!K35</f>
        <v>0</v>
      </c>
      <c r="L17" s="38">
        <f>'IS Assumptions'!L35</f>
        <v>0</v>
      </c>
      <c r="M17" s="38">
        <f>'IS Assumptions'!M35</f>
        <v>0</v>
      </c>
      <c r="N17" s="38">
        <f>'IS Assumptions'!N35</f>
        <v>0</v>
      </c>
      <c r="O17" s="38">
        <f>'IS Assumptions'!O35</f>
        <v>0</v>
      </c>
      <c r="P17" s="38">
        <f>'IS Assumptions'!P35</f>
        <v>0</v>
      </c>
      <c r="Q17" s="38">
        <f>'IS Assumptions'!Q35</f>
        <v>0</v>
      </c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 t="s">
        <v>127</v>
      </c>
      <c r="B18" s="21"/>
      <c r="C18" s="23">
        <f t="shared" ref="C18:Q18" si="4">SUM(C15:C17)</f>
        <v>18491</v>
      </c>
      <c r="D18" s="23">
        <f t="shared" si="4"/>
        <v>18886</v>
      </c>
      <c r="E18" s="23">
        <f t="shared" si="4"/>
        <v>19675</v>
      </c>
      <c r="F18" s="23">
        <f t="shared" si="4"/>
        <v>21630</v>
      </c>
      <c r="G18" s="23">
        <f t="shared" si="4"/>
        <v>21729</v>
      </c>
      <c r="H18" s="23">
        <f t="shared" si="4"/>
        <v>25268.59456</v>
      </c>
      <c r="I18" s="23">
        <f t="shared" si="4"/>
        <v>25801.77278</v>
      </c>
      <c r="J18" s="23">
        <f t="shared" si="4"/>
        <v>26262.54042</v>
      </c>
      <c r="K18" s="23">
        <f t="shared" si="4"/>
        <v>26982.91132</v>
      </c>
      <c r="L18" s="23">
        <f t="shared" si="4"/>
        <v>27722.23514</v>
      </c>
      <c r="M18" s="23">
        <f t="shared" si="4"/>
        <v>28630.78234</v>
      </c>
      <c r="N18" s="23">
        <f t="shared" si="4"/>
        <v>29570.94905</v>
      </c>
      <c r="O18" s="23">
        <f t="shared" si="4"/>
        <v>30543.93849</v>
      </c>
      <c r="P18" s="23">
        <f t="shared" si="4"/>
        <v>31715.39017</v>
      </c>
      <c r="Q18" s="23">
        <f t="shared" si="4"/>
        <v>32933.56101</v>
      </c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8" t="s">
        <v>128</v>
      </c>
      <c r="B19" s="35"/>
      <c r="C19" s="39">
        <f t="shared" ref="C19:Q19" si="5">C18/C7</f>
        <v>0.208893006</v>
      </c>
      <c r="D19" s="39">
        <f t="shared" si="5"/>
        <v>0.1996511444</v>
      </c>
      <c r="E19" s="39">
        <f t="shared" si="5"/>
        <v>0.1949873147</v>
      </c>
      <c r="F19" s="39">
        <f t="shared" si="5"/>
        <v>0.199902036</v>
      </c>
      <c r="G19" s="39">
        <f t="shared" si="5"/>
        <v>0.1971331368</v>
      </c>
      <c r="H19" s="39">
        <f t="shared" si="5"/>
        <v>0.2014011833</v>
      </c>
      <c r="I19" s="39">
        <f t="shared" si="5"/>
        <v>0.1991829657</v>
      </c>
      <c r="J19" s="39">
        <f t="shared" si="5"/>
        <v>0.1957933794</v>
      </c>
      <c r="K19" s="39">
        <f t="shared" si="5"/>
        <v>0.1944595692</v>
      </c>
      <c r="L19" s="39">
        <f t="shared" si="5"/>
        <v>0.1931292264</v>
      </c>
      <c r="M19" s="39">
        <f t="shared" si="5"/>
        <v>0.1928111825</v>
      </c>
      <c r="N19" s="39">
        <f t="shared" si="5"/>
        <v>0.1925056633</v>
      </c>
      <c r="O19" s="39">
        <f t="shared" si="5"/>
        <v>0.1922128989</v>
      </c>
      <c r="P19" s="39">
        <f t="shared" si="5"/>
        <v>0.1929331235</v>
      </c>
      <c r="Q19" s="39">
        <f t="shared" si="5"/>
        <v>0.1936665758</v>
      </c>
      <c r="R19" s="18"/>
      <c r="S19" s="18"/>
      <c r="T19" s="18"/>
      <c r="U19" s="18"/>
      <c r="V19" s="18"/>
      <c r="W19" s="18"/>
      <c r="X19" s="18"/>
      <c r="Y19" s="18"/>
      <c r="Z19" s="18"/>
    </row>
    <row r="20" ht="13.5" customHeight="1">
      <c r="A20" s="1"/>
      <c r="B20" s="2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3" t="s">
        <v>129</v>
      </c>
      <c r="B21" s="21"/>
      <c r="C21" s="23">
        <f t="shared" ref="C21:Q21" si="6">C11-C18</f>
        <v>11774</v>
      </c>
      <c r="D21" s="23">
        <f t="shared" si="6"/>
        <v>13427</v>
      </c>
      <c r="E21" s="23">
        <f t="shared" si="6"/>
        <v>14681</v>
      </c>
      <c r="F21" s="23">
        <f t="shared" si="6"/>
        <v>15530</v>
      </c>
      <c r="G21" s="23">
        <f t="shared" si="6"/>
        <v>15843</v>
      </c>
      <c r="H21" s="23">
        <f t="shared" si="6"/>
        <v>17514.62351</v>
      </c>
      <c r="I21" s="23">
        <f t="shared" si="6"/>
        <v>18111.62585</v>
      </c>
      <c r="J21" s="23">
        <f t="shared" si="6"/>
        <v>19343.00442</v>
      </c>
      <c r="K21" s="23">
        <f t="shared" si="6"/>
        <v>20472.48369</v>
      </c>
      <c r="L21" s="23">
        <f t="shared" si="6"/>
        <v>21512.81245</v>
      </c>
      <c r="M21" s="23">
        <f t="shared" si="6"/>
        <v>22450.22344</v>
      </c>
      <c r="N21" s="23">
        <f t="shared" si="6"/>
        <v>23424.77715</v>
      </c>
      <c r="O21" s="23">
        <f t="shared" si="6"/>
        <v>24278.91076</v>
      </c>
      <c r="P21" s="23">
        <f t="shared" si="6"/>
        <v>24997.57549</v>
      </c>
      <c r="Q21" s="23">
        <f t="shared" si="6"/>
        <v>25700.67565</v>
      </c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35" t="s">
        <v>128</v>
      </c>
      <c r="B22" s="35"/>
      <c r="C22" s="39">
        <f t="shared" ref="C22:Q22" si="7">C21/C7</f>
        <v>0.133010992</v>
      </c>
      <c r="D22" s="39">
        <f t="shared" si="7"/>
        <v>0.1419419631</v>
      </c>
      <c r="E22" s="39">
        <f t="shared" si="7"/>
        <v>0.1454947277</v>
      </c>
      <c r="F22" s="39">
        <f t="shared" si="7"/>
        <v>0.1435265196</v>
      </c>
      <c r="G22" s="39">
        <f t="shared" si="7"/>
        <v>0.1437332729</v>
      </c>
      <c r="H22" s="39">
        <f t="shared" si="7"/>
        <v>0.1395988167</v>
      </c>
      <c r="I22" s="39">
        <f t="shared" si="7"/>
        <v>0.1398170343</v>
      </c>
      <c r="J22" s="39">
        <f t="shared" si="7"/>
        <v>0.1442066206</v>
      </c>
      <c r="K22" s="39">
        <f t="shared" si="7"/>
        <v>0.1475404308</v>
      </c>
      <c r="L22" s="39">
        <f t="shared" si="7"/>
        <v>0.1498707736</v>
      </c>
      <c r="M22" s="39">
        <f t="shared" si="7"/>
        <v>0.1511888175</v>
      </c>
      <c r="N22" s="39">
        <f t="shared" si="7"/>
        <v>0.1524943367</v>
      </c>
      <c r="O22" s="39">
        <f t="shared" si="7"/>
        <v>0.1527871011</v>
      </c>
      <c r="P22" s="39">
        <f t="shared" si="7"/>
        <v>0.1520668765</v>
      </c>
      <c r="Q22" s="39">
        <f t="shared" si="7"/>
        <v>0.1511334242</v>
      </c>
      <c r="R22" s="18"/>
      <c r="S22" s="18"/>
      <c r="T22" s="18"/>
      <c r="U22" s="18"/>
      <c r="V22" s="18"/>
      <c r="W22" s="18"/>
      <c r="X22" s="18"/>
      <c r="Y22" s="18"/>
      <c r="Z22" s="18"/>
    </row>
    <row r="23" ht="13.5" customHeight="1">
      <c r="A23" s="21"/>
      <c r="B23" s="21"/>
      <c r="C23" s="21"/>
      <c r="D23" s="21"/>
      <c r="E23" s="21"/>
      <c r="F23" s="21"/>
      <c r="G23" s="2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42" t="s">
        <v>130</v>
      </c>
      <c r="B24" s="42"/>
      <c r="C24" s="43">
        <v>919.0</v>
      </c>
      <c r="D24" s="43">
        <v>972.0</v>
      </c>
      <c r="E24" s="43">
        <v>1057.0</v>
      </c>
      <c r="F24" s="43">
        <v>1051.0</v>
      </c>
      <c r="G24" s="43">
        <v>1201.0</v>
      </c>
      <c r="H24" s="44">
        <f>'IS Assumptions'!H39*AVERAGE((BalSht!G28+BalSht!G29+BalSht!G36),(BalSht!H28+BalSht!H29+BalSht!H36))</f>
        <v>1101.905</v>
      </c>
      <c r="I24" s="44">
        <f>'IS Assumptions'!I39*AVERAGE((BalSht!H28+BalSht!H29+BalSht!H36),(BalSht!I28+BalSht!I29+BalSht!I36))</f>
        <v>1101.905</v>
      </c>
      <c r="J24" s="44">
        <f>'IS Assumptions'!J39*AVERAGE((BalSht!I28+BalSht!I29+BalSht!I36),(BalSht!J28+BalSht!J29+BalSht!J36))</f>
        <v>1101.905</v>
      </c>
      <c r="K24" s="44">
        <f>'IS Assumptions'!K39*AVERAGE((BalSht!J28+BalSht!J29+BalSht!J36),(BalSht!K28+BalSht!K29+BalSht!K36))</f>
        <v>1101.905</v>
      </c>
      <c r="L24" s="44">
        <f>'IS Assumptions'!L39*AVERAGE((BalSht!K28+BalSht!K29+BalSht!K36),(BalSht!L28+BalSht!L29+BalSht!L36))</f>
        <v>1101.905</v>
      </c>
      <c r="M24" s="44">
        <f>'IS Assumptions'!M39*AVERAGE((BalSht!L28+BalSht!L29+BalSht!L36),(BalSht!M28+BalSht!M29+BalSht!M36))</f>
        <v>1101.905</v>
      </c>
      <c r="N24" s="44">
        <f>'IS Assumptions'!N39*AVERAGE((BalSht!M28+BalSht!M29+BalSht!M36),(BalSht!N28+BalSht!N29+BalSht!N36))</f>
        <v>1101.905</v>
      </c>
      <c r="O24" s="44">
        <f>'IS Assumptions'!O39*AVERAGE((BalSht!N28+BalSht!N29+BalSht!N36),(BalSht!O28+BalSht!O29+BalSht!O36))</f>
        <v>1101.905</v>
      </c>
      <c r="P24" s="44">
        <f>'IS Assumptions'!P39*AVERAGE((BalSht!O28+BalSht!O29+BalSht!O36),(BalSht!P28+BalSht!P29+BalSht!P36))</f>
        <v>1101.905</v>
      </c>
      <c r="Q24" s="44">
        <f>'IS Assumptions'!Q39*AVERAGE((BalSht!P28+BalSht!P29+BalSht!P36),(BalSht!Q28+BalSht!Q29+BalSht!Q36))</f>
        <v>1101.905</v>
      </c>
      <c r="R24" s="45"/>
      <c r="S24" s="45"/>
      <c r="T24" s="45"/>
      <c r="U24" s="45"/>
      <c r="V24" s="45"/>
      <c r="W24" s="45"/>
      <c r="X24" s="45"/>
      <c r="Y24" s="45"/>
      <c r="Z24" s="45"/>
    </row>
    <row r="25" ht="13.5" customHeight="1">
      <c r="A25" s="42" t="s">
        <v>131</v>
      </c>
      <c r="B25" s="42"/>
      <c r="C25" s="43">
        <v>-166.0</v>
      </c>
      <c r="D25" s="43">
        <v>-36.0</v>
      </c>
      <c r="E25" s="43">
        <v>-74.0</v>
      </c>
      <c r="F25" s="43">
        <v>-93.0</v>
      </c>
      <c r="G25" s="43">
        <v>-73.0</v>
      </c>
      <c r="H25" s="44">
        <f>-'IS Assumptions'!H40*AVERAGE(BalSht!G9:H9)</f>
        <v>-16.24797878</v>
      </c>
      <c r="I25" s="44">
        <f>-'IS Assumptions'!I40*AVERAGE(BalSht!H9:I9)</f>
        <v>-17.85014222</v>
      </c>
      <c r="J25" s="44">
        <f>-'IS Assumptions'!J40*AVERAGE(BalSht!I9:J9)</f>
        <v>-18.45704031</v>
      </c>
      <c r="K25" s="44">
        <f>-'IS Assumptions'!K40*AVERAGE(BalSht!J9:K9)</f>
        <v>-19.10246943</v>
      </c>
      <c r="L25" s="44">
        <f>-'IS Assumptions'!L40*AVERAGE(BalSht!K9:L9)</f>
        <v>-19.76106144</v>
      </c>
      <c r="M25" s="44">
        <f>-'IS Assumptions'!M40*AVERAGE(BalSht!L9:M9)</f>
        <v>-20.44235961</v>
      </c>
      <c r="N25" s="44">
        <f>-'IS Assumptions'!N40*AVERAGE(BalSht!M9:N9)</f>
        <v>-21.14714675</v>
      </c>
      <c r="O25" s="44">
        <f>-'IS Assumptions'!O40*AVERAGE(BalSht!N9:O9)</f>
        <v>-21.8762327</v>
      </c>
      <c r="P25" s="44">
        <f>-'IS Assumptions'!P40*AVERAGE(BalSht!O9:P9)</f>
        <v>-22.6304552</v>
      </c>
      <c r="Q25" s="44">
        <f>-'IS Assumptions'!Q40*AVERAGE(BalSht!P9:Q9)</f>
        <v>-23.41068088</v>
      </c>
      <c r="R25" s="45"/>
      <c r="S25" s="45"/>
      <c r="T25" s="45"/>
      <c r="U25" s="45"/>
      <c r="V25" s="45"/>
      <c r="W25" s="45"/>
      <c r="X25" s="45"/>
      <c r="Y25" s="45"/>
      <c r="Z25" s="45"/>
    </row>
    <row r="26" ht="13.5" customHeight="1">
      <c r="A26" s="42" t="s">
        <v>48</v>
      </c>
      <c r="B26" s="42"/>
      <c r="C26" s="46">
        <v>0.0</v>
      </c>
      <c r="D26" s="46">
        <v>0.0</v>
      </c>
      <c r="E26" s="46">
        <v>0.0</v>
      </c>
      <c r="F26" s="46">
        <v>16.0</v>
      </c>
      <c r="G26" s="46">
        <v>0.0</v>
      </c>
      <c r="H26" s="47">
        <f>'IS Assumptions'!H42</f>
        <v>0</v>
      </c>
      <c r="I26" s="47">
        <f>'IS Assumptions'!I42</f>
        <v>0</v>
      </c>
      <c r="J26" s="47">
        <f>'IS Assumptions'!J42</f>
        <v>0</v>
      </c>
      <c r="K26" s="47">
        <f>'IS Assumptions'!K42</f>
        <v>0</v>
      </c>
      <c r="L26" s="47">
        <f>'IS Assumptions'!L42</f>
        <v>0</v>
      </c>
      <c r="M26" s="47">
        <f>'IS Assumptions'!M42</f>
        <v>0</v>
      </c>
      <c r="N26" s="47">
        <f>'IS Assumptions'!N42</f>
        <v>0</v>
      </c>
      <c r="O26" s="47">
        <f>'IS Assumptions'!O42</f>
        <v>0</v>
      </c>
      <c r="P26" s="47">
        <f>'IS Assumptions'!P42</f>
        <v>0</v>
      </c>
      <c r="Q26" s="47">
        <f>'IS Assumptions'!Q42</f>
        <v>0</v>
      </c>
      <c r="R26" s="45"/>
      <c r="S26" s="45"/>
      <c r="T26" s="45"/>
      <c r="U26" s="45"/>
      <c r="V26" s="45"/>
      <c r="W26" s="45"/>
      <c r="X26" s="45"/>
      <c r="Y26" s="45"/>
      <c r="Z26" s="45"/>
    </row>
    <row r="27" ht="13.5" customHeight="1">
      <c r="A27" s="21" t="s">
        <v>132</v>
      </c>
      <c r="B27" s="21"/>
      <c r="C27" s="23">
        <f t="shared" ref="C27:Q27" si="8">SUM(C24:C26)</f>
        <v>753</v>
      </c>
      <c r="D27" s="23">
        <f t="shared" si="8"/>
        <v>936</v>
      </c>
      <c r="E27" s="23">
        <f t="shared" si="8"/>
        <v>983</v>
      </c>
      <c r="F27" s="23">
        <f t="shared" si="8"/>
        <v>974</v>
      </c>
      <c r="G27" s="23">
        <f t="shared" si="8"/>
        <v>1128</v>
      </c>
      <c r="H27" s="23">
        <f t="shared" si="8"/>
        <v>1085.657021</v>
      </c>
      <c r="I27" s="23">
        <f t="shared" si="8"/>
        <v>1084.054858</v>
      </c>
      <c r="J27" s="23">
        <f t="shared" si="8"/>
        <v>1083.44796</v>
      </c>
      <c r="K27" s="23">
        <f t="shared" si="8"/>
        <v>1082.802531</v>
      </c>
      <c r="L27" s="23">
        <f t="shared" si="8"/>
        <v>1082.143939</v>
      </c>
      <c r="M27" s="23">
        <f t="shared" si="8"/>
        <v>1081.46264</v>
      </c>
      <c r="N27" s="23">
        <f t="shared" si="8"/>
        <v>1080.757853</v>
      </c>
      <c r="O27" s="23">
        <f t="shared" si="8"/>
        <v>1080.028767</v>
      </c>
      <c r="P27" s="23">
        <f t="shared" si="8"/>
        <v>1079.274545</v>
      </c>
      <c r="Q27" s="23">
        <f t="shared" si="8"/>
        <v>1078.494319</v>
      </c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21"/>
      <c r="B28" s="21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21" t="s">
        <v>133</v>
      </c>
      <c r="B29" s="21"/>
      <c r="C29" s="23">
        <f t="shared" ref="C29:Q29" si="9">C21-C27</f>
        <v>11021</v>
      </c>
      <c r="D29" s="23">
        <f t="shared" si="9"/>
        <v>12491</v>
      </c>
      <c r="E29" s="23">
        <f t="shared" si="9"/>
        <v>13698</v>
      </c>
      <c r="F29" s="23">
        <f t="shared" si="9"/>
        <v>14556</v>
      </c>
      <c r="G29" s="23">
        <f t="shared" si="9"/>
        <v>14715</v>
      </c>
      <c r="H29" s="23">
        <f t="shared" si="9"/>
        <v>16428.96649</v>
      </c>
      <c r="I29" s="23">
        <f t="shared" si="9"/>
        <v>17027.57099</v>
      </c>
      <c r="J29" s="23">
        <f t="shared" si="9"/>
        <v>18259.55646</v>
      </c>
      <c r="K29" s="23">
        <f t="shared" si="9"/>
        <v>19389.68116</v>
      </c>
      <c r="L29" s="23">
        <f t="shared" si="9"/>
        <v>20430.66851</v>
      </c>
      <c r="M29" s="23">
        <f t="shared" si="9"/>
        <v>21368.7608</v>
      </c>
      <c r="N29" s="23">
        <f t="shared" si="9"/>
        <v>22344.0193</v>
      </c>
      <c r="O29" s="23">
        <f t="shared" si="9"/>
        <v>23198.88199</v>
      </c>
      <c r="P29" s="23">
        <f t="shared" si="9"/>
        <v>23918.30094</v>
      </c>
      <c r="Q29" s="23">
        <f t="shared" si="9"/>
        <v>24622.18133</v>
      </c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21"/>
      <c r="B30" s="21"/>
      <c r="C30" s="48"/>
      <c r="D30" s="48"/>
      <c r="E30" s="48"/>
      <c r="F30" s="48"/>
      <c r="G30" s="48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21" t="s">
        <v>134</v>
      </c>
      <c r="B31" s="21"/>
      <c r="C31" s="23">
        <v>4012.0</v>
      </c>
      <c r="D31" s="23">
        <v>4534.0</v>
      </c>
      <c r="E31" s="23">
        <v>5068.0</v>
      </c>
      <c r="F31" s="23">
        <v>3435.0</v>
      </c>
      <c r="G31" s="23">
        <v>3473.0</v>
      </c>
      <c r="H31" s="49">
        <f>H29*'IS Assumptions'!H45</f>
        <v>4172.957489</v>
      </c>
      <c r="I31" s="49">
        <f>I29*'IS Assumptions'!I45</f>
        <v>4325.003032</v>
      </c>
      <c r="J31" s="49">
        <f>J29*'IS Assumptions'!J45</f>
        <v>4637.927341</v>
      </c>
      <c r="K31" s="49">
        <f>K29*'IS Assumptions'!K45</f>
        <v>4924.979016</v>
      </c>
      <c r="L31" s="49">
        <f>L29*'IS Assumptions'!L45</f>
        <v>5189.389803</v>
      </c>
      <c r="M31" s="49">
        <f>M29*'IS Assumptions'!M45</f>
        <v>5427.665243</v>
      </c>
      <c r="N31" s="49">
        <f>N29*'IS Assumptions'!N45</f>
        <v>5675.380901</v>
      </c>
      <c r="O31" s="49">
        <f>O29*'IS Assumptions'!O45</f>
        <v>5892.516026</v>
      </c>
      <c r="P31" s="49">
        <f>P29*'IS Assumptions'!P45</f>
        <v>6075.24844</v>
      </c>
      <c r="Q31" s="49">
        <f>Q29*'IS Assumptions'!Q45</f>
        <v>6254.034057</v>
      </c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35" t="s">
        <v>135</v>
      </c>
      <c r="B32" s="35"/>
      <c r="C32" s="39">
        <f t="shared" ref="C32:Q32" si="10">C31/C29</f>
        <v>0.364032302</v>
      </c>
      <c r="D32" s="39">
        <f t="shared" si="10"/>
        <v>0.3629813466</v>
      </c>
      <c r="E32" s="39">
        <f t="shared" si="10"/>
        <v>0.3699810191</v>
      </c>
      <c r="F32" s="39">
        <f t="shared" si="10"/>
        <v>0.2359851608</v>
      </c>
      <c r="G32" s="39">
        <f t="shared" si="10"/>
        <v>0.236017669</v>
      </c>
      <c r="H32" s="39">
        <f t="shared" si="10"/>
        <v>0.254</v>
      </c>
      <c r="I32" s="39">
        <f t="shared" si="10"/>
        <v>0.254</v>
      </c>
      <c r="J32" s="39">
        <f t="shared" si="10"/>
        <v>0.254</v>
      </c>
      <c r="K32" s="39">
        <f t="shared" si="10"/>
        <v>0.254</v>
      </c>
      <c r="L32" s="39">
        <f t="shared" si="10"/>
        <v>0.254</v>
      </c>
      <c r="M32" s="39">
        <f t="shared" si="10"/>
        <v>0.254</v>
      </c>
      <c r="N32" s="39">
        <f t="shared" si="10"/>
        <v>0.254</v>
      </c>
      <c r="O32" s="39">
        <f t="shared" si="10"/>
        <v>0.254</v>
      </c>
      <c r="P32" s="39">
        <f t="shared" si="10"/>
        <v>0.254</v>
      </c>
      <c r="Q32" s="39">
        <f t="shared" si="10"/>
        <v>0.254</v>
      </c>
      <c r="R32" s="18"/>
      <c r="S32" s="18"/>
      <c r="T32" s="18"/>
      <c r="U32" s="18"/>
      <c r="V32" s="18"/>
      <c r="W32" s="18"/>
      <c r="X32" s="18"/>
      <c r="Y32" s="18"/>
      <c r="Z32" s="18"/>
    </row>
    <row r="33" ht="13.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30" t="s">
        <v>136</v>
      </c>
      <c r="B34" s="21"/>
      <c r="C34" s="50">
        <f t="shared" ref="C34:Q34" si="11">C29-C31</f>
        <v>7009</v>
      </c>
      <c r="D34" s="50">
        <f t="shared" si="11"/>
        <v>7957</v>
      </c>
      <c r="E34" s="50">
        <f t="shared" si="11"/>
        <v>8630</v>
      </c>
      <c r="F34" s="50">
        <f t="shared" si="11"/>
        <v>11121</v>
      </c>
      <c r="G34" s="50">
        <f t="shared" si="11"/>
        <v>11242</v>
      </c>
      <c r="H34" s="50">
        <f t="shared" si="11"/>
        <v>12256.009</v>
      </c>
      <c r="I34" s="50">
        <f t="shared" si="11"/>
        <v>12702.56796</v>
      </c>
      <c r="J34" s="50">
        <f t="shared" si="11"/>
        <v>13621.62912</v>
      </c>
      <c r="K34" s="50">
        <f t="shared" si="11"/>
        <v>14464.70215</v>
      </c>
      <c r="L34" s="50">
        <f t="shared" si="11"/>
        <v>15241.27871</v>
      </c>
      <c r="M34" s="50">
        <f t="shared" si="11"/>
        <v>15941.09556</v>
      </c>
      <c r="N34" s="50">
        <f t="shared" si="11"/>
        <v>16668.63839</v>
      </c>
      <c r="O34" s="50">
        <f t="shared" si="11"/>
        <v>17306.36597</v>
      </c>
      <c r="P34" s="50">
        <f t="shared" si="11"/>
        <v>17843.0525</v>
      </c>
      <c r="Q34" s="50">
        <f t="shared" si="11"/>
        <v>18368.14727</v>
      </c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35" t="s">
        <v>122</v>
      </c>
      <c r="B35" s="35"/>
      <c r="C35" s="39">
        <f t="shared" ref="C35:Q35" si="12">C34/C7</f>
        <v>0.07918074086</v>
      </c>
      <c r="D35" s="39">
        <f t="shared" si="12"/>
        <v>0.08411649664</v>
      </c>
      <c r="E35" s="39">
        <f t="shared" si="12"/>
        <v>0.08552683739</v>
      </c>
      <c r="F35" s="39">
        <f t="shared" si="12"/>
        <v>0.1027790357</v>
      </c>
      <c r="G35" s="39">
        <f t="shared" si="12"/>
        <v>0.1019913813</v>
      </c>
      <c r="H35" s="39">
        <f t="shared" si="12"/>
        <v>0.09768547712</v>
      </c>
      <c r="I35" s="39">
        <f t="shared" si="12"/>
        <v>0.09806051621</v>
      </c>
      <c r="J35" s="39">
        <f t="shared" si="12"/>
        <v>0.10155243</v>
      </c>
      <c r="K35" s="39">
        <f t="shared" si="12"/>
        <v>0.1042437458</v>
      </c>
      <c r="L35" s="39">
        <f t="shared" si="12"/>
        <v>0.1061796191</v>
      </c>
      <c r="M35" s="39">
        <f t="shared" si="12"/>
        <v>0.1073537372</v>
      </c>
      <c r="N35" s="39">
        <f t="shared" si="12"/>
        <v>0.108512151</v>
      </c>
      <c r="O35" s="39">
        <f t="shared" si="12"/>
        <v>0.1089089009</v>
      </c>
      <c r="P35" s="39">
        <f t="shared" si="12"/>
        <v>0.1085440171</v>
      </c>
      <c r="Q35" s="39">
        <f t="shared" si="12"/>
        <v>0.1080143196</v>
      </c>
      <c r="R35" s="18"/>
      <c r="S35" s="18"/>
      <c r="T35" s="18"/>
      <c r="U35" s="18"/>
      <c r="V35" s="18"/>
      <c r="W35" s="18"/>
      <c r="X35" s="18"/>
      <c r="Y35" s="18"/>
      <c r="Z35" s="18"/>
    </row>
    <row r="36" ht="13.5" customHeight="1">
      <c r="A36" s="21"/>
      <c r="B36" s="21"/>
      <c r="C36" s="21"/>
      <c r="D36" s="21"/>
      <c r="E36" s="21"/>
      <c r="F36" s="21"/>
      <c r="G36" s="2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/>
  </sheetViews>
  <sheetFormatPr customHeight="1" defaultColWidth="14.43" defaultRowHeight="15.0"/>
  <cols>
    <col customWidth="1" min="1" max="1" width="43.43"/>
    <col customWidth="1" min="2" max="2" width="8.86"/>
    <col customWidth="1" min="3" max="16" width="9.0"/>
    <col customWidth="1" min="17" max="26" width="8.86"/>
  </cols>
  <sheetData>
    <row r="1" ht="13.5" customHeight="1">
      <c r="A1" s="7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 t="s">
        <v>117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9">
        <f>'IS Assumptions'!Q5</f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138</v>
      </c>
      <c r="B7" s="1"/>
      <c r="C7" s="51"/>
      <c r="D7" s="51"/>
      <c r="E7" s="5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30" t="s">
        <v>139</v>
      </c>
      <c r="B8" s="21"/>
      <c r="C8" s="21"/>
      <c r="D8" s="21"/>
      <c r="E8" s="21"/>
      <c r="F8" s="21"/>
      <c r="G8" s="2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42" t="s">
        <v>140</v>
      </c>
      <c r="B9" s="52"/>
      <c r="C9" s="53">
        <v>2216.0</v>
      </c>
      <c r="D9" s="53">
        <v>2538.0</v>
      </c>
      <c r="E9" s="53">
        <v>3595.0</v>
      </c>
      <c r="F9" s="53">
        <v>1778.0</v>
      </c>
      <c r="G9" s="53">
        <v>2133.0</v>
      </c>
      <c r="H9" s="54">
        <f>'BS Assumptions'!H51</f>
        <v>2509.279652</v>
      </c>
      <c r="I9" s="54">
        <f>'BS Assumptions'!I51</f>
        <v>2590.760981</v>
      </c>
      <c r="J9" s="54">
        <f>'BS Assumptions'!J51</f>
        <v>2682.679108</v>
      </c>
      <c r="K9" s="54">
        <f>'BS Assumptions'!K51</f>
        <v>2775.169299</v>
      </c>
      <c r="L9" s="54">
        <f>'BS Assumptions'!L51</f>
        <v>2870.848256</v>
      </c>
      <c r="M9" s="54">
        <f>'BS Assumptions'!M51</f>
        <v>2969.825917</v>
      </c>
      <c r="N9" s="54">
        <f>'BS Assumptions'!N51</f>
        <v>3072.216012</v>
      </c>
      <c r="O9" s="54">
        <f>'BS Assumptions'!O51</f>
        <v>3178.136189</v>
      </c>
      <c r="P9" s="54">
        <f>'BS Assumptions'!P51</f>
        <v>3287.708154</v>
      </c>
      <c r="Q9" s="54">
        <f>'BS Assumptions'!Q51</f>
        <v>3401.057811</v>
      </c>
      <c r="R9" s="45"/>
      <c r="S9" s="45"/>
      <c r="T9" s="45"/>
      <c r="U9" s="45"/>
      <c r="V9" s="45"/>
      <c r="W9" s="45"/>
      <c r="X9" s="45"/>
      <c r="Y9" s="45"/>
      <c r="Z9" s="45"/>
    </row>
    <row r="10" ht="13.5" customHeight="1">
      <c r="A10" s="21" t="s">
        <v>141</v>
      </c>
      <c r="B10" s="55"/>
      <c r="C10" s="56">
        <v>1890.0</v>
      </c>
      <c r="D10" s="56">
        <v>2029.0</v>
      </c>
      <c r="E10" s="56">
        <v>1952.0</v>
      </c>
      <c r="F10" s="56">
        <v>1936.0</v>
      </c>
      <c r="G10" s="56">
        <v>2106.0</v>
      </c>
      <c r="H10" s="57">
        <f>(IncStat!H7/365)*'BS Assumptions'!H8</f>
        <v>2406.158571</v>
      </c>
      <c r="I10" s="57">
        <f>(IncStat!I7/365)*'BS Assumptions'!I8</f>
        <v>2484.291352</v>
      </c>
      <c r="J10" s="57">
        <f>(IncStat!J7/365)*'BS Assumptions'!J8</f>
        <v>2572.432022</v>
      </c>
      <c r="K10" s="57">
        <f>(IncStat!K7/365)*'BS Assumptions'!K8</f>
        <v>2661.121246</v>
      </c>
      <c r="L10" s="57">
        <f>(IncStat!L7/365)*'BS Assumptions'!L8</f>
        <v>2752.868191</v>
      </c>
      <c r="M10" s="57">
        <f>(IncStat!M7/365)*'BS Assumptions'!M8</f>
        <v>2847.778277</v>
      </c>
      <c r="N10" s="57">
        <f>(IncStat!N7/365)*'BS Assumptions'!N8</f>
        <v>2945.960559</v>
      </c>
      <c r="O10" s="57">
        <f>(IncStat!O7/365)*'BS Assumptions'!O8</f>
        <v>3047.527852</v>
      </c>
      <c r="P10" s="57">
        <f>(IncStat!P7/365)*'BS Assumptions'!P8</f>
        <v>3152.59686</v>
      </c>
      <c r="Q10" s="57">
        <f>(IncStat!Q7/365)*'BS Assumptions'!Q8</f>
        <v>3261.288312</v>
      </c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21" t="s">
        <v>142</v>
      </c>
      <c r="B11" s="55"/>
      <c r="C11" s="56">
        <v>11809.0</v>
      </c>
      <c r="D11" s="56">
        <v>12549.0</v>
      </c>
      <c r="E11" s="56">
        <v>12748.0</v>
      </c>
      <c r="F11" s="56">
        <v>13925.0</v>
      </c>
      <c r="G11" s="56">
        <v>14531.0</v>
      </c>
      <c r="H11" s="57">
        <f>(IncStat!H10/365)*'BS Assumptions'!H9</f>
        <v>16536.15291</v>
      </c>
      <c r="I11" s="57">
        <f>(IncStat!I10/365)*'BS Assumptions'!I9</f>
        <v>17124.93009</v>
      </c>
      <c r="J11" s="57">
        <f>(IncStat!J10/365)*'BS Assumptions'!J9</f>
        <v>17705.68211</v>
      </c>
      <c r="K11" s="57">
        <f>(IncStat!K10/365)*'BS Assumptions'!K9</f>
        <v>18260.61399</v>
      </c>
      <c r="L11" s="57">
        <f>(IncStat!L10/365)*'BS Assumptions'!L9</f>
        <v>18861.47304</v>
      </c>
      <c r="M11" s="57">
        <f>(IncStat!M10/365)*'BS Assumptions'!M9</f>
        <v>19482.05802</v>
      </c>
      <c r="N11" s="57">
        <f>(IncStat!N10/365)*'BS Assumptions'!N9</f>
        <v>20123.01488</v>
      </c>
      <c r="O11" s="57">
        <f>(IncStat!O10/365)*'BS Assumptions'!O9</f>
        <v>20816.79204</v>
      </c>
      <c r="P11" s="57">
        <f>(IncStat!P10/365)*'BS Assumptions'!P9</f>
        <v>21534.48841</v>
      </c>
      <c r="Q11" s="57">
        <f>(IncStat!Q10/365)*'BS Assumptions'!Q9</f>
        <v>22283.73078</v>
      </c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21" t="s">
        <v>143</v>
      </c>
      <c r="B12" s="55"/>
      <c r="C12" s="58">
        <v>569.0</v>
      </c>
      <c r="D12" s="58">
        <v>608.0</v>
      </c>
      <c r="E12" s="58">
        <v>638.0</v>
      </c>
      <c r="F12" s="58">
        <v>890.0</v>
      </c>
      <c r="G12" s="58">
        <v>1040.0</v>
      </c>
      <c r="H12" s="59">
        <f>'BS Assumptions'!H10*IncStat!H7</f>
        <v>1003.711861</v>
      </c>
      <c r="I12" s="59">
        <f>'BS Assumptions'!I10*IncStat!I7</f>
        <v>1036.304393</v>
      </c>
      <c r="J12" s="59">
        <f>'BS Assumptions'!J10*IncStat!J7</f>
        <v>1073.071643</v>
      </c>
      <c r="K12" s="59">
        <f>'BS Assumptions'!K10*IncStat!K7</f>
        <v>1110.06772</v>
      </c>
      <c r="L12" s="59">
        <f>'BS Assumptions'!L10*IncStat!L7</f>
        <v>1148.339302</v>
      </c>
      <c r="M12" s="59">
        <f>'BS Assumptions'!M10*IncStat!M7</f>
        <v>1187.930367</v>
      </c>
      <c r="N12" s="59">
        <f>'BS Assumptions'!N10*IncStat!N7</f>
        <v>1228.886405</v>
      </c>
      <c r="O12" s="59">
        <f>'BS Assumptions'!O10*IncStat!O7</f>
        <v>1271.254475</v>
      </c>
      <c r="P12" s="59">
        <f>'BS Assumptions'!P10*IncStat!P7</f>
        <v>1315.083262</v>
      </c>
      <c r="Q12" s="59">
        <f>'BS Assumptions'!Q10*IncStat!Q7</f>
        <v>1360.423124</v>
      </c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30" t="s">
        <v>144</v>
      </c>
      <c r="B13" s="60"/>
      <c r="C13" s="56">
        <v>16484.0</v>
      </c>
      <c r="D13" s="56">
        <v>17724.0</v>
      </c>
      <c r="E13" s="56">
        <v>18933.0</v>
      </c>
      <c r="F13" s="56">
        <v>18529.0</v>
      </c>
      <c r="G13" s="56">
        <v>19810.0</v>
      </c>
      <c r="H13" s="14">
        <f t="shared" ref="H13:Q13" si="1">SUM(H9:H12)</f>
        <v>22455.30299</v>
      </c>
      <c r="I13" s="14">
        <f t="shared" si="1"/>
        <v>23236.28681</v>
      </c>
      <c r="J13" s="14">
        <f t="shared" si="1"/>
        <v>24033.86489</v>
      </c>
      <c r="K13" s="14">
        <f t="shared" si="1"/>
        <v>24806.97225</v>
      </c>
      <c r="L13" s="14">
        <f t="shared" si="1"/>
        <v>25633.52879</v>
      </c>
      <c r="M13" s="14">
        <f t="shared" si="1"/>
        <v>26487.59258</v>
      </c>
      <c r="N13" s="14">
        <f t="shared" si="1"/>
        <v>27370.07785</v>
      </c>
      <c r="O13" s="14">
        <f t="shared" si="1"/>
        <v>28313.71055</v>
      </c>
      <c r="P13" s="14">
        <f t="shared" si="1"/>
        <v>29289.87669</v>
      </c>
      <c r="Q13" s="14">
        <f t="shared" si="1"/>
        <v>30306.50002</v>
      </c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21"/>
      <c r="B14" s="21"/>
      <c r="C14" s="56"/>
      <c r="D14" s="56"/>
      <c r="E14" s="56"/>
      <c r="F14" s="56"/>
      <c r="G14" s="56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30" t="s">
        <v>145</v>
      </c>
      <c r="B15" s="21"/>
      <c r="C15" s="56"/>
      <c r="D15" s="56"/>
      <c r="E15" s="56"/>
      <c r="F15" s="56"/>
      <c r="G15" s="56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146</v>
      </c>
      <c r="B16" s="55"/>
      <c r="C16" s="56">
        <v>0.0</v>
      </c>
      <c r="D16" s="56">
        <v>0.0</v>
      </c>
      <c r="E16" s="56">
        <v>0.0</v>
      </c>
      <c r="F16" s="56">
        <v>0.0</v>
      </c>
      <c r="G16" s="56">
        <v>5595.0</v>
      </c>
      <c r="H16" s="57">
        <f>'BS Assumptions'!H34</f>
        <v>6570.447447</v>
      </c>
      <c r="I16" s="57">
        <f>'BS Assumptions'!I34</f>
        <v>6645.51847</v>
      </c>
      <c r="J16" s="57">
        <f>'BS Assumptions'!J34</f>
        <v>6729.223306</v>
      </c>
      <c r="K16" s="57">
        <f>'BS Assumptions'!K34</f>
        <v>6882.567478</v>
      </c>
      <c r="L16" s="57">
        <f>'BS Assumptions'!L34</f>
        <v>7038.486593</v>
      </c>
      <c r="M16" s="57">
        <f>'BS Assumptions'!M34</f>
        <v>7239.063509</v>
      </c>
      <c r="N16" s="57">
        <f>'BS Assumptions'!N34</f>
        <v>7445.10463</v>
      </c>
      <c r="O16" s="57">
        <f>'BS Assumptions'!O34</f>
        <v>7656.748318</v>
      </c>
      <c r="P16" s="57">
        <f>'BS Assumptions'!P34</f>
        <v>7920.728498</v>
      </c>
      <c r="Q16" s="57">
        <f>'BS Assumptions'!Q34</f>
        <v>8193.80987</v>
      </c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147</v>
      </c>
      <c r="B17" s="55"/>
      <c r="C17" s="56">
        <v>22191.0</v>
      </c>
      <c r="D17" s="56">
        <v>21914.0</v>
      </c>
      <c r="E17" s="56">
        <v>22075.0</v>
      </c>
      <c r="F17" s="56">
        <v>22375.0</v>
      </c>
      <c r="G17" s="56">
        <v>22770.0</v>
      </c>
      <c r="H17" s="57">
        <f>'BS Assumptions'!H25</f>
        <v>26138.32971</v>
      </c>
      <c r="I17" s="57">
        <f>'BS Assumptions'!I25</f>
        <v>26987.09355</v>
      </c>
      <c r="J17" s="57">
        <f>'BS Assumptions'!J25</f>
        <v>27944.57404</v>
      </c>
      <c r="K17" s="57">
        <f>'BS Assumptions'!K25</f>
        <v>28908.01353</v>
      </c>
      <c r="L17" s="57">
        <f>'BS Assumptions'!L25</f>
        <v>29904.66934</v>
      </c>
      <c r="M17" s="57">
        <f>'BS Assumptions'!M25</f>
        <v>30935.68664</v>
      </c>
      <c r="N17" s="57">
        <f>'BS Assumptions'!N25</f>
        <v>32002.25012</v>
      </c>
      <c r="O17" s="57">
        <f>'BS Assumptions'!O25</f>
        <v>33105.5853</v>
      </c>
      <c r="P17" s="57">
        <f>'BS Assumptions'!P25</f>
        <v>34246.95994</v>
      </c>
      <c r="Q17" s="57">
        <f>'BS Assumptions'!Q25</f>
        <v>35427.68553</v>
      </c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21" t="s">
        <v>148</v>
      </c>
      <c r="B18" s="55"/>
      <c r="C18" s="56">
        <v>2102.0</v>
      </c>
      <c r="D18" s="56">
        <v>2093.0</v>
      </c>
      <c r="E18" s="56">
        <v>2275.0</v>
      </c>
      <c r="F18" s="56">
        <v>2252.0</v>
      </c>
      <c r="G18" s="56">
        <v>2254.0</v>
      </c>
      <c r="H18" s="57">
        <f>'BS Assumptions'!H29</f>
        <v>2254</v>
      </c>
      <c r="I18" s="57">
        <f>'BS Assumptions'!I29</f>
        <v>2254</v>
      </c>
      <c r="J18" s="57">
        <f>'BS Assumptions'!J29</f>
        <v>2254</v>
      </c>
      <c r="K18" s="57">
        <f>'BS Assumptions'!K29</f>
        <v>2254</v>
      </c>
      <c r="L18" s="57">
        <f>'BS Assumptions'!L29</f>
        <v>2254</v>
      </c>
      <c r="M18" s="57">
        <f>'BS Assumptions'!M29</f>
        <v>2254</v>
      </c>
      <c r="N18" s="57">
        <f>'BS Assumptions'!N29</f>
        <v>2254</v>
      </c>
      <c r="O18" s="57">
        <f>'BS Assumptions'!O29</f>
        <v>2254</v>
      </c>
      <c r="P18" s="57">
        <f>'BS Assumptions'!P29</f>
        <v>2254</v>
      </c>
      <c r="Q18" s="57">
        <f>'BS Assumptions'!Q29</f>
        <v>2254</v>
      </c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21" t="s">
        <v>149</v>
      </c>
      <c r="B19" s="55"/>
      <c r="C19" s="56">
        <v>1196.0</v>
      </c>
      <c r="D19" s="56">
        <v>1235.0</v>
      </c>
      <c r="E19" s="56">
        <v>1246.0</v>
      </c>
      <c r="F19" s="56">
        <v>847.0</v>
      </c>
      <c r="G19" s="56">
        <v>807.0</v>
      </c>
      <c r="H19" s="57">
        <f>'BS Assumptions'!H30*IncStat!H7</f>
        <v>1254.639826</v>
      </c>
      <c r="I19" s="57">
        <f>'BS Assumptions'!I30*IncStat!I7</f>
        <v>1295.380491</v>
      </c>
      <c r="J19" s="57">
        <f>'BS Assumptions'!J30*IncStat!J7</f>
        <v>1341.339554</v>
      </c>
      <c r="K19" s="57">
        <f>'BS Assumptions'!K30*IncStat!K7</f>
        <v>1387.58465</v>
      </c>
      <c r="L19" s="57">
        <f>'BS Assumptions'!L30*IncStat!L7</f>
        <v>1435.424128</v>
      </c>
      <c r="M19" s="57">
        <f>'BS Assumptions'!M30*IncStat!M7</f>
        <v>1484.912959</v>
      </c>
      <c r="N19" s="57">
        <f>'BS Assumptions'!N30*IncStat!N7</f>
        <v>1536.108006</v>
      </c>
      <c r="O19" s="57">
        <f>'BS Assumptions'!O30*IncStat!O7</f>
        <v>1589.068094</v>
      </c>
      <c r="P19" s="57">
        <f>'BS Assumptions'!P30*IncStat!P7</f>
        <v>1643.854077</v>
      </c>
      <c r="Q19" s="57">
        <f>'BS Assumptions'!Q30*IncStat!Q7</f>
        <v>1700.528905</v>
      </c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30" t="s">
        <v>150</v>
      </c>
      <c r="B20" s="60"/>
      <c r="C20" s="61">
        <v>41973.0</v>
      </c>
      <c r="D20" s="61">
        <v>42966.0</v>
      </c>
      <c r="E20" s="61">
        <v>44529.0</v>
      </c>
      <c r="F20" s="61">
        <v>44003.0</v>
      </c>
      <c r="G20" s="61">
        <v>51236.0</v>
      </c>
      <c r="H20" s="62">
        <f t="shared" ref="H20:Q20" si="2">H13+SUM(H16:H19)</f>
        <v>58672.71998</v>
      </c>
      <c r="I20" s="62">
        <f t="shared" si="2"/>
        <v>60418.27933</v>
      </c>
      <c r="J20" s="62">
        <f t="shared" si="2"/>
        <v>62303.00179</v>
      </c>
      <c r="K20" s="62">
        <f t="shared" si="2"/>
        <v>64239.13792</v>
      </c>
      <c r="L20" s="62">
        <f t="shared" si="2"/>
        <v>66266.10885</v>
      </c>
      <c r="M20" s="62">
        <f t="shared" si="2"/>
        <v>68401.25569</v>
      </c>
      <c r="N20" s="62">
        <f t="shared" si="2"/>
        <v>70607.54061</v>
      </c>
      <c r="O20" s="62">
        <f t="shared" si="2"/>
        <v>72919.11226</v>
      </c>
      <c r="P20" s="62">
        <f t="shared" si="2"/>
        <v>75355.4192</v>
      </c>
      <c r="Q20" s="62">
        <f t="shared" si="2"/>
        <v>77882.52433</v>
      </c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21"/>
      <c r="B21" s="21"/>
      <c r="C21" s="56"/>
      <c r="D21" s="56"/>
      <c r="E21" s="56"/>
      <c r="F21" s="56"/>
      <c r="G21" s="56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3" t="s">
        <v>151</v>
      </c>
      <c r="B22" s="21"/>
      <c r="C22" s="56"/>
      <c r="D22" s="56"/>
      <c r="E22" s="56"/>
      <c r="F22" s="56"/>
      <c r="G22" s="56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30" t="s">
        <v>152</v>
      </c>
      <c r="B23" s="21"/>
      <c r="C23" s="56"/>
      <c r="D23" s="56"/>
      <c r="E23" s="56"/>
      <c r="F23" s="56"/>
      <c r="G23" s="56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153</v>
      </c>
      <c r="B24" s="55"/>
      <c r="C24" s="56">
        <v>6565.0</v>
      </c>
      <c r="D24" s="56">
        <v>7000.0</v>
      </c>
      <c r="E24" s="56">
        <v>7244.0</v>
      </c>
      <c r="F24" s="56">
        <v>7755.0</v>
      </c>
      <c r="G24" s="56">
        <v>7787.0</v>
      </c>
      <c r="H24" s="57">
        <f>((IncStat!H10+BalSht!H11-BalSht!G11)/365)*'BS Assumptions'!H13</f>
        <v>9048.632276</v>
      </c>
      <c r="I24" s="57">
        <f>((IncStat!I10+BalSht!I11-BalSht!H11)/365)*'BS Assumptions'!I13</f>
        <v>9211.84569</v>
      </c>
      <c r="J24" s="57">
        <f>((IncStat!J10+BalSht!J11-BalSht!I11)/365)*'BS Assumptions'!J13</f>
        <v>9521.25299</v>
      </c>
      <c r="K24" s="57">
        <f>((IncStat!K10+BalSht!K11-BalSht!J11)/365)*'BS Assumptions'!K13</f>
        <v>9814.964578</v>
      </c>
      <c r="L24" s="57">
        <f>((IncStat!L10+BalSht!L11-BalSht!K11)/365)*'BS Assumptions'!L13</f>
        <v>10140.87876</v>
      </c>
      <c r="M24" s="57">
        <f>((IncStat!M10+BalSht!M11-BalSht!L11)/365)*'BS Assumptions'!M13</f>
        <v>10474.53186</v>
      </c>
      <c r="N24" s="57">
        <f>((IncStat!N10+BalSht!N11-BalSht!M11)/365)*'BS Assumptions'!N13</f>
        <v>10819.13758</v>
      </c>
      <c r="O24" s="57">
        <f>((IncStat!O10+BalSht!O11-BalSht!N11)/365)*'BS Assumptions'!O13</f>
        <v>11195.42947</v>
      </c>
      <c r="P24" s="57">
        <f>((IncStat!P10+BalSht!P11-BalSht!O11)/365)*'BS Assumptions'!P13</f>
        <v>11581.41205</v>
      </c>
      <c r="Q24" s="57">
        <f>((IncStat!Q10+BalSht!Q11-BalSht!P11)/365)*'BS Assumptions'!Q13</f>
        <v>11985.06289</v>
      </c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154</v>
      </c>
      <c r="B25" s="55"/>
      <c r="C25" s="56">
        <v>1941.0</v>
      </c>
      <c r="D25" s="56">
        <v>2195.0</v>
      </c>
      <c r="E25" s="56">
        <v>2170.0</v>
      </c>
      <c r="F25" s="56">
        <v>2611.0</v>
      </c>
      <c r="G25" s="56">
        <v>2677.0</v>
      </c>
      <c r="H25" s="57">
        <f>'BS Assumptions'!H14*IncStat!H7</f>
        <v>2885.6716</v>
      </c>
      <c r="I25" s="57">
        <f>'BS Assumptions'!I14*IncStat!I7</f>
        <v>2979.375128</v>
      </c>
      <c r="J25" s="57">
        <f>'BS Assumptions'!J14*IncStat!J7</f>
        <v>3085.080975</v>
      </c>
      <c r="K25" s="57">
        <f>'BS Assumptions'!K14*IncStat!K7</f>
        <v>3191.444694</v>
      </c>
      <c r="L25" s="57">
        <f>'BS Assumptions'!L14*IncStat!L7</f>
        <v>3301.475495</v>
      </c>
      <c r="M25" s="57">
        <f>'BS Assumptions'!M14*IncStat!M7</f>
        <v>3415.299805</v>
      </c>
      <c r="N25" s="57">
        <f>'BS Assumptions'!N14*IncStat!N7</f>
        <v>3533.048413</v>
      </c>
      <c r="O25" s="57">
        <f>'BS Assumptions'!O14*IncStat!O7</f>
        <v>3654.856617</v>
      </c>
      <c r="P25" s="57">
        <f>'BS Assumptions'!P14*IncStat!P7</f>
        <v>3780.864377</v>
      </c>
      <c r="Q25" s="57">
        <f>'BS Assumptions'!Q14*IncStat!Q7</f>
        <v>3911.216482</v>
      </c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155</v>
      </c>
      <c r="B26" s="55"/>
      <c r="C26" s="56">
        <v>1515.0</v>
      </c>
      <c r="D26" s="56">
        <v>1484.0</v>
      </c>
      <c r="E26" s="56">
        <v>1640.0</v>
      </c>
      <c r="F26" s="56">
        <v>1506.0</v>
      </c>
      <c r="G26" s="56">
        <v>1494.0</v>
      </c>
      <c r="H26" s="57">
        <f>'BS Assumptions'!H15*IncStat!H7</f>
        <v>1756.495757</v>
      </c>
      <c r="I26" s="57">
        <f>'BS Assumptions'!I15*IncStat!I7</f>
        <v>1813.532687</v>
      </c>
      <c r="J26" s="57">
        <f>'BS Assumptions'!J15*IncStat!J7</f>
        <v>1877.875376</v>
      </c>
      <c r="K26" s="57">
        <f>'BS Assumptions'!K15*IncStat!K7</f>
        <v>1942.61851</v>
      </c>
      <c r="L26" s="57">
        <f>'BS Assumptions'!L15*IncStat!L7</f>
        <v>2009.593779</v>
      </c>
      <c r="M26" s="57">
        <f>'BS Assumptions'!M15*IncStat!M7</f>
        <v>2078.878142</v>
      </c>
      <c r="N26" s="57">
        <f>'BS Assumptions'!N15*IncStat!N7</f>
        <v>2150.551208</v>
      </c>
      <c r="O26" s="57">
        <f>'BS Assumptions'!O15*IncStat!O7</f>
        <v>2224.695332</v>
      </c>
      <c r="P26" s="57">
        <f>'BS Assumptions'!P15*IncStat!P7</f>
        <v>2301.395708</v>
      </c>
      <c r="Q26" s="57">
        <f>'BS Assumptions'!Q15*IncStat!Q7</f>
        <v>2380.740468</v>
      </c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21" t="s">
        <v>156</v>
      </c>
      <c r="B27" s="55"/>
      <c r="C27" s="56">
        <v>476.0</v>
      </c>
      <c r="D27" s="56">
        <v>508.0</v>
      </c>
      <c r="E27" s="56">
        <v>520.0</v>
      </c>
      <c r="F27" s="56">
        <v>656.0</v>
      </c>
      <c r="G27" s="56">
        <v>605.0</v>
      </c>
      <c r="H27" s="57">
        <f>'BS Assumptions'!H16*IncStat!H7</f>
        <v>627.3199131</v>
      </c>
      <c r="I27" s="57">
        <f>'BS Assumptions'!I16*IncStat!I7</f>
        <v>647.6902453</v>
      </c>
      <c r="J27" s="57">
        <f>'BS Assumptions'!J16*IncStat!J7</f>
        <v>670.6697771</v>
      </c>
      <c r="K27" s="57">
        <f>'BS Assumptions'!K16*IncStat!K7</f>
        <v>693.7923248</v>
      </c>
      <c r="L27" s="57">
        <f>'BS Assumptions'!L16*IncStat!L7</f>
        <v>717.7120641</v>
      </c>
      <c r="M27" s="57">
        <f>'BS Assumptions'!M16*IncStat!M7</f>
        <v>742.4564794</v>
      </c>
      <c r="N27" s="57">
        <f>'BS Assumptions'!N16*IncStat!N7</f>
        <v>768.0540029</v>
      </c>
      <c r="O27" s="57">
        <f>'BS Assumptions'!O16*IncStat!O7</f>
        <v>794.5340471</v>
      </c>
      <c r="P27" s="57">
        <f>'BS Assumptions'!P16*IncStat!P7</f>
        <v>821.9270386</v>
      </c>
      <c r="Q27" s="57">
        <f>'BS Assumptions'!Q16*IncStat!Q7</f>
        <v>850.2644527</v>
      </c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42" t="s">
        <v>157</v>
      </c>
      <c r="B28" s="52"/>
      <c r="C28" s="53">
        <v>350.0</v>
      </c>
      <c r="D28" s="53">
        <v>710.0</v>
      </c>
      <c r="E28" s="53">
        <v>1559.0</v>
      </c>
      <c r="F28" s="53">
        <v>1339.0</v>
      </c>
      <c r="G28" s="53">
        <v>974.0</v>
      </c>
      <c r="H28" s="54">
        <f>'BS Assumptions'!H56</f>
        <v>974</v>
      </c>
      <c r="I28" s="54">
        <f>'BS Assumptions'!I56</f>
        <v>974</v>
      </c>
      <c r="J28" s="54">
        <f>'BS Assumptions'!J56</f>
        <v>974</v>
      </c>
      <c r="K28" s="54">
        <f>'BS Assumptions'!K56</f>
        <v>974</v>
      </c>
      <c r="L28" s="54">
        <f>'BS Assumptions'!L56</f>
        <v>974</v>
      </c>
      <c r="M28" s="54">
        <f>'BS Assumptions'!M56</f>
        <v>974</v>
      </c>
      <c r="N28" s="54">
        <f>'BS Assumptions'!N56</f>
        <v>974</v>
      </c>
      <c r="O28" s="54">
        <f>'BS Assumptions'!O56</f>
        <v>974</v>
      </c>
      <c r="P28" s="54">
        <f>'BS Assumptions'!P56</f>
        <v>974</v>
      </c>
      <c r="Q28" s="54">
        <f>'BS Assumptions'!Q56</f>
        <v>974</v>
      </c>
      <c r="R28" s="45"/>
      <c r="S28" s="45"/>
      <c r="T28" s="45"/>
      <c r="U28" s="45"/>
      <c r="V28" s="45"/>
      <c r="W28" s="45"/>
      <c r="X28" s="45"/>
      <c r="Y28" s="45"/>
      <c r="Z28" s="45"/>
    </row>
    <row r="29" ht="13.5" customHeight="1">
      <c r="A29" s="42" t="s">
        <v>158</v>
      </c>
      <c r="B29" s="52"/>
      <c r="C29" s="53">
        <v>77.0</v>
      </c>
      <c r="D29" s="53">
        <v>542.0</v>
      </c>
      <c r="E29" s="53">
        <v>1202.0</v>
      </c>
      <c r="F29" s="53">
        <v>1056.0</v>
      </c>
      <c r="G29" s="53">
        <v>1839.0</v>
      </c>
      <c r="H29" s="54">
        <f>'BS Assumptions'!H57</f>
        <v>1839</v>
      </c>
      <c r="I29" s="54">
        <f>'BS Assumptions'!I57</f>
        <v>1839</v>
      </c>
      <c r="J29" s="54">
        <f>'BS Assumptions'!J57</f>
        <v>1839</v>
      </c>
      <c r="K29" s="54">
        <f>'BS Assumptions'!K57</f>
        <v>1839</v>
      </c>
      <c r="L29" s="54">
        <f>'BS Assumptions'!L57</f>
        <v>1839</v>
      </c>
      <c r="M29" s="54">
        <f>'BS Assumptions'!M57</f>
        <v>1839</v>
      </c>
      <c r="N29" s="54">
        <f>'BS Assumptions'!N57</f>
        <v>1839</v>
      </c>
      <c r="O29" s="54">
        <f>'BS Assumptions'!O57</f>
        <v>1839</v>
      </c>
      <c r="P29" s="54">
        <f>'BS Assumptions'!P57</f>
        <v>1839</v>
      </c>
      <c r="Q29" s="54">
        <f>'BS Assumptions'!Q57</f>
        <v>1839</v>
      </c>
      <c r="R29" s="45"/>
      <c r="S29" s="45"/>
      <c r="T29" s="45"/>
      <c r="U29" s="45"/>
      <c r="V29" s="45"/>
      <c r="W29" s="45"/>
      <c r="X29" s="45"/>
      <c r="Y29" s="45"/>
      <c r="Z29" s="45"/>
    </row>
    <row r="30" ht="13.5" customHeight="1">
      <c r="A30" s="21" t="s">
        <v>159</v>
      </c>
      <c r="B30" s="55"/>
      <c r="C30" s="56">
        <v>0.0</v>
      </c>
      <c r="D30" s="56">
        <v>0.0</v>
      </c>
      <c r="E30" s="56">
        <v>0.0</v>
      </c>
      <c r="F30" s="56">
        <v>0.0</v>
      </c>
      <c r="G30" s="56">
        <v>828.0</v>
      </c>
      <c r="H30" s="57">
        <f>'BS Assumptions'!H37</f>
        <v>965.0326579</v>
      </c>
      <c r="I30" s="57">
        <f>'BS Assumptions'!I37</f>
        <v>975.5787739</v>
      </c>
      <c r="J30" s="57">
        <f>'BS Assumptions'!J37</f>
        <v>987.3377837</v>
      </c>
      <c r="K30" s="57">
        <f>'BS Assumptions'!K37</f>
        <v>1008.879856</v>
      </c>
      <c r="L30" s="57">
        <f>'BS Assumptions'!L37</f>
        <v>1030.783661</v>
      </c>
      <c r="M30" s="57">
        <f>'BS Assumptions'!M37</f>
        <v>1058.961077</v>
      </c>
      <c r="N30" s="57">
        <f>'BS Assumptions'!N37</f>
        <v>1087.906114</v>
      </c>
      <c r="O30" s="57">
        <f>'BS Assumptions'!O37</f>
        <v>1117.63821</v>
      </c>
      <c r="P30" s="57">
        <f>'BS Assumptions'!P37</f>
        <v>1154.722633</v>
      </c>
      <c r="Q30" s="57">
        <f>'BS Assumptions'!Q37</f>
        <v>1193.085608</v>
      </c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21" t="s">
        <v>160</v>
      </c>
      <c r="B31" s="55"/>
      <c r="C31" s="56">
        <v>34.0</v>
      </c>
      <c r="D31" s="56">
        <v>25.0</v>
      </c>
      <c r="E31" s="56">
        <v>54.0</v>
      </c>
      <c r="F31" s="56">
        <v>11.0</v>
      </c>
      <c r="G31" s="56">
        <v>55.0</v>
      </c>
      <c r="H31" s="57">
        <f>'BS Assumptions'!H17*IncStat!H7</f>
        <v>0</v>
      </c>
      <c r="I31" s="57">
        <f>'BS Assumptions'!I17*IncStat!I7</f>
        <v>0</v>
      </c>
      <c r="J31" s="57">
        <f>'BS Assumptions'!J17*IncStat!J7</f>
        <v>0</v>
      </c>
      <c r="K31" s="57">
        <f>'BS Assumptions'!K17*IncStat!K7</f>
        <v>0</v>
      </c>
      <c r="L31" s="57">
        <f>'BS Assumptions'!L17*IncStat!L7</f>
        <v>0</v>
      </c>
      <c r="M31" s="57">
        <f>'BS Assumptions'!M17*IncStat!M7</f>
        <v>0</v>
      </c>
      <c r="N31" s="57">
        <f>'BS Assumptions'!N17*IncStat!N7</f>
        <v>0</v>
      </c>
      <c r="O31" s="57">
        <f>'BS Assumptions'!O17*IncStat!O7</f>
        <v>0</v>
      </c>
      <c r="P31" s="57">
        <f>'BS Assumptions'!P17*IncStat!P7</f>
        <v>0</v>
      </c>
      <c r="Q31" s="57">
        <f>'BS Assumptions'!Q17*IncStat!Q7</f>
        <v>0</v>
      </c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21" t="s">
        <v>161</v>
      </c>
      <c r="B32" s="55"/>
      <c r="C32" s="58">
        <v>1566.0</v>
      </c>
      <c r="D32" s="58">
        <v>1669.0</v>
      </c>
      <c r="E32" s="58">
        <v>1805.0</v>
      </c>
      <c r="F32" s="58">
        <v>1782.0</v>
      </c>
      <c r="G32" s="58">
        <v>2116.0</v>
      </c>
      <c r="H32" s="59">
        <f>'BS Assumptions'!H18*IncStat!H7</f>
        <v>2258.351687</v>
      </c>
      <c r="I32" s="59">
        <f>'BS Assumptions'!I18*IncStat!I7</f>
        <v>2331.684883</v>
      </c>
      <c r="J32" s="59">
        <f>'BS Assumptions'!J18*IncStat!J7</f>
        <v>2414.411197</v>
      </c>
      <c r="K32" s="59">
        <f>'BS Assumptions'!K18*IncStat!K7</f>
        <v>2497.652369</v>
      </c>
      <c r="L32" s="59">
        <f>'BS Assumptions'!L18*IncStat!L7</f>
        <v>2583.763431</v>
      </c>
      <c r="M32" s="59">
        <f>'BS Assumptions'!M18*IncStat!M7</f>
        <v>2672.843326</v>
      </c>
      <c r="N32" s="59">
        <f>'BS Assumptions'!N18*IncStat!N7</f>
        <v>2764.99441</v>
      </c>
      <c r="O32" s="59">
        <f>'BS Assumptions'!O18*IncStat!O7</f>
        <v>2860.32257</v>
      </c>
      <c r="P32" s="59">
        <f>'BS Assumptions'!P18*IncStat!P7</f>
        <v>2958.937339</v>
      </c>
      <c r="Q32" s="59">
        <f>'BS Assumptions'!Q18*IncStat!Q7</f>
        <v>3060.95203</v>
      </c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30" t="s">
        <v>162</v>
      </c>
      <c r="B33" s="60"/>
      <c r="C33" s="56">
        <v>12524.0</v>
      </c>
      <c r="D33" s="56">
        <v>14133.0</v>
      </c>
      <c r="E33" s="56">
        <v>16194.0</v>
      </c>
      <c r="F33" s="56">
        <v>16716.0</v>
      </c>
      <c r="G33" s="56">
        <v>18375.0</v>
      </c>
      <c r="H33" s="14">
        <f t="shared" ref="H33:Q33" si="3">SUM(H24:H32)</f>
        <v>20354.50389</v>
      </c>
      <c r="I33" s="14">
        <f t="shared" si="3"/>
        <v>20772.70741</v>
      </c>
      <c r="J33" s="14">
        <f t="shared" si="3"/>
        <v>21369.6281</v>
      </c>
      <c r="K33" s="14">
        <f t="shared" si="3"/>
        <v>21962.35233</v>
      </c>
      <c r="L33" s="14">
        <f t="shared" si="3"/>
        <v>22597.20719</v>
      </c>
      <c r="M33" s="14">
        <f t="shared" si="3"/>
        <v>23255.97069</v>
      </c>
      <c r="N33" s="14">
        <f t="shared" si="3"/>
        <v>23936.69173</v>
      </c>
      <c r="O33" s="14">
        <f t="shared" si="3"/>
        <v>24660.47624</v>
      </c>
      <c r="P33" s="14">
        <f t="shared" si="3"/>
        <v>25412.25915</v>
      </c>
      <c r="Q33" s="14">
        <f t="shared" si="3"/>
        <v>26194.32193</v>
      </c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21"/>
      <c r="B34" s="21"/>
      <c r="C34" s="56"/>
      <c r="D34" s="56"/>
      <c r="E34" s="56"/>
      <c r="F34" s="56"/>
      <c r="G34" s="56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30" t="s">
        <v>163</v>
      </c>
      <c r="B35" s="21"/>
      <c r="C35" s="56"/>
      <c r="D35" s="56"/>
      <c r="E35" s="56"/>
      <c r="F35" s="56"/>
      <c r="G35" s="56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42" t="s">
        <v>164</v>
      </c>
      <c r="B36" s="52"/>
      <c r="C36" s="53">
        <v>20789.0</v>
      </c>
      <c r="D36" s="53">
        <v>22349.0</v>
      </c>
      <c r="E36" s="53">
        <v>24267.0</v>
      </c>
      <c r="F36" s="53">
        <v>26807.0</v>
      </c>
      <c r="G36" s="53">
        <v>28670.0</v>
      </c>
      <c r="H36" s="54">
        <f>'BS Assumptions'!H58</f>
        <v>28670</v>
      </c>
      <c r="I36" s="54">
        <f>'BS Assumptions'!I58</f>
        <v>28670</v>
      </c>
      <c r="J36" s="54">
        <f>'BS Assumptions'!J58</f>
        <v>28670</v>
      </c>
      <c r="K36" s="54">
        <f>'BS Assumptions'!K58</f>
        <v>28670</v>
      </c>
      <c r="L36" s="54">
        <f>'BS Assumptions'!L58</f>
        <v>28670</v>
      </c>
      <c r="M36" s="54">
        <f>'BS Assumptions'!M58</f>
        <v>28670</v>
      </c>
      <c r="N36" s="54">
        <f>'BS Assumptions'!N58</f>
        <v>28670</v>
      </c>
      <c r="O36" s="54">
        <f>'BS Assumptions'!O58</f>
        <v>28670</v>
      </c>
      <c r="P36" s="54">
        <f>'BS Assumptions'!P58</f>
        <v>28670</v>
      </c>
      <c r="Q36" s="54">
        <f>'BS Assumptions'!Q58</f>
        <v>28670</v>
      </c>
      <c r="R36" s="45"/>
      <c r="S36" s="45"/>
      <c r="T36" s="45"/>
      <c r="U36" s="45"/>
      <c r="V36" s="45"/>
      <c r="W36" s="45"/>
      <c r="X36" s="45"/>
      <c r="Y36" s="45"/>
      <c r="Z36" s="45"/>
    </row>
    <row r="37" ht="13.5" customHeight="1">
      <c r="A37" s="21" t="s">
        <v>165</v>
      </c>
      <c r="B37" s="55"/>
      <c r="C37" s="56">
        <v>0.0</v>
      </c>
      <c r="D37" s="56">
        <v>0.0</v>
      </c>
      <c r="E37" s="56">
        <v>0.0</v>
      </c>
      <c r="F37" s="56">
        <v>0.0</v>
      </c>
      <c r="G37" s="56">
        <v>5066.0</v>
      </c>
      <c r="H37" s="57">
        <f>'BS Assumptions'!H38</f>
        <v>5904.414789</v>
      </c>
      <c r="I37" s="57">
        <f>'BS Assumptions'!I38</f>
        <v>5968.939696</v>
      </c>
      <c r="J37" s="57">
        <f>'BS Assumptions'!J38</f>
        <v>6040.885522</v>
      </c>
      <c r="K37" s="57">
        <f>'BS Assumptions'!K38</f>
        <v>6172.687622</v>
      </c>
      <c r="L37" s="57">
        <f>'BS Assumptions'!L38</f>
        <v>6306.702932</v>
      </c>
      <c r="M37" s="57">
        <f>'BS Assumptions'!M38</f>
        <v>6479.102432</v>
      </c>
      <c r="N37" s="57">
        <f>'BS Assumptions'!N38</f>
        <v>6656.198517</v>
      </c>
      <c r="O37" s="57">
        <f>'BS Assumptions'!O38</f>
        <v>6838.110108</v>
      </c>
      <c r="P37" s="57">
        <f>'BS Assumptions'!P38</f>
        <v>7065.005865</v>
      </c>
      <c r="Q37" s="57">
        <f>'BS Assumptions'!Q38</f>
        <v>7299.724262</v>
      </c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21" t="s">
        <v>166</v>
      </c>
      <c r="B38" s="55"/>
      <c r="C38" s="56">
        <v>379.0</v>
      </c>
      <c r="D38" s="56">
        <v>296.0</v>
      </c>
      <c r="E38" s="56">
        <v>440.0</v>
      </c>
      <c r="F38" s="56">
        <v>491.0</v>
      </c>
      <c r="G38" s="56">
        <v>706.0</v>
      </c>
      <c r="H38" s="57">
        <f>'BS Assumptions'!H46*IncStat!H7</f>
        <v>627.3199131</v>
      </c>
      <c r="I38" s="57">
        <f>'BS Assumptions'!I46*IncStat!I7</f>
        <v>647.6902453</v>
      </c>
      <c r="J38" s="57">
        <f>'BS Assumptions'!J46*IncStat!J7</f>
        <v>670.6697771</v>
      </c>
      <c r="K38" s="57">
        <f>'BS Assumptions'!K46*IncStat!K7</f>
        <v>693.7923248</v>
      </c>
      <c r="L38" s="57">
        <f>'BS Assumptions'!L46*IncStat!L7</f>
        <v>717.7120641</v>
      </c>
      <c r="M38" s="57">
        <f>'BS Assumptions'!M46*IncStat!M7</f>
        <v>742.4564794</v>
      </c>
      <c r="N38" s="57">
        <f>'BS Assumptions'!N46*IncStat!N7</f>
        <v>768.0540029</v>
      </c>
      <c r="O38" s="57">
        <f>'BS Assumptions'!O46*IncStat!O7</f>
        <v>794.5340471</v>
      </c>
      <c r="P38" s="57">
        <f>'BS Assumptions'!P46*IncStat!P7</f>
        <v>821.9270386</v>
      </c>
      <c r="Q38" s="57">
        <f>'BS Assumptions'!Q46*IncStat!Q7</f>
        <v>850.2644527</v>
      </c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21" t="s">
        <v>167</v>
      </c>
      <c r="B39" s="55"/>
      <c r="C39" s="58">
        <v>1965.0</v>
      </c>
      <c r="D39" s="58">
        <v>1855.0</v>
      </c>
      <c r="E39" s="58">
        <v>2174.0</v>
      </c>
      <c r="F39" s="58">
        <v>1867.0</v>
      </c>
      <c r="G39" s="58">
        <v>1535.0</v>
      </c>
      <c r="H39" s="59">
        <f>'BS Assumptions'!H47*IncStat!H7</f>
        <v>1881.959739</v>
      </c>
      <c r="I39" s="59">
        <f>'BS Assumptions'!I47*IncStat!I7</f>
        <v>1943.070736</v>
      </c>
      <c r="J39" s="59">
        <f>'BS Assumptions'!J47*IncStat!J7</f>
        <v>2012.009331</v>
      </c>
      <c r="K39" s="59">
        <f>'BS Assumptions'!K47*IncStat!K7</f>
        <v>2081.376975</v>
      </c>
      <c r="L39" s="59">
        <f>'BS Assumptions'!L47*IncStat!L7</f>
        <v>2153.136192</v>
      </c>
      <c r="M39" s="59">
        <f>'BS Assumptions'!M47*IncStat!M7</f>
        <v>2227.369438</v>
      </c>
      <c r="N39" s="59">
        <f>'BS Assumptions'!N47*IncStat!N7</f>
        <v>2304.162009</v>
      </c>
      <c r="O39" s="59">
        <f>'BS Assumptions'!O47*IncStat!O7</f>
        <v>2383.602141</v>
      </c>
      <c r="P39" s="59">
        <f>'BS Assumptions'!P47*IncStat!P7</f>
        <v>2465.781116</v>
      </c>
      <c r="Q39" s="59">
        <f>'BS Assumptions'!Q47*IncStat!Q7</f>
        <v>2550.793358</v>
      </c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30" t="s">
        <v>168</v>
      </c>
      <c r="B40" s="55"/>
      <c r="C40" s="56">
        <f t="shared" ref="C40:Q40" si="4">SUM(C36:C39)</f>
        <v>23133</v>
      </c>
      <c r="D40" s="56">
        <f t="shared" si="4"/>
        <v>24500</v>
      </c>
      <c r="E40" s="56">
        <f t="shared" si="4"/>
        <v>26881</v>
      </c>
      <c r="F40" s="56">
        <f t="shared" si="4"/>
        <v>29165</v>
      </c>
      <c r="G40" s="56">
        <f t="shared" si="4"/>
        <v>35977</v>
      </c>
      <c r="H40" s="56">
        <f t="shared" si="4"/>
        <v>37083.69444</v>
      </c>
      <c r="I40" s="56">
        <f t="shared" si="4"/>
        <v>37229.70068</v>
      </c>
      <c r="J40" s="56">
        <f t="shared" si="4"/>
        <v>37393.56463</v>
      </c>
      <c r="K40" s="56">
        <f t="shared" si="4"/>
        <v>37617.85692</v>
      </c>
      <c r="L40" s="56">
        <f t="shared" si="4"/>
        <v>37847.55119</v>
      </c>
      <c r="M40" s="56">
        <f t="shared" si="4"/>
        <v>38118.92835</v>
      </c>
      <c r="N40" s="56">
        <f t="shared" si="4"/>
        <v>38398.41453</v>
      </c>
      <c r="O40" s="56">
        <f t="shared" si="4"/>
        <v>38686.2463</v>
      </c>
      <c r="P40" s="56">
        <f t="shared" si="4"/>
        <v>39022.71402</v>
      </c>
      <c r="Q40" s="56">
        <f t="shared" si="4"/>
        <v>39370.78207</v>
      </c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21"/>
      <c r="B41" s="55"/>
      <c r="C41" s="58"/>
      <c r="D41" s="58"/>
      <c r="E41" s="58"/>
      <c r="F41" s="58"/>
      <c r="G41" s="58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30" t="s">
        <v>169</v>
      </c>
      <c r="B42" s="55"/>
      <c r="C42" s="56">
        <f>C33+C40</f>
        <v>35657</v>
      </c>
      <c r="D42" s="56">
        <f t="shared" ref="D42:Q42" si="5">SUM(D33:D39)</f>
        <v>38633</v>
      </c>
      <c r="E42" s="56">
        <f t="shared" si="5"/>
        <v>43075</v>
      </c>
      <c r="F42" s="56">
        <f t="shared" si="5"/>
        <v>45881</v>
      </c>
      <c r="G42" s="56">
        <f t="shared" si="5"/>
        <v>54352</v>
      </c>
      <c r="H42" s="56">
        <f t="shared" si="5"/>
        <v>57438.19833</v>
      </c>
      <c r="I42" s="56">
        <f t="shared" si="5"/>
        <v>58002.40808</v>
      </c>
      <c r="J42" s="56">
        <f t="shared" si="5"/>
        <v>58763.19273</v>
      </c>
      <c r="K42" s="56">
        <f t="shared" si="5"/>
        <v>59580.20925</v>
      </c>
      <c r="L42" s="56">
        <f t="shared" si="5"/>
        <v>60444.75838</v>
      </c>
      <c r="M42" s="56">
        <f t="shared" si="5"/>
        <v>61374.89903</v>
      </c>
      <c r="N42" s="56">
        <f t="shared" si="5"/>
        <v>62335.10626</v>
      </c>
      <c r="O42" s="56">
        <f t="shared" si="5"/>
        <v>63346.72254</v>
      </c>
      <c r="P42" s="56">
        <f t="shared" si="5"/>
        <v>64434.97317</v>
      </c>
      <c r="Q42" s="56">
        <f t="shared" si="5"/>
        <v>65565.104</v>
      </c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21"/>
      <c r="B43" s="21"/>
      <c r="C43" s="56"/>
      <c r="D43" s="56"/>
      <c r="E43" s="56"/>
      <c r="F43" s="56"/>
      <c r="G43" s="56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30" t="s">
        <v>170</v>
      </c>
      <c r="B44" s="21"/>
      <c r="C44" s="56">
        <v>6316.0</v>
      </c>
      <c r="D44" s="56">
        <v>4333.0</v>
      </c>
      <c r="E44" s="56">
        <v>1454.0</v>
      </c>
      <c r="F44" s="56">
        <v>-1878.0</v>
      </c>
      <c r="G44" s="56">
        <v>-3116.0</v>
      </c>
      <c r="H44" s="57">
        <f t="shared" ref="H44:Q44" si="6">H20-H42</f>
        <v>1234.521646</v>
      </c>
      <c r="I44" s="57">
        <f t="shared" si="6"/>
        <v>2415.871243</v>
      </c>
      <c r="J44" s="57">
        <f t="shared" si="6"/>
        <v>3539.809063</v>
      </c>
      <c r="K44" s="57">
        <f t="shared" si="6"/>
        <v>4658.928663</v>
      </c>
      <c r="L44" s="57">
        <f t="shared" si="6"/>
        <v>5821.350474</v>
      </c>
      <c r="M44" s="57">
        <f t="shared" si="6"/>
        <v>7026.356652</v>
      </c>
      <c r="N44" s="57">
        <f t="shared" si="6"/>
        <v>8272.434347</v>
      </c>
      <c r="O44" s="57">
        <f t="shared" si="6"/>
        <v>9572.38972</v>
      </c>
      <c r="P44" s="57">
        <f t="shared" si="6"/>
        <v>10920.44604</v>
      </c>
      <c r="Q44" s="57">
        <f t="shared" si="6"/>
        <v>12317.42033</v>
      </c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30"/>
      <c r="B45" s="60"/>
      <c r="C45" s="64"/>
      <c r="D45" s="64"/>
      <c r="E45" s="64"/>
      <c r="F45" s="64"/>
      <c r="G45" s="6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30" t="s">
        <v>171</v>
      </c>
      <c r="B46" s="60"/>
      <c r="C46" s="61">
        <v>41973.0</v>
      </c>
      <c r="D46" s="61">
        <v>42966.0</v>
      </c>
      <c r="E46" s="61">
        <v>44529.0</v>
      </c>
      <c r="F46" s="61">
        <v>44003.0</v>
      </c>
      <c r="G46" s="61">
        <v>51236.0</v>
      </c>
      <c r="H46" s="62">
        <f t="shared" ref="H46:Q46" si="7">H42+H44</f>
        <v>58672.71998</v>
      </c>
      <c r="I46" s="62">
        <f t="shared" si="7"/>
        <v>60418.27933</v>
      </c>
      <c r="J46" s="62">
        <f t="shared" si="7"/>
        <v>62303.00179</v>
      </c>
      <c r="K46" s="62">
        <f t="shared" si="7"/>
        <v>64239.13792</v>
      </c>
      <c r="L46" s="62">
        <f t="shared" si="7"/>
        <v>66266.10885</v>
      </c>
      <c r="M46" s="62">
        <f t="shared" si="7"/>
        <v>68401.25569</v>
      </c>
      <c r="N46" s="62">
        <f t="shared" si="7"/>
        <v>70607.54061</v>
      </c>
      <c r="O46" s="62">
        <f t="shared" si="7"/>
        <v>72919.11226</v>
      </c>
      <c r="P46" s="62">
        <f t="shared" si="7"/>
        <v>75355.4192</v>
      </c>
      <c r="Q46" s="62">
        <f t="shared" si="7"/>
        <v>77882.52433</v>
      </c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65" t="s">
        <v>172</v>
      </c>
      <c r="B47" s="1"/>
      <c r="C47" s="66">
        <f t="shared" ref="C47:Q47" si="8">C20-C46</f>
        <v>0</v>
      </c>
      <c r="D47" s="66">
        <f t="shared" si="8"/>
        <v>0</v>
      </c>
      <c r="E47" s="66">
        <f t="shared" si="8"/>
        <v>0</v>
      </c>
      <c r="F47" s="66">
        <f t="shared" si="8"/>
        <v>0</v>
      </c>
      <c r="G47" s="66">
        <f t="shared" si="8"/>
        <v>0</v>
      </c>
      <c r="H47" s="66">
        <f t="shared" si="8"/>
        <v>0</v>
      </c>
      <c r="I47" s="66">
        <f t="shared" si="8"/>
        <v>0</v>
      </c>
      <c r="J47" s="66">
        <f t="shared" si="8"/>
        <v>0</v>
      </c>
      <c r="K47" s="66">
        <f t="shared" si="8"/>
        <v>0</v>
      </c>
      <c r="L47" s="66">
        <f t="shared" si="8"/>
        <v>0</v>
      </c>
      <c r="M47" s="66">
        <f t="shared" si="8"/>
        <v>0</v>
      </c>
      <c r="N47" s="66">
        <f t="shared" si="8"/>
        <v>0</v>
      </c>
      <c r="O47" s="66">
        <f t="shared" si="8"/>
        <v>0</v>
      </c>
      <c r="P47" s="66">
        <f t="shared" si="8"/>
        <v>0</v>
      </c>
      <c r="Q47" s="66">
        <f t="shared" si="8"/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9"/>
    <pageSetUpPr fitToPage="1"/>
  </sheetPr>
  <sheetViews>
    <sheetView workbookViewId="0"/>
  </sheetViews>
  <sheetFormatPr customHeight="1" defaultColWidth="14.43" defaultRowHeight="15.0"/>
  <cols>
    <col customWidth="1" min="1" max="1" width="52.29"/>
    <col customWidth="1" min="2" max="16" width="9.0"/>
    <col customWidth="1" min="17" max="26" width="8.86"/>
  </cols>
  <sheetData>
    <row r="1" ht="13.5" customHeight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 t="s">
        <v>117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9">
        <f>'IS Assumptions'!Q5</f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0" t="s">
        <v>94</v>
      </c>
      <c r="B7" s="21"/>
      <c r="C7" s="21"/>
      <c r="D7" s="21"/>
      <c r="E7" s="21"/>
      <c r="F7" s="21"/>
      <c r="G7" s="2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21" t="s">
        <v>173</v>
      </c>
      <c r="B8" s="55"/>
      <c r="C8" s="31">
        <v>7009.0</v>
      </c>
      <c r="D8" s="31">
        <v>7957.0</v>
      </c>
      <c r="E8" s="31">
        <v>8630.0</v>
      </c>
      <c r="F8" s="31">
        <v>11121.0</v>
      </c>
      <c r="G8" s="31">
        <v>11242.0</v>
      </c>
      <c r="H8" s="57">
        <f>IncStat!H34</f>
        <v>12256.009</v>
      </c>
      <c r="I8" s="57">
        <f>IncStat!I34</f>
        <v>12702.56796</v>
      </c>
      <c r="J8" s="57">
        <f>IncStat!J34</f>
        <v>13621.62912</v>
      </c>
      <c r="K8" s="57">
        <f>IncStat!K34</f>
        <v>14464.70215</v>
      </c>
      <c r="L8" s="57">
        <f>IncStat!L34</f>
        <v>15241.27871</v>
      </c>
      <c r="M8" s="57">
        <f>IncStat!M34</f>
        <v>15941.09556</v>
      </c>
      <c r="N8" s="57">
        <f>IncStat!N34</f>
        <v>16668.63839</v>
      </c>
      <c r="O8" s="57">
        <f>IncStat!O34</f>
        <v>17306.36597</v>
      </c>
      <c r="P8" s="57">
        <f>IncStat!P34</f>
        <v>17843.0525</v>
      </c>
      <c r="Q8" s="57">
        <f>IncStat!Q34</f>
        <v>18368.14727</v>
      </c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21"/>
      <c r="B9" s="55"/>
      <c r="C9" s="31"/>
      <c r="D9" s="31"/>
      <c r="E9" s="31"/>
      <c r="F9" s="31"/>
      <c r="G9" s="31"/>
      <c r="H9" s="14"/>
      <c r="I9" s="14"/>
      <c r="J9" s="14"/>
      <c r="K9" s="14"/>
      <c r="L9" s="14"/>
      <c r="M9" s="14"/>
      <c r="N9" s="14"/>
      <c r="O9" s="14"/>
      <c r="P9" s="14"/>
      <c r="Q9" s="14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32" t="s">
        <v>174</v>
      </c>
      <c r="B10" s="67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14"/>
      <c r="Q10" s="14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32" t="s">
        <v>175</v>
      </c>
      <c r="B11" s="67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14"/>
      <c r="Q11" s="14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21" t="s">
        <v>125</v>
      </c>
      <c r="B12" s="55"/>
      <c r="C12" s="31">
        <v>1863.0</v>
      </c>
      <c r="D12" s="31">
        <v>1973.0</v>
      </c>
      <c r="E12" s="31">
        <v>2062.0</v>
      </c>
      <c r="F12" s="31">
        <v>2152.0</v>
      </c>
      <c r="G12" s="31">
        <v>2296.0</v>
      </c>
      <c r="H12" s="57">
        <f>'BS Assumptions'!H26</f>
        <v>2398.930481</v>
      </c>
      <c r="I12" s="57">
        <f>'BS Assumptions'!I26</f>
        <v>2707.340117</v>
      </c>
      <c r="J12" s="57">
        <f>'BS Assumptions'!J26</f>
        <v>2897.506104</v>
      </c>
      <c r="K12" s="57">
        <f>'BS Assumptions'!K26</f>
        <v>3103.65512</v>
      </c>
      <c r="L12" s="57">
        <f>'BS Assumptions'!L26</f>
        <v>3321.146811</v>
      </c>
      <c r="M12" s="57">
        <f>'BS Assumptions'!M26</f>
        <v>3552.045346</v>
      </c>
      <c r="N12" s="57">
        <f>'BS Assumptions'!N26</f>
        <v>3797.12891</v>
      </c>
      <c r="O12" s="57">
        <f>'BS Assumptions'!O26</f>
        <v>4057.219412</v>
      </c>
      <c r="P12" s="57">
        <f>'BS Assumptions'!P26</f>
        <v>4333.184898</v>
      </c>
      <c r="Q12" s="57">
        <f>'BS Assumptions'!Q26</f>
        <v>4625.942093</v>
      </c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21" t="s">
        <v>176</v>
      </c>
      <c r="B13" s="55"/>
      <c r="C13" s="31">
        <v>-144.0</v>
      </c>
      <c r="D13" s="31">
        <v>0.0</v>
      </c>
      <c r="E13" s="31">
        <v>0.0</v>
      </c>
      <c r="F13" s="31">
        <v>0.0</v>
      </c>
      <c r="G13" s="31">
        <v>0.0</v>
      </c>
      <c r="H13" s="57">
        <f>'CF Assumptions'!H8</f>
        <v>0</v>
      </c>
      <c r="I13" s="57">
        <f>'CF Assumptions'!I8</f>
        <v>0</v>
      </c>
      <c r="J13" s="57">
        <f>'CF Assumptions'!J8</f>
        <v>0</v>
      </c>
      <c r="K13" s="57">
        <f>'CF Assumptions'!K8</f>
        <v>0</v>
      </c>
      <c r="L13" s="57">
        <f>'CF Assumptions'!L8</f>
        <v>0</v>
      </c>
      <c r="M13" s="57">
        <f>'CF Assumptions'!M8</f>
        <v>0</v>
      </c>
      <c r="N13" s="57">
        <f>'CF Assumptions'!N8</f>
        <v>0</v>
      </c>
      <c r="O13" s="57">
        <f>'CF Assumptions'!O8</f>
        <v>0</v>
      </c>
      <c r="P13" s="57">
        <f>'CF Assumptions'!P8</f>
        <v>0</v>
      </c>
      <c r="Q13" s="57">
        <f>'CF Assumptions'!Q8</f>
        <v>0</v>
      </c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21" t="s">
        <v>126</v>
      </c>
      <c r="B14" s="55"/>
      <c r="C14" s="31">
        <v>0.0</v>
      </c>
      <c r="D14" s="31">
        <v>0.0</v>
      </c>
      <c r="E14" s="31">
        <v>0.0</v>
      </c>
      <c r="F14" s="31">
        <v>247.0</v>
      </c>
      <c r="G14" s="31">
        <v>0.0</v>
      </c>
      <c r="H14" s="57">
        <f>'CF Assumptions'!H9</f>
        <v>0</v>
      </c>
      <c r="I14" s="57">
        <f>'CF Assumptions'!I9</f>
        <v>0</v>
      </c>
      <c r="J14" s="57">
        <f>'CF Assumptions'!J9</f>
        <v>0</v>
      </c>
      <c r="K14" s="57">
        <f>'CF Assumptions'!K9</f>
        <v>0</v>
      </c>
      <c r="L14" s="57">
        <f>'CF Assumptions'!L9</f>
        <v>0</v>
      </c>
      <c r="M14" s="57">
        <f>'CF Assumptions'!M9</f>
        <v>0</v>
      </c>
      <c r="N14" s="57">
        <f>'CF Assumptions'!N9</f>
        <v>0</v>
      </c>
      <c r="O14" s="57">
        <f>'CF Assumptions'!O9</f>
        <v>0</v>
      </c>
      <c r="P14" s="57">
        <f>'CF Assumptions'!P9</f>
        <v>0</v>
      </c>
      <c r="Q14" s="57">
        <f>'CF Assumptions'!Q9</f>
        <v>0</v>
      </c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21" t="s">
        <v>177</v>
      </c>
      <c r="B15" s="55"/>
      <c r="C15" s="31">
        <v>244.0</v>
      </c>
      <c r="D15" s="31">
        <v>267.0</v>
      </c>
      <c r="E15" s="31">
        <v>273.0</v>
      </c>
      <c r="F15" s="31">
        <v>282.0</v>
      </c>
      <c r="G15" s="31">
        <v>251.0</v>
      </c>
      <c r="H15" s="57">
        <f>'CF Assumptions'!H10*IncStat!H15</f>
        <v>301.3598255</v>
      </c>
      <c r="I15" s="57">
        <f>'CF Assumptions'!I10*IncStat!I15</f>
        <v>304.8030294</v>
      </c>
      <c r="J15" s="57">
        <f>'CF Assumptions'!J10*IncStat!J15</f>
        <v>308.6422314</v>
      </c>
      <c r="K15" s="57">
        <f>'CF Assumptions'!K10*IncStat!K15</f>
        <v>315.6755078</v>
      </c>
      <c r="L15" s="57">
        <f>'CF Assumptions'!L10*IncStat!L15</f>
        <v>322.8268864</v>
      </c>
      <c r="M15" s="57">
        <f>'CF Assumptions'!M10*IncStat!M15</f>
        <v>332.0265376</v>
      </c>
      <c r="N15" s="57">
        <f>'CF Assumptions'!N10*IncStat!N15</f>
        <v>341.4768097</v>
      </c>
      <c r="O15" s="57">
        <f>'CF Assumptions'!O10*IncStat!O15</f>
        <v>351.1840488</v>
      </c>
      <c r="P15" s="57">
        <f>'CF Assumptions'!P10*IncStat!P15</f>
        <v>363.2917511</v>
      </c>
      <c r="Q15" s="57">
        <f>'CF Assumptions'!Q10*IncStat!Q15</f>
        <v>375.8168881</v>
      </c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178</v>
      </c>
      <c r="B16" s="55"/>
      <c r="C16" s="31">
        <v>-33.0</v>
      </c>
      <c r="D16" s="31">
        <v>0.0</v>
      </c>
      <c r="E16" s="31">
        <v>0.0</v>
      </c>
      <c r="F16" s="31">
        <v>0.0</v>
      </c>
      <c r="G16" s="31">
        <v>0.0</v>
      </c>
      <c r="H16" s="57">
        <f>'CF Assumptions'!H11</f>
        <v>0</v>
      </c>
      <c r="I16" s="57">
        <f>'CF Assumptions'!I11</f>
        <v>0</v>
      </c>
      <c r="J16" s="57">
        <f>'CF Assumptions'!J11</f>
        <v>0</v>
      </c>
      <c r="K16" s="57">
        <f>'CF Assumptions'!K11</f>
        <v>0</v>
      </c>
      <c r="L16" s="57">
        <f>'CF Assumptions'!L11</f>
        <v>0</v>
      </c>
      <c r="M16" s="57">
        <f>'CF Assumptions'!M11</f>
        <v>0</v>
      </c>
      <c r="N16" s="57">
        <f>'CF Assumptions'!N11</f>
        <v>0</v>
      </c>
      <c r="O16" s="57">
        <f>'CF Assumptions'!O11</f>
        <v>0</v>
      </c>
      <c r="P16" s="57">
        <f>'CF Assumptions'!P11</f>
        <v>0</v>
      </c>
      <c r="Q16" s="57">
        <f>'CF Assumptions'!Q11</f>
        <v>0</v>
      </c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179</v>
      </c>
      <c r="B17" s="55"/>
      <c r="C17" s="31">
        <v>0.0</v>
      </c>
      <c r="D17" s="31">
        <v>4.0</v>
      </c>
      <c r="E17" s="31">
        <v>420.0</v>
      </c>
      <c r="F17" s="31">
        <v>-103.0</v>
      </c>
      <c r="G17" s="31">
        <v>184.0</v>
      </c>
      <c r="H17" s="57">
        <f>'CF Assumptions'!H12</f>
        <v>0</v>
      </c>
      <c r="I17" s="57">
        <f>'CF Assumptions'!I12</f>
        <v>0</v>
      </c>
      <c r="J17" s="57">
        <f>'CF Assumptions'!J12</f>
        <v>0</v>
      </c>
      <c r="K17" s="57">
        <f>'CF Assumptions'!K12</f>
        <v>0</v>
      </c>
      <c r="L17" s="57">
        <f>'CF Assumptions'!L12</f>
        <v>0</v>
      </c>
      <c r="M17" s="57">
        <f>'CF Assumptions'!M12</f>
        <v>0</v>
      </c>
      <c r="N17" s="57">
        <f>'CF Assumptions'!N12</f>
        <v>0</v>
      </c>
      <c r="O17" s="57">
        <f>'CF Assumptions'!O12</f>
        <v>0</v>
      </c>
      <c r="P17" s="57">
        <f>'CF Assumptions'!P12</f>
        <v>0</v>
      </c>
      <c r="Q17" s="57">
        <f>'CF Assumptions'!Q12</f>
        <v>0</v>
      </c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32"/>
      <c r="B18" s="32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 t="s">
        <v>180</v>
      </c>
      <c r="B19" s="67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69" t="s">
        <v>181</v>
      </c>
      <c r="B20" s="55"/>
      <c r="C20" s="31">
        <v>-181.0</v>
      </c>
      <c r="D20" s="31">
        <v>-138.0</v>
      </c>
      <c r="E20" s="31">
        <v>139.0</v>
      </c>
      <c r="F20" s="31">
        <v>33.0</v>
      </c>
      <c r="G20" s="31">
        <v>-170.0</v>
      </c>
      <c r="H20" s="57">
        <f>BalSht!G10-BalSht!H10</f>
        <v>-300.1585708</v>
      </c>
      <c r="I20" s="57">
        <f>BalSht!H10-BalSht!I10</f>
        <v>-78.13278111</v>
      </c>
      <c r="J20" s="57">
        <f>BalSht!I10-BalSht!J10</f>
        <v>-88.14066973</v>
      </c>
      <c r="K20" s="57">
        <f>BalSht!J10-BalSht!K10</f>
        <v>-88.68922432</v>
      </c>
      <c r="L20" s="57">
        <f>BalSht!K10-BalSht!L10</f>
        <v>-91.74694497</v>
      </c>
      <c r="M20" s="57">
        <f>BalSht!L10-BalSht!M10</f>
        <v>-94.91008604</v>
      </c>
      <c r="N20" s="57">
        <f>BalSht!M10-BalSht!N10</f>
        <v>-98.1822821</v>
      </c>
      <c r="O20" s="57">
        <f>BalSht!N10-BalSht!O10</f>
        <v>-101.567293</v>
      </c>
      <c r="P20" s="57">
        <f>BalSht!O10-BalSht!P10</f>
        <v>-105.0690083</v>
      </c>
      <c r="Q20" s="57">
        <f>BalSht!P10-BalSht!Q10</f>
        <v>-108.6914514</v>
      </c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69" t="s">
        <v>182</v>
      </c>
      <c r="B21" s="55"/>
      <c r="C21" s="31">
        <v>-546.0</v>
      </c>
      <c r="D21" s="31">
        <v>-769.0</v>
      </c>
      <c r="E21" s="31">
        <v>-84.0</v>
      </c>
      <c r="F21" s="31">
        <v>-1244.0</v>
      </c>
      <c r="G21" s="31">
        <v>-593.0</v>
      </c>
      <c r="H21" s="57">
        <f>BalSht!G11-BalSht!H11</f>
        <v>-2005.152909</v>
      </c>
      <c r="I21" s="57">
        <f>BalSht!H11-BalSht!I11</f>
        <v>-588.7771769</v>
      </c>
      <c r="J21" s="57">
        <f>BalSht!I11-BalSht!J11</f>
        <v>-580.7520284</v>
      </c>
      <c r="K21" s="57">
        <f>BalSht!J11-BalSht!K11</f>
        <v>-554.9318751</v>
      </c>
      <c r="L21" s="57">
        <f>BalSht!K11-BalSht!L11</f>
        <v>-600.8590538</v>
      </c>
      <c r="M21" s="57">
        <f>BalSht!L11-BalSht!M11</f>
        <v>-620.5849747</v>
      </c>
      <c r="N21" s="57">
        <f>BalSht!M11-BalSht!N11</f>
        <v>-640.9568578</v>
      </c>
      <c r="O21" s="57">
        <f>BalSht!N11-BalSht!O11</f>
        <v>-693.7771593</v>
      </c>
      <c r="P21" s="57">
        <f>BalSht!O11-BalSht!P11</f>
        <v>-717.6963756</v>
      </c>
      <c r="Q21" s="57">
        <f>BalSht!P11-BalSht!Q11</f>
        <v>-749.2423657</v>
      </c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70" t="s">
        <v>183</v>
      </c>
      <c r="B22" s="55"/>
      <c r="C22" s="31">
        <v>888.0</v>
      </c>
      <c r="D22" s="31">
        <v>446.0</v>
      </c>
      <c r="E22" s="31">
        <v>352.0</v>
      </c>
      <c r="F22" s="31">
        <v>743.0</v>
      </c>
      <c r="G22" s="31">
        <v>68.0</v>
      </c>
      <c r="H22" s="57">
        <f>(BalSht!H24+BalSht!H25+BalSht!H26+BalSht!H27+BalSht!H39)-(BalSht!G24+BalSht!G25+BalSht!G26+BalSht!G27+BalSht!G39)</f>
        <v>2102.079285</v>
      </c>
      <c r="I22" s="57">
        <f>(BalSht!I24+BalSht!I25+BalSht!I26+BalSht!I27+BalSht!I39)-(BalSht!H24+BalSht!H25+BalSht!H26+BalSht!H27+BalSht!H39)</f>
        <v>395.4352008</v>
      </c>
      <c r="J22" s="57">
        <f>(BalSht!J24+BalSht!J25+BalSht!J26+BalSht!J27+BalSht!J39)-(BalSht!I24+BalSht!I25+BalSht!I26+BalSht!I27+BalSht!I39)</f>
        <v>571.3739627</v>
      </c>
      <c r="K22" s="57">
        <f>(BalSht!K24+BalSht!K25+BalSht!K26+BalSht!K27+BalSht!K39)-(BalSht!J24+BalSht!J25+BalSht!J26+BalSht!J27+BalSht!J39)</f>
        <v>557.3086327</v>
      </c>
      <c r="L22" s="57">
        <f>(BalSht!L24+BalSht!L25+BalSht!L26+BalSht!L27+BalSht!L39)-(BalSht!K24+BalSht!K25+BalSht!K26+BalSht!K27+BalSht!K39)</f>
        <v>598.5992065</v>
      </c>
      <c r="M22" s="57">
        <f>(BalSht!M24+BalSht!M25+BalSht!M26+BalSht!M27+BalSht!M39)-(BalSht!L24+BalSht!L25+BalSht!L26+BalSht!L27+BalSht!L39)</f>
        <v>615.7394329</v>
      </c>
      <c r="N22" s="57">
        <f>(BalSht!N24+BalSht!N25+BalSht!N26+BalSht!N27+BalSht!N39)-(BalSht!M24+BalSht!M25+BalSht!M26+BalSht!M27+BalSht!M39)</f>
        <v>636.4174964</v>
      </c>
      <c r="O22" s="57">
        <f>(BalSht!O24+BalSht!O25+BalSht!O26+BalSht!O27+BalSht!O39)-(BalSht!N24+BalSht!N25+BalSht!N26+BalSht!N27+BalSht!N39)</f>
        <v>678.1643888</v>
      </c>
      <c r="P22" s="57">
        <f>(BalSht!P24+BalSht!P25+BalSht!P26+BalSht!P27+BalSht!P39)-(BalSht!O24+BalSht!O25+BalSht!O26+BalSht!O27+BalSht!O39)</f>
        <v>698.2626851</v>
      </c>
      <c r="Q22" s="57">
        <f>(BalSht!Q24+BalSht!Q25+BalSht!Q26+BalSht!Q27+BalSht!Q39)-(BalSht!P24+BalSht!P25+BalSht!P26+BalSht!P27+BalSht!P39)</f>
        <v>726.6973564</v>
      </c>
      <c r="R22" s="1" t="s">
        <v>184</v>
      </c>
      <c r="S22" s="1"/>
      <c r="T22" s="1"/>
      <c r="U22" s="1"/>
      <c r="V22" s="1"/>
      <c r="W22" s="1"/>
      <c r="X22" s="1"/>
      <c r="Y22" s="1"/>
      <c r="Z22" s="1"/>
    </row>
    <row r="23" ht="13.5" customHeight="1">
      <c r="A23" s="70" t="s">
        <v>185</v>
      </c>
      <c r="B23" s="55"/>
      <c r="C23" s="31">
        <v>154.0</v>
      </c>
      <c r="D23" s="31">
        <v>109.0</v>
      </c>
      <c r="E23" s="31">
        <v>29.0</v>
      </c>
      <c r="F23" s="31">
        <v>-42.0</v>
      </c>
      <c r="G23" s="31">
        <v>44.0</v>
      </c>
      <c r="H23" s="57">
        <f>BalSht!H31-BalSht!G31</f>
        <v>-55</v>
      </c>
      <c r="I23" s="57">
        <f>BalSht!I31-BalSht!H31</f>
        <v>0</v>
      </c>
      <c r="J23" s="57">
        <f>BalSht!J31-BalSht!I31</f>
        <v>0</v>
      </c>
      <c r="K23" s="57">
        <f>BalSht!K31-BalSht!J31</f>
        <v>0</v>
      </c>
      <c r="L23" s="57">
        <f>BalSht!L31-BalSht!K31</f>
        <v>0</v>
      </c>
      <c r="M23" s="57">
        <f>BalSht!M31-BalSht!L31</f>
        <v>0</v>
      </c>
      <c r="N23" s="57">
        <f>BalSht!N31-BalSht!M31</f>
        <v>0</v>
      </c>
      <c r="O23" s="57">
        <f>BalSht!O31-BalSht!N31</f>
        <v>0</v>
      </c>
      <c r="P23" s="57">
        <f>BalSht!P31-BalSht!O31</f>
        <v>0</v>
      </c>
      <c r="Q23" s="57">
        <f>BalSht!Q31-BalSht!P31</f>
        <v>0</v>
      </c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186</v>
      </c>
      <c r="B24" s="55"/>
      <c r="C24" s="31">
        <v>15.0</v>
      </c>
      <c r="D24" s="31">
        <v>0.0</v>
      </c>
      <c r="E24" s="31">
        <v>0.0</v>
      </c>
      <c r="F24" s="31">
        <v>0.0</v>
      </c>
      <c r="G24" s="31">
        <v>0.0</v>
      </c>
      <c r="H24" s="14">
        <v>0.0</v>
      </c>
      <c r="I24" s="14">
        <v>0.0</v>
      </c>
      <c r="J24" s="14">
        <v>0.0</v>
      </c>
      <c r="K24" s="14">
        <v>0.0</v>
      </c>
      <c r="L24" s="14">
        <v>0.0</v>
      </c>
      <c r="M24" s="14">
        <v>0.0</v>
      </c>
      <c r="N24" s="14">
        <v>0.0</v>
      </c>
      <c r="O24" s="14">
        <v>0.0</v>
      </c>
      <c r="P24" s="14">
        <v>0.0</v>
      </c>
      <c r="Q24" s="14">
        <v>0.0</v>
      </c>
      <c r="R24" s="1" t="s">
        <v>187</v>
      </c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188</v>
      </c>
      <c r="B25" s="55"/>
      <c r="C25" s="31">
        <v>0.0</v>
      </c>
      <c r="D25" s="31">
        <v>-117.0</v>
      </c>
      <c r="E25" s="31">
        <v>92.0</v>
      </c>
      <c r="F25" s="31">
        <v>26.0</v>
      </c>
      <c r="G25" s="31">
        <v>202.0</v>
      </c>
      <c r="H25" s="57">
        <f>BalSht!H38-BalSht!G38</f>
        <v>-78.6800869</v>
      </c>
      <c r="I25" s="57">
        <f>BalSht!I38-BalSht!H38</f>
        <v>20.37033222</v>
      </c>
      <c r="J25" s="57">
        <f>BalSht!J38-BalSht!I38</f>
        <v>22.97953175</v>
      </c>
      <c r="K25" s="57">
        <f>BalSht!K38-BalSht!J38</f>
        <v>23.12254777</v>
      </c>
      <c r="L25" s="57">
        <f>BalSht!L38-BalSht!K38</f>
        <v>23.91973922</v>
      </c>
      <c r="M25" s="57">
        <f>BalSht!M38-BalSht!L38</f>
        <v>24.74441529</v>
      </c>
      <c r="N25" s="57">
        <f>BalSht!N38-BalSht!M38</f>
        <v>25.59752355</v>
      </c>
      <c r="O25" s="57">
        <f>BalSht!O38-BalSht!N38</f>
        <v>26.48004425</v>
      </c>
      <c r="P25" s="57">
        <f>BalSht!P38-BalSht!O38</f>
        <v>27.39299144</v>
      </c>
      <c r="Q25" s="57">
        <f>BalSht!Q38-BalSht!P38</f>
        <v>28.33741412</v>
      </c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189</v>
      </c>
      <c r="B26" s="55"/>
      <c r="C26" s="31">
        <v>109.0</v>
      </c>
      <c r="D26" s="31">
        <v>99.0</v>
      </c>
      <c r="E26" s="31">
        <v>128.0</v>
      </c>
      <c r="F26" s="31">
        <v>80.0</v>
      </c>
      <c r="G26" s="31">
        <v>334.0</v>
      </c>
      <c r="H26" s="57">
        <f>BalSht!H32-BalSht!G32</f>
        <v>142.3516871</v>
      </c>
      <c r="I26" s="57">
        <f>BalSht!I32-BalSht!H32</f>
        <v>73.33319599</v>
      </c>
      <c r="J26" s="57">
        <f>BalSht!J32-BalSht!I32</f>
        <v>82.72631431</v>
      </c>
      <c r="K26" s="57">
        <f>BalSht!K32-BalSht!J32</f>
        <v>83.24117197</v>
      </c>
      <c r="L26" s="57">
        <f>BalSht!L32-BalSht!K32</f>
        <v>86.11106121</v>
      </c>
      <c r="M26" s="57">
        <f>BalSht!M32-BalSht!L32</f>
        <v>89.07989504</v>
      </c>
      <c r="N26" s="57">
        <f>BalSht!N32-BalSht!M32</f>
        <v>92.15108477</v>
      </c>
      <c r="O26" s="57">
        <f>BalSht!O32-BalSht!N32</f>
        <v>95.32815929</v>
      </c>
      <c r="P26" s="57">
        <f>BalSht!P32-BalSht!O32</f>
        <v>98.61476917</v>
      </c>
      <c r="Q26" s="57">
        <f>BalSht!Q32-BalSht!P32</f>
        <v>102.0146908</v>
      </c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69" t="s">
        <v>190</v>
      </c>
      <c r="B27" s="55"/>
      <c r="C27" s="71">
        <v>-5.0</v>
      </c>
      <c r="D27" s="71">
        <v>-48.0</v>
      </c>
      <c r="E27" s="71">
        <v>-10.0</v>
      </c>
      <c r="F27" s="71">
        <v>-257.0</v>
      </c>
      <c r="G27" s="71">
        <v>-135.0</v>
      </c>
      <c r="H27" s="59">
        <f>BalSht!G12-BalSht!H12</f>
        <v>36.28813905</v>
      </c>
      <c r="I27" s="59">
        <f>BalSht!H12-BalSht!I12</f>
        <v>-32.59253155</v>
      </c>
      <c r="J27" s="59">
        <f>BalSht!I12-BalSht!J12</f>
        <v>-36.7672508</v>
      </c>
      <c r="K27" s="59">
        <f>BalSht!J12-BalSht!K12</f>
        <v>-36.99607643</v>
      </c>
      <c r="L27" s="59">
        <f>BalSht!K12-BalSht!L12</f>
        <v>-38.27158276</v>
      </c>
      <c r="M27" s="59">
        <f>BalSht!L12-BalSht!M12</f>
        <v>-39.59106446</v>
      </c>
      <c r="N27" s="59">
        <f>BalSht!M12-BalSht!N12</f>
        <v>-40.95603768</v>
      </c>
      <c r="O27" s="59">
        <f>BalSht!N12-BalSht!O12</f>
        <v>-42.3680708</v>
      </c>
      <c r="P27" s="59">
        <f>BalSht!O12-BalSht!P12</f>
        <v>-43.8287863</v>
      </c>
      <c r="Q27" s="59">
        <f>BalSht!P12-BalSht!Q12</f>
        <v>-45.3398626</v>
      </c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30" t="s">
        <v>191</v>
      </c>
      <c r="B28" s="60"/>
      <c r="C28" s="72">
        <v>9373.0</v>
      </c>
      <c r="D28" s="72">
        <v>9783.0</v>
      </c>
      <c r="E28" s="72">
        <v>12031.0</v>
      </c>
      <c r="F28" s="72">
        <v>13038.0</v>
      </c>
      <c r="G28" s="72">
        <v>13723.0</v>
      </c>
      <c r="H28" s="73">
        <f t="shared" ref="H28:Q28" si="1">SUM(H8:H27)</f>
        <v>14798.02686</v>
      </c>
      <c r="I28" s="73">
        <f t="shared" si="1"/>
        <v>15504.34735</v>
      </c>
      <c r="J28" s="73">
        <f t="shared" si="1"/>
        <v>16799.19732</v>
      </c>
      <c r="K28" s="73">
        <f t="shared" si="1"/>
        <v>17867.08795</v>
      </c>
      <c r="L28" s="73">
        <f t="shared" si="1"/>
        <v>18863.00483</v>
      </c>
      <c r="M28" s="73">
        <f t="shared" si="1"/>
        <v>19799.64506</v>
      </c>
      <c r="N28" s="73">
        <f t="shared" si="1"/>
        <v>20781.31504</v>
      </c>
      <c r="O28" s="73">
        <f t="shared" si="1"/>
        <v>21677.0295</v>
      </c>
      <c r="P28" s="73">
        <f t="shared" si="1"/>
        <v>22497.20543</v>
      </c>
      <c r="Q28" s="73">
        <f t="shared" si="1"/>
        <v>23323.68203</v>
      </c>
      <c r="R28" s="1"/>
      <c r="S28" s="21"/>
      <c r="T28" s="1"/>
      <c r="U28" s="1"/>
      <c r="V28" s="1"/>
      <c r="W28" s="1"/>
      <c r="X28" s="1"/>
      <c r="Y28" s="1"/>
      <c r="Z28" s="1"/>
    </row>
    <row r="29" ht="13.5" customHeight="1">
      <c r="A29" s="21"/>
      <c r="B29" s="21"/>
      <c r="C29" s="74"/>
      <c r="D29" s="74"/>
      <c r="E29" s="74"/>
      <c r="F29" s="74"/>
      <c r="G29" s="7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"/>
      <c r="S29" s="21"/>
      <c r="T29" s="1"/>
      <c r="U29" s="1"/>
      <c r="V29" s="1"/>
      <c r="W29" s="1"/>
      <c r="X29" s="1"/>
      <c r="Y29" s="1"/>
      <c r="Z29" s="1"/>
    </row>
    <row r="30" ht="13.5" customHeight="1">
      <c r="A30" s="30" t="s">
        <v>100</v>
      </c>
      <c r="B30" s="21"/>
      <c r="C30" s="74"/>
      <c r="D30" s="74"/>
      <c r="E30" s="74"/>
      <c r="F30" s="74"/>
      <c r="G30" s="7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"/>
      <c r="S30" s="21"/>
      <c r="T30" s="1"/>
      <c r="U30" s="1"/>
      <c r="V30" s="1"/>
      <c r="W30" s="1"/>
      <c r="X30" s="1"/>
      <c r="Y30" s="1"/>
      <c r="Z30" s="1"/>
    </row>
    <row r="31" ht="13.5" customHeight="1">
      <c r="A31" s="21" t="s">
        <v>192</v>
      </c>
      <c r="B31" s="55"/>
      <c r="C31" s="31">
        <v>-1503.0</v>
      </c>
      <c r="D31" s="31">
        <v>-1621.0</v>
      </c>
      <c r="E31" s="31">
        <v>-1897.0</v>
      </c>
      <c r="F31" s="31">
        <v>-2442.0</v>
      </c>
      <c r="G31" s="31">
        <v>-2678.0</v>
      </c>
      <c r="H31" s="57">
        <f>-'BS Assumptions'!H27</f>
        <v>-5767.260194</v>
      </c>
      <c r="I31" s="57">
        <f>-'BS Assumptions'!I27</f>
        <v>-3556.10396</v>
      </c>
      <c r="J31" s="57">
        <f>-'BS Assumptions'!J27</f>
        <v>-3854.986594</v>
      </c>
      <c r="K31" s="57">
        <f>-'BS Assumptions'!K27</f>
        <v>-4067.094611</v>
      </c>
      <c r="L31" s="57">
        <f>-'BS Assumptions'!L27</f>
        <v>-4317.802612</v>
      </c>
      <c r="M31" s="57">
        <f>-'BS Assumptions'!M27</f>
        <v>-4583.06265</v>
      </c>
      <c r="N31" s="57">
        <f>-'BS Assumptions'!N27</f>
        <v>-4863.692391</v>
      </c>
      <c r="O31" s="57">
        <f>-'BS Assumptions'!O27</f>
        <v>-5160.554589</v>
      </c>
      <c r="P31" s="57">
        <f>-'BS Assumptions'!P27</f>
        <v>-5474.559542</v>
      </c>
      <c r="Q31" s="57">
        <f>-'BS Assumptions'!Q27</f>
        <v>-5806.667682</v>
      </c>
      <c r="R31" s="1"/>
      <c r="S31" s="21"/>
      <c r="T31" s="1"/>
      <c r="U31" s="1"/>
      <c r="V31" s="1"/>
      <c r="W31" s="1"/>
      <c r="X31" s="1"/>
      <c r="Y31" s="1"/>
      <c r="Z31" s="1"/>
    </row>
    <row r="32" ht="13.5" customHeight="1">
      <c r="A32" s="21" t="s">
        <v>101</v>
      </c>
      <c r="B32" s="55"/>
      <c r="C32" s="31">
        <v>43.0</v>
      </c>
      <c r="D32" s="31">
        <v>38.0</v>
      </c>
      <c r="E32" s="31">
        <v>47.0</v>
      </c>
      <c r="F32" s="31">
        <v>33.0</v>
      </c>
      <c r="G32" s="31">
        <v>37.0</v>
      </c>
      <c r="H32" s="57">
        <f>'CF Assumptions'!H16</f>
        <v>0</v>
      </c>
      <c r="I32" s="57">
        <f>'CF Assumptions'!I16</f>
        <v>0</v>
      </c>
      <c r="J32" s="57">
        <f>'CF Assumptions'!J16</f>
        <v>0</v>
      </c>
      <c r="K32" s="57">
        <f>'CF Assumptions'!K16</f>
        <v>0</v>
      </c>
      <c r="L32" s="57">
        <f>'CF Assumptions'!L16</f>
        <v>0</v>
      </c>
      <c r="M32" s="57">
        <f>'CF Assumptions'!M16</f>
        <v>0</v>
      </c>
      <c r="N32" s="57">
        <f>'CF Assumptions'!N16</f>
        <v>0</v>
      </c>
      <c r="O32" s="57">
        <f>'CF Assumptions'!O16</f>
        <v>0</v>
      </c>
      <c r="P32" s="57">
        <f>'CF Assumptions'!P16</f>
        <v>0</v>
      </c>
      <c r="Q32" s="57">
        <f>'CF Assumptions'!Q16</f>
        <v>0</v>
      </c>
      <c r="R32" s="1"/>
      <c r="S32" s="21"/>
      <c r="T32" s="1"/>
      <c r="U32" s="1"/>
      <c r="V32" s="1"/>
      <c r="W32" s="1"/>
      <c r="X32" s="1"/>
      <c r="Y32" s="1"/>
      <c r="Z32" s="1"/>
    </row>
    <row r="33" ht="13.5" customHeight="1">
      <c r="A33" s="21" t="s">
        <v>102</v>
      </c>
      <c r="B33" s="55"/>
      <c r="C33" s="31">
        <v>-1666.0</v>
      </c>
      <c r="D33" s="31">
        <v>0.0</v>
      </c>
      <c r="E33" s="31">
        <v>-374.0</v>
      </c>
      <c r="F33" s="31">
        <v>-21.0</v>
      </c>
      <c r="G33" s="31">
        <v>0.0</v>
      </c>
      <c r="H33" s="57">
        <f>'CF Assumptions'!H17</f>
        <v>0</v>
      </c>
      <c r="I33" s="57">
        <f>'CF Assumptions'!I17</f>
        <v>0</v>
      </c>
      <c r="J33" s="57">
        <f>'CF Assumptions'!J17</f>
        <v>0</v>
      </c>
      <c r="K33" s="57">
        <f>'CF Assumptions'!K17</f>
        <v>0</v>
      </c>
      <c r="L33" s="57">
        <f>'CF Assumptions'!L17</f>
        <v>0</v>
      </c>
      <c r="M33" s="57">
        <f>'CF Assumptions'!M17</f>
        <v>0</v>
      </c>
      <c r="N33" s="57">
        <f>'CF Assumptions'!N17</f>
        <v>0</v>
      </c>
      <c r="O33" s="57">
        <f>'CF Assumptions'!O17</f>
        <v>0</v>
      </c>
      <c r="P33" s="57">
        <f>'CF Assumptions'!P17</f>
        <v>0</v>
      </c>
      <c r="Q33" s="57">
        <f>'CF Assumptions'!Q17</f>
        <v>0</v>
      </c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21" t="s">
        <v>193</v>
      </c>
      <c r="B34" s="55"/>
      <c r="C34" s="31">
        <v>144.0</v>
      </c>
      <c r="D34" s="31">
        <v>0.0</v>
      </c>
      <c r="E34" s="31">
        <v>0.0</v>
      </c>
      <c r="F34" s="31">
        <v>0.0</v>
      </c>
      <c r="G34" s="31">
        <v>0.0</v>
      </c>
      <c r="H34" s="57">
        <f>'CF Assumptions'!H18</f>
        <v>0</v>
      </c>
      <c r="I34" s="57">
        <f>'CF Assumptions'!I18</f>
        <v>0</v>
      </c>
      <c r="J34" s="57">
        <f>'CF Assumptions'!J18</f>
        <v>0</v>
      </c>
      <c r="K34" s="57">
        <f>'CF Assumptions'!K18</f>
        <v>0</v>
      </c>
      <c r="L34" s="57">
        <f>'CF Assumptions'!L18</f>
        <v>0</v>
      </c>
      <c r="M34" s="57">
        <f>'CF Assumptions'!M18</f>
        <v>0</v>
      </c>
      <c r="N34" s="57">
        <f>'CF Assumptions'!N18</f>
        <v>0</v>
      </c>
      <c r="O34" s="57">
        <f>'CF Assumptions'!O18</f>
        <v>0</v>
      </c>
      <c r="P34" s="57">
        <f>'CF Assumptions'!P18</f>
        <v>0</v>
      </c>
      <c r="Q34" s="57">
        <f>'CF Assumptions'!Q18</f>
        <v>0</v>
      </c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21" t="s">
        <v>104</v>
      </c>
      <c r="B35" s="55"/>
      <c r="C35" s="71">
        <v>0.0</v>
      </c>
      <c r="D35" s="71">
        <v>0.0</v>
      </c>
      <c r="E35" s="71">
        <v>-4.0</v>
      </c>
      <c r="F35" s="71">
        <v>14.0</v>
      </c>
      <c r="G35" s="71">
        <v>-12.0</v>
      </c>
      <c r="H35" s="59">
        <f>BalSht!G19-BalSht!H19</f>
        <v>-447.6398262</v>
      </c>
      <c r="I35" s="59">
        <f>BalSht!H19-BalSht!I19</f>
        <v>-40.74066444</v>
      </c>
      <c r="J35" s="59">
        <f>BalSht!I19-BalSht!J19</f>
        <v>-45.9590635</v>
      </c>
      <c r="K35" s="59">
        <f>BalSht!J19-BalSht!K19</f>
        <v>-46.24509554</v>
      </c>
      <c r="L35" s="59">
        <f>BalSht!K19-BalSht!L19</f>
        <v>-47.83947845</v>
      </c>
      <c r="M35" s="59">
        <f>BalSht!L19-BalSht!M19</f>
        <v>-49.48883058</v>
      </c>
      <c r="N35" s="59">
        <f>BalSht!M19-BalSht!N19</f>
        <v>-51.19504709</v>
      </c>
      <c r="O35" s="59">
        <f>BalSht!N19-BalSht!O19</f>
        <v>-52.96008849</v>
      </c>
      <c r="P35" s="59">
        <f>BalSht!O19-BalSht!P19</f>
        <v>-54.78598287</v>
      </c>
      <c r="Q35" s="59">
        <f>BalSht!P19-BalSht!Q19</f>
        <v>-56.67482825</v>
      </c>
      <c r="R35" s="1" t="s">
        <v>194</v>
      </c>
      <c r="S35" s="1"/>
      <c r="T35" s="1"/>
      <c r="U35" s="1"/>
      <c r="V35" s="1"/>
      <c r="W35" s="1"/>
      <c r="X35" s="1"/>
      <c r="Y35" s="1"/>
      <c r="Z35" s="1"/>
    </row>
    <row r="36" ht="13.5" customHeight="1">
      <c r="A36" s="30" t="s">
        <v>195</v>
      </c>
      <c r="B36" s="60"/>
      <c r="C36" s="72">
        <v>-2982.0</v>
      </c>
      <c r="D36" s="72">
        <v>-1583.0</v>
      </c>
      <c r="E36" s="72">
        <v>-2228.0</v>
      </c>
      <c r="F36" s="72">
        <v>-2416.0</v>
      </c>
      <c r="G36" s="72">
        <v>-2653.0</v>
      </c>
      <c r="H36" s="73">
        <f t="shared" ref="H36:Q36" si="2">SUM(H31:H35)</f>
        <v>-6214.90002</v>
      </c>
      <c r="I36" s="73">
        <f t="shared" si="2"/>
        <v>-3596.844624</v>
      </c>
      <c r="J36" s="73">
        <f t="shared" si="2"/>
        <v>-3900.945658</v>
      </c>
      <c r="K36" s="73">
        <f t="shared" si="2"/>
        <v>-4113.339706</v>
      </c>
      <c r="L36" s="73">
        <f t="shared" si="2"/>
        <v>-4365.64209</v>
      </c>
      <c r="M36" s="73">
        <f t="shared" si="2"/>
        <v>-4632.55148</v>
      </c>
      <c r="N36" s="73">
        <f t="shared" si="2"/>
        <v>-4914.887438</v>
      </c>
      <c r="O36" s="73">
        <f t="shared" si="2"/>
        <v>-5213.514678</v>
      </c>
      <c r="P36" s="73">
        <f t="shared" si="2"/>
        <v>-5529.345524</v>
      </c>
      <c r="Q36" s="73">
        <f t="shared" si="2"/>
        <v>-5863.34251</v>
      </c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21"/>
      <c r="B37" s="21"/>
      <c r="C37" s="74"/>
      <c r="D37" s="74"/>
      <c r="E37" s="74"/>
      <c r="F37" s="74"/>
      <c r="G37" s="7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30" t="s">
        <v>105</v>
      </c>
      <c r="B38" s="21"/>
      <c r="C38" s="74"/>
      <c r="D38" s="74"/>
      <c r="E38" s="74"/>
      <c r="F38" s="74"/>
      <c r="G38" s="7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21" t="s">
        <v>106</v>
      </c>
      <c r="B39" s="55"/>
      <c r="C39" s="31">
        <v>-39.0</v>
      </c>
      <c r="D39" s="31">
        <v>-3045.0</v>
      </c>
      <c r="E39" s="31">
        <v>-543.0</v>
      </c>
      <c r="F39" s="31">
        <v>-1209.0</v>
      </c>
      <c r="G39" s="31">
        <v>-1070.0</v>
      </c>
      <c r="H39" s="57">
        <f>'CF Assumptions'!H22</f>
        <v>0</v>
      </c>
      <c r="I39" s="57">
        <f>'CF Assumptions'!I22</f>
        <v>0</v>
      </c>
      <c r="J39" s="57">
        <f>'CF Assumptions'!J22</f>
        <v>0</v>
      </c>
      <c r="K39" s="57">
        <f>'CF Assumptions'!K22</f>
        <v>0</v>
      </c>
      <c r="L39" s="57">
        <f>'CF Assumptions'!L22</f>
        <v>0</v>
      </c>
      <c r="M39" s="57">
        <f>'CF Assumptions'!M22</f>
        <v>0</v>
      </c>
      <c r="N39" s="57">
        <f>'CF Assumptions'!N22</f>
        <v>0</v>
      </c>
      <c r="O39" s="57">
        <f>'CF Assumptions'!O22</f>
        <v>0</v>
      </c>
      <c r="P39" s="57">
        <f>'CF Assumptions'!P22</f>
        <v>0</v>
      </c>
      <c r="Q39" s="57">
        <f>'CF Assumptions'!Q22</f>
        <v>0</v>
      </c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21" t="s">
        <v>107</v>
      </c>
      <c r="B40" s="55"/>
      <c r="C40" s="31">
        <v>3991.0</v>
      </c>
      <c r="D40" s="31">
        <v>4959.0</v>
      </c>
      <c r="E40" s="31">
        <v>0.0</v>
      </c>
      <c r="F40" s="31">
        <v>0.0</v>
      </c>
      <c r="G40" s="31">
        <v>0.0</v>
      </c>
      <c r="H40" s="57">
        <f>'CF Assumptions'!H23</f>
        <v>0</v>
      </c>
      <c r="I40" s="57">
        <f>'CF Assumptions'!I23</f>
        <v>0</v>
      </c>
      <c r="J40" s="57">
        <f>'CF Assumptions'!J23</f>
        <v>0</v>
      </c>
      <c r="K40" s="57">
        <f>'CF Assumptions'!K23</f>
        <v>0</v>
      </c>
      <c r="L40" s="57">
        <f>'CF Assumptions'!L23</f>
        <v>0</v>
      </c>
      <c r="M40" s="57">
        <f>'CF Assumptions'!M23</f>
        <v>0</v>
      </c>
      <c r="N40" s="57">
        <f>'CF Assumptions'!N23</f>
        <v>0</v>
      </c>
      <c r="O40" s="57">
        <f>'CF Assumptions'!O23</f>
        <v>0</v>
      </c>
      <c r="P40" s="57">
        <f>'CF Assumptions'!P23</f>
        <v>0</v>
      </c>
      <c r="Q40" s="57">
        <f>'CF Assumptions'!Q23</f>
        <v>0</v>
      </c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21" t="s">
        <v>108</v>
      </c>
      <c r="B41" s="55"/>
      <c r="C41" s="31">
        <v>0.0</v>
      </c>
      <c r="D41" s="31">
        <v>0.0</v>
      </c>
      <c r="E41" s="31">
        <v>2991.0</v>
      </c>
      <c r="F41" s="31">
        <v>3466.0</v>
      </c>
      <c r="G41" s="31">
        <v>3420.0</v>
      </c>
      <c r="H41" s="57">
        <f>'CF Assumptions'!H24</f>
        <v>0</v>
      </c>
      <c r="I41" s="57">
        <f>'CF Assumptions'!I24</f>
        <v>0</v>
      </c>
      <c r="J41" s="57">
        <f>'CF Assumptions'!J24</f>
        <v>0</v>
      </c>
      <c r="K41" s="57">
        <f>'CF Assumptions'!K24</f>
        <v>0</v>
      </c>
      <c r="L41" s="57">
        <f>'CF Assumptions'!L24</f>
        <v>0</v>
      </c>
      <c r="M41" s="57">
        <f>'CF Assumptions'!M24</f>
        <v>0</v>
      </c>
      <c r="N41" s="57">
        <f>'CF Assumptions'!N24</f>
        <v>0</v>
      </c>
      <c r="O41" s="57">
        <f>'CF Assumptions'!O24</f>
        <v>0</v>
      </c>
      <c r="P41" s="57">
        <f>'CF Assumptions'!P24</f>
        <v>0</v>
      </c>
      <c r="Q41" s="57">
        <f>'CF Assumptions'!Q24</f>
        <v>0</v>
      </c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21" t="s">
        <v>109</v>
      </c>
      <c r="B42" s="55"/>
      <c r="C42" s="31">
        <v>60.0</v>
      </c>
      <c r="D42" s="31">
        <v>360.0</v>
      </c>
      <c r="E42" s="31">
        <v>850.0</v>
      </c>
      <c r="F42" s="31">
        <v>-220.0</v>
      </c>
      <c r="G42" s="31">
        <v>-365.0</v>
      </c>
      <c r="H42" s="57">
        <f>'CF Assumptions'!H25</f>
        <v>0</v>
      </c>
      <c r="I42" s="57">
        <f>'CF Assumptions'!I25</f>
        <v>0</v>
      </c>
      <c r="J42" s="57">
        <f>'CF Assumptions'!J25</f>
        <v>0</v>
      </c>
      <c r="K42" s="57">
        <f>'CF Assumptions'!K25</f>
        <v>0</v>
      </c>
      <c r="L42" s="57">
        <f>'CF Assumptions'!L25</f>
        <v>0</v>
      </c>
      <c r="M42" s="57">
        <f>'CF Assumptions'!M25</f>
        <v>0</v>
      </c>
      <c r="N42" s="57">
        <f>'CF Assumptions'!N25</f>
        <v>0</v>
      </c>
      <c r="O42" s="57">
        <f>'CF Assumptions'!O25</f>
        <v>0</v>
      </c>
      <c r="P42" s="57">
        <f>'CF Assumptions'!P25</f>
        <v>0</v>
      </c>
      <c r="Q42" s="57">
        <f>'CF Assumptions'!Q25</f>
        <v>0</v>
      </c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21" t="s">
        <v>110</v>
      </c>
      <c r="B43" s="55"/>
      <c r="C43" s="31">
        <v>228.0</v>
      </c>
      <c r="D43" s="31">
        <v>218.0</v>
      </c>
      <c r="E43" s="31">
        <v>255.0</v>
      </c>
      <c r="F43" s="31">
        <v>236.0</v>
      </c>
      <c r="G43" s="31">
        <v>280.0</v>
      </c>
      <c r="H43" s="57">
        <f>'CF Assumptions'!H26</f>
        <v>0</v>
      </c>
      <c r="I43" s="57">
        <f>'CF Assumptions'!I26</f>
        <v>0</v>
      </c>
      <c r="J43" s="57">
        <f>'CF Assumptions'!J26</f>
        <v>0</v>
      </c>
      <c r="K43" s="57">
        <f>'CF Assumptions'!K26</f>
        <v>0</v>
      </c>
      <c r="L43" s="57">
        <f>'CF Assumptions'!L26</f>
        <v>0</v>
      </c>
      <c r="M43" s="57">
        <f>'CF Assumptions'!M26</f>
        <v>0</v>
      </c>
      <c r="N43" s="57">
        <f>'CF Assumptions'!N26</f>
        <v>0</v>
      </c>
      <c r="O43" s="57">
        <f>'CF Assumptions'!O26</f>
        <v>0</v>
      </c>
      <c r="P43" s="57">
        <f>'CF Assumptions'!P26</f>
        <v>0</v>
      </c>
      <c r="Q43" s="57">
        <f>'CF Assumptions'!Q26</f>
        <v>0</v>
      </c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21" t="s">
        <v>111</v>
      </c>
      <c r="B44" s="55"/>
      <c r="C44" s="31">
        <v>-7000.0</v>
      </c>
      <c r="D44" s="31">
        <v>-6880.0</v>
      </c>
      <c r="E44" s="31">
        <v>-8000.0</v>
      </c>
      <c r="F44" s="31">
        <v>-9963.0</v>
      </c>
      <c r="G44" s="31">
        <v>-6965.0</v>
      </c>
      <c r="H44" s="57">
        <f>'CF Assumptions'!H27</f>
        <v>0</v>
      </c>
      <c r="I44" s="57">
        <f>'CF Assumptions'!I27</f>
        <v>0</v>
      </c>
      <c r="J44" s="57">
        <f>'CF Assumptions'!J27</f>
        <v>0</v>
      </c>
      <c r="K44" s="57">
        <f>'CF Assumptions'!K27</f>
        <v>0</v>
      </c>
      <c r="L44" s="57">
        <f>'CF Assumptions'!L27</f>
        <v>0</v>
      </c>
      <c r="M44" s="57">
        <f>'CF Assumptions'!M27</f>
        <v>0</v>
      </c>
      <c r="N44" s="57">
        <f>'CF Assumptions'!N27</f>
        <v>0</v>
      </c>
      <c r="O44" s="57">
        <f>'CF Assumptions'!O27</f>
        <v>0</v>
      </c>
      <c r="P44" s="57">
        <f>'CF Assumptions'!P27</f>
        <v>0</v>
      </c>
      <c r="Q44" s="57">
        <f>'CF Assumptions'!Q27</f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21" t="s">
        <v>112</v>
      </c>
      <c r="B45" s="55"/>
      <c r="C45" s="31">
        <v>-3031.0</v>
      </c>
      <c r="D45" s="31">
        <v>-3404.0</v>
      </c>
      <c r="E45" s="31">
        <v>-4212.0</v>
      </c>
      <c r="F45" s="31">
        <v>-4704.0</v>
      </c>
      <c r="G45" s="31">
        <v>-5958.0</v>
      </c>
      <c r="H45" s="57">
        <f>'CF Assumptions'!H28</f>
        <v>0</v>
      </c>
      <c r="I45" s="57">
        <f>'CF Assumptions'!I28</f>
        <v>0</v>
      </c>
      <c r="J45" s="57">
        <f>'CF Assumptions'!J28</f>
        <v>0</v>
      </c>
      <c r="K45" s="57">
        <f>'CF Assumptions'!K28</f>
        <v>0</v>
      </c>
      <c r="L45" s="57">
        <f>'CF Assumptions'!L28</f>
        <v>0</v>
      </c>
      <c r="M45" s="57">
        <f>'CF Assumptions'!M28</f>
        <v>0</v>
      </c>
      <c r="N45" s="57">
        <f>'CF Assumptions'!N28</f>
        <v>0</v>
      </c>
      <c r="O45" s="57">
        <f>'CF Assumptions'!O28</f>
        <v>0</v>
      </c>
      <c r="P45" s="57">
        <f>'CF Assumptions'!P28</f>
        <v>0</v>
      </c>
      <c r="Q45" s="57">
        <f>'CF Assumptions'!Q28</f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21" t="s">
        <v>113</v>
      </c>
      <c r="B46" s="55"/>
      <c r="C46" s="31">
        <v>4.0</v>
      </c>
      <c r="D46" s="31">
        <v>-78.0</v>
      </c>
      <c r="E46" s="31">
        <v>-211.0</v>
      </c>
      <c r="F46" s="31">
        <v>-26.0</v>
      </c>
      <c r="G46" s="31">
        <v>-176.0</v>
      </c>
      <c r="H46" s="57">
        <f>'CF Assumptions'!H29</f>
        <v>0</v>
      </c>
      <c r="I46" s="57">
        <f>'CF Assumptions'!I29</f>
        <v>0</v>
      </c>
      <c r="J46" s="57">
        <f>'CF Assumptions'!J29</f>
        <v>0</v>
      </c>
      <c r="K46" s="57">
        <f>'CF Assumptions'!K29</f>
        <v>0</v>
      </c>
      <c r="L46" s="57">
        <f>'CF Assumptions'!L29</f>
        <v>0</v>
      </c>
      <c r="M46" s="57">
        <f>'CF Assumptions'!M29</f>
        <v>0</v>
      </c>
      <c r="N46" s="57">
        <f>'CF Assumptions'!N29</f>
        <v>0</v>
      </c>
      <c r="O46" s="57">
        <f>'CF Assumptions'!O29</f>
        <v>0</v>
      </c>
      <c r="P46" s="57">
        <f>'CF Assumptions'!P29</f>
        <v>0</v>
      </c>
      <c r="Q46" s="57">
        <f>'CF Assumptions'!Q29</f>
        <v>0</v>
      </c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21" t="s">
        <v>196</v>
      </c>
      <c r="B47" s="55"/>
      <c r="C47" s="31"/>
      <c r="D47" s="31"/>
      <c r="E47" s="31"/>
      <c r="F47" s="31"/>
      <c r="G47" s="31"/>
      <c r="H47" s="57">
        <f>'BS Assumptions'!H53</f>
        <v>0</v>
      </c>
      <c r="I47" s="57">
        <f>'BS Assumptions'!I53</f>
        <v>0</v>
      </c>
      <c r="J47" s="57">
        <f>'BS Assumptions'!J53</f>
        <v>0</v>
      </c>
      <c r="K47" s="57">
        <f>'BS Assumptions'!K53</f>
        <v>0</v>
      </c>
      <c r="L47" s="57">
        <f>'BS Assumptions'!L53</f>
        <v>0</v>
      </c>
      <c r="M47" s="57">
        <f>'BS Assumptions'!M53</f>
        <v>0</v>
      </c>
      <c r="N47" s="57">
        <f>'BS Assumptions'!N53</f>
        <v>0</v>
      </c>
      <c r="O47" s="57">
        <f>'BS Assumptions'!O53</f>
        <v>0</v>
      </c>
      <c r="P47" s="57">
        <f>'BS Assumptions'!P53</f>
        <v>0</v>
      </c>
      <c r="Q47" s="57">
        <f>'BS Assumptions'!Q53</f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21" t="s">
        <v>197</v>
      </c>
      <c r="B48" s="55"/>
      <c r="C48" s="71"/>
      <c r="D48" s="71"/>
      <c r="E48" s="71"/>
      <c r="F48" s="71"/>
      <c r="G48" s="71"/>
      <c r="H48" s="59">
        <f>-(BalSht!G44-BalSht!H44+CFStat!H8+CFStat!H15)</f>
        <v>-8206.847183</v>
      </c>
      <c r="I48" s="59">
        <f>-(BalSht!H44-BalSht!I44+CFStat!I8+CFStat!I15)</f>
        <v>-11826.02139</v>
      </c>
      <c r="J48" s="59">
        <f>-(BalSht!I44-BalSht!J44+CFStat!J8+CFStat!J15)</f>
        <v>-12806.33353</v>
      </c>
      <c r="K48" s="59">
        <f>-(BalSht!J44-BalSht!K44+CFStat!K8+CFStat!K15)</f>
        <v>-13661.25806</v>
      </c>
      <c r="L48" s="59">
        <f>-(BalSht!K44-BalSht!L44+CFStat!L8+CFStat!L15)</f>
        <v>-14401.68379</v>
      </c>
      <c r="M48" s="59">
        <f>-(BalSht!L44-BalSht!M44+CFStat!M8+CFStat!M15)</f>
        <v>-15068.11592</v>
      </c>
      <c r="N48" s="59">
        <f>-(BalSht!M44-BalSht!N44+CFStat!N8+CFStat!N15)</f>
        <v>-15764.03751</v>
      </c>
      <c r="O48" s="59">
        <f>-(BalSht!N44-BalSht!O44+CFStat!O8+CFStat!O15)</f>
        <v>-16357.59464</v>
      </c>
      <c r="P48" s="59">
        <f>-(BalSht!O44-BalSht!P44+CFStat!P8+CFStat!P15)</f>
        <v>-16858.28794</v>
      </c>
      <c r="Q48" s="59">
        <f>-(BalSht!P44-BalSht!Q44+CFStat!Q8+CFStat!Q15)</f>
        <v>-17346.98987</v>
      </c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30" t="s">
        <v>198</v>
      </c>
      <c r="B49" s="60"/>
      <c r="C49" s="72">
        <v>-5787.0</v>
      </c>
      <c r="D49" s="72">
        <v>-7870.0</v>
      </c>
      <c r="E49" s="72">
        <v>-8870.0</v>
      </c>
      <c r="F49" s="72">
        <v>-12420.0</v>
      </c>
      <c r="G49" s="72">
        <v>-10834.0</v>
      </c>
      <c r="H49" s="73">
        <f t="shared" ref="H49:Q49" si="3">SUM(H39:H48)</f>
        <v>-8206.847183</v>
      </c>
      <c r="I49" s="73">
        <f t="shared" si="3"/>
        <v>-11826.02139</v>
      </c>
      <c r="J49" s="73">
        <f t="shared" si="3"/>
        <v>-12806.33353</v>
      </c>
      <c r="K49" s="73">
        <f t="shared" si="3"/>
        <v>-13661.25806</v>
      </c>
      <c r="L49" s="73">
        <f t="shared" si="3"/>
        <v>-14401.68379</v>
      </c>
      <c r="M49" s="73">
        <f t="shared" si="3"/>
        <v>-15068.11592</v>
      </c>
      <c r="N49" s="73">
        <f t="shared" si="3"/>
        <v>-15764.03751</v>
      </c>
      <c r="O49" s="73">
        <f t="shared" si="3"/>
        <v>-16357.59464</v>
      </c>
      <c r="P49" s="73">
        <f t="shared" si="3"/>
        <v>-16858.28794</v>
      </c>
      <c r="Q49" s="73">
        <f t="shared" si="3"/>
        <v>-17346.98987</v>
      </c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 t="s">
        <v>114</v>
      </c>
      <c r="B51" s="1"/>
      <c r="C51" s="14">
        <v>-111.0</v>
      </c>
      <c r="D51" s="14">
        <v>-8.0</v>
      </c>
      <c r="E51" s="14">
        <v>124.0</v>
      </c>
      <c r="F51" s="14">
        <v>-19.0</v>
      </c>
      <c r="G51" s="14">
        <v>119.0</v>
      </c>
      <c r="H51" s="57">
        <f>'CF Assumptions'!H32</f>
        <v>0</v>
      </c>
      <c r="I51" s="57">
        <f>'CF Assumptions'!I32</f>
        <v>0</v>
      </c>
      <c r="J51" s="57">
        <f>'CF Assumptions'!J32</f>
        <v>0</v>
      </c>
      <c r="K51" s="57">
        <f>'CF Assumptions'!K32</f>
        <v>0</v>
      </c>
      <c r="L51" s="57">
        <f>'CF Assumptions'!L32</f>
        <v>0</v>
      </c>
      <c r="M51" s="57">
        <f>'CF Assumptions'!M32</f>
        <v>0</v>
      </c>
      <c r="N51" s="57">
        <f>'CF Assumptions'!N32</f>
        <v>0</v>
      </c>
      <c r="O51" s="57">
        <f>'CF Assumptions'!O32</f>
        <v>0</v>
      </c>
      <c r="P51" s="57">
        <f>'CF Assumptions'!P32</f>
        <v>0</v>
      </c>
      <c r="Q51" s="57">
        <f>'CF Assumptions'!Q32</f>
        <v>0</v>
      </c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3" t="s">
        <v>199</v>
      </c>
      <c r="B52" s="1"/>
      <c r="C52" s="75">
        <f t="shared" ref="C52:Q52" si="4">C28+C36+C49+C51</f>
        <v>493</v>
      </c>
      <c r="D52" s="75">
        <f t="shared" si="4"/>
        <v>322</v>
      </c>
      <c r="E52" s="75">
        <f t="shared" si="4"/>
        <v>1057</v>
      </c>
      <c r="F52" s="75">
        <f t="shared" si="4"/>
        <v>-1817</v>
      </c>
      <c r="G52" s="75">
        <f t="shared" si="4"/>
        <v>355</v>
      </c>
      <c r="H52" s="75">
        <f t="shared" si="4"/>
        <v>376.2796524</v>
      </c>
      <c r="I52" s="75">
        <f t="shared" si="4"/>
        <v>81.48132887</v>
      </c>
      <c r="J52" s="75">
        <f t="shared" si="4"/>
        <v>91.91812701</v>
      </c>
      <c r="K52" s="75">
        <f t="shared" si="4"/>
        <v>92.49019108</v>
      </c>
      <c r="L52" s="75">
        <f t="shared" si="4"/>
        <v>95.6789569</v>
      </c>
      <c r="M52" s="75">
        <f t="shared" si="4"/>
        <v>98.97766116</v>
      </c>
      <c r="N52" s="75">
        <f t="shared" si="4"/>
        <v>102.3900942</v>
      </c>
      <c r="O52" s="75">
        <f t="shared" si="4"/>
        <v>105.920177</v>
      </c>
      <c r="P52" s="75">
        <f t="shared" si="4"/>
        <v>109.5719657</v>
      </c>
      <c r="Q52" s="75">
        <f t="shared" si="4"/>
        <v>113.3496565</v>
      </c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67" t="s">
        <v>200</v>
      </c>
      <c r="B54" s="67"/>
      <c r="C54" s="76"/>
      <c r="D54" s="76"/>
      <c r="E54" s="76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32" t="s">
        <v>201</v>
      </c>
      <c r="B55" s="1"/>
      <c r="C55" s="14">
        <v>1723.0</v>
      </c>
      <c r="D55" s="14">
        <f t="shared" ref="D55:Q55" si="5">C56</f>
        <v>2216</v>
      </c>
      <c r="E55" s="14">
        <f t="shared" si="5"/>
        <v>2538</v>
      </c>
      <c r="F55" s="14">
        <f t="shared" si="5"/>
        <v>3595</v>
      </c>
      <c r="G55" s="14">
        <f t="shared" si="5"/>
        <v>1778</v>
      </c>
      <c r="H55" s="14">
        <f t="shared" si="5"/>
        <v>2133</v>
      </c>
      <c r="I55" s="14">
        <f t="shared" si="5"/>
        <v>2509.279652</v>
      </c>
      <c r="J55" s="14">
        <f t="shared" si="5"/>
        <v>2590.760981</v>
      </c>
      <c r="K55" s="14">
        <f t="shared" si="5"/>
        <v>2682.679108</v>
      </c>
      <c r="L55" s="14">
        <f t="shared" si="5"/>
        <v>2775.169299</v>
      </c>
      <c r="M55" s="14">
        <f t="shared" si="5"/>
        <v>2870.848256</v>
      </c>
      <c r="N55" s="14">
        <f t="shared" si="5"/>
        <v>2969.825917</v>
      </c>
      <c r="O55" s="14">
        <f t="shared" si="5"/>
        <v>3072.216012</v>
      </c>
      <c r="P55" s="14">
        <f t="shared" si="5"/>
        <v>3178.136189</v>
      </c>
      <c r="Q55" s="14">
        <f t="shared" si="5"/>
        <v>3287.708154</v>
      </c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32" t="s">
        <v>202</v>
      </c>
      <c r="B56" s="1"/>
      <c r="C56" s="14">
        <f t="shared" ref="C56:Q56" si="6">C52+C55</f>
        <v>2216</v>
      </c>
      <c r="D56" s="14">
        <f t="shared" si="6"/>
        <v>2538</v>
      </c>
      <c r="E56" s="14">
        <f t="shared" si="6"/>
        <v>3595</v>
      </c>
      <c r="F56" s="14">
        <f t="shared" si="6"/>
        <v>1778</v>
      </c>
      <c r="G56" s="14">
        <f t="shared" si="6"/>
        <v>2133</v>
      </c>
      <c r="H56" s="14">
        <f t="shared" si="6"/>
        <v>2509.279652</v>
      </c>
      <c r="I56" s="14">
        <f t="shared" si="6"/>
        <v>2590.760981</v>
      </c>
      <c r="J56" s="14">
        <f t="shared" si="6"/>
        <v>2682.679108</v>
      </c>
      <c r="K56" s="14">
        <f t="shared" si="6"/>
        <v>2775.169299</v>
      </c>
      <c r="L56" s="14">
        <f t="shared" si="6"/>
        <v>2870.848256</v>
      </c>
      <c r="M56" s="14">
        <f t="shared" si="6"/>
        <v>2969.825917</v>
      </c>
      <c r="N56" s="14">
        <f t="shared" si="6"/>
        <v>3072.216012</v>
      </c>
      <c r="O56" s="14">
        <f t="shared" si="6"/>
        <v>3178.136189</v>
      </c>
      <c r="P56" s="14">
        <f t="shared" si="6"/>
        <v>3287.708154</v>
      </c>
      <c r="Q56" s="14">
        <f t="shared" si="6"/>
        <v>3401.057811</v>
      </c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77" t="s">
        <v>203</v>
      </c>
      <c r="B57" s="65"/>
      <c r="C57" s="66">
        <f>C56-BalSht!C9</f>
        <v>0</v>
      </c>
      <c r="D57" s="66">
        <f>D56-BalSht!D9</f>
        <v>0</v>
      </c>
      <c r="E57" s="66">
        <f>E56-BalSht!E9</f>
        <v>0</v>
      </c>
      <c r="F57" s="66">
        <f>F56-BalSht!F9</f>
        <v>0</v>
      </c>
      <c r="G57" s="66">
        <f>G56-BalSht!G9</f>
        <v>0</v>
      </c>
      <c r="H57" s="66">
        <f>H56-BalSht!H9</f>
        <v>0</v>
      </c>
      <c r="I57" s="66">
        <f>I56-BalSht!I9</f>
        <v>0</v>
      </c>
      <c r="J57" s="66">
        <f>J56-BalSht!J9</f>
        <v>0</v>
      </c>
      <c r="K57" s="66">
        <f>K56-BalSht!K9</f>
        <v>0</v>
      </c>
      <c r="L57" s="66">
        <f>L56-BalSht!L9</f>
        <v>0</v>
      </c>
      <c r="M57" s="66">
        <f>M56-BalSht!M9</f>
        <v>0</v>
      </c>
      <c r="N57" s="66">
        <f>N56-BalSht!N9</f>
        <v>0</v>
      </c>
      <c r="O57" s="66">
        <f>O56-BalSht!O9</f>
        <v>0</v>
      </c>
      <c r="P57" s="66">
        <f>P56-BalSht!P9</f>
        <v>0</v>
      </c>
      <c r="Q57" s="66">
        <f>Q56-BalSht!Q9</f>
        <v>0</v>
      </c>
      <c r="R57" s="65"/>
      <c r="S57" s="65"/>
      <c r="T57" s="65"/>
      <c r="U57" s="65"/>
      <c r="V57" s="65"/>
      <c r="W57" s="65"/>
      <c r="X57" s="65"/>
      <c r="Y57" s="65"/>
      <c r="Z57" s="65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3.43"/>
    <col customWidth="1" min="2" max="2" width="8.86"/>
    <col customWidth="1" min="3" max="4" width="9.43"/>
    <col customWidth="1" min="5" max="7" width="9.71"/>
    <col customWidth="1" min="8" max="8" width="9.43"/>
    <col customWidth="1" min="9" max="16" width="9.0"/>
    <col customWidth="1" min="17" max="26" width="8.86"/>
  </cols>
  <sheetData>
    <row r="1" ht="13.5" customHeight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115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118</v>
      </c>
      <c r="B7" s="30"/>
      <c r="C7" s="78">
        <f>IncStat!C7/IncStat!C$7</f>
        <v>1</v>
      </c>
      <c r="D7" s="78">
        <f>IncStat!D7/IncStat!D$7</f>
        <v>1</v>
      </c>
      <c r="E7" s="78">
        <f>IncStat!E7/IncStat!E$7</f>
        <v>1</v>
      </c>
      <c r="F7" s="78">
        <f>IncStat!F7/IncStat!F$7</f>
        <v>1</v>
      </c>
      <c r="G7" s="78">
        <f>IncStat!G7/IncStat!G$7</f>
        <v>1</v>
      </c>
      <c r="H7" s="78">
        <f>IncStat!H7/IncStat!H$7</f>
        <v>1</v>
      </c>
      <c r="I7" s="78">
        <f>IncStat!I7/IncStat!I$7</f>
        <v>1</v>
      </c>
      <c r="J7" s="78">
        <f>IncStat!J7/IncStat!J$7</f>
        <v>1</v>
      </c>
      <c r="K7" s="78">
        <f>IncStat!K7/IncStat!K$7</f>
        <v>1</v>
      </c>
      <c r="L7" s="78">
        <f>IncStat!L7/IncStat!L$7</f>
        <v>1</v>
      </c>
      <c r="M7" s="78">
        <f>IncStat!M7/IncStat!M$7</f>
        <v>1</v>
      </c>
      <c r="N7" s="78">
        <f>IncStat!N7/IncStat!N$7</f>
        <v>1</v>
      </c>
      <c r="O7" s="78">
        <f>IncStat!O7/IncStat!O$7</f>
        <v>1</v>
      </c>
      <c r="P7" s="78">
        <f>IncStat!P7/IncStat!P$7</f>
        <v>1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8"/>
      <c r="B8" s="3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3.5" customHeight="1">
      <c r="A9" s="21"/>
      <c r="B9" s="21"/>
      <c r="C9" s="21"/>
      <c r="D9" s="21"/>
      <c r="E9" s="21"/>
      <c r="F9" s="21"/>
      <c r="G9" s="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 t="s">
        <v>120</v>
      </c>
      <c r="B10" s="21"/>
      <c r="C10" s="79">
        <f>IncStat!C10/IncStat!C$7</f>
        <v>0.658096002</v>
      </c>
      <c r="D10" s="79">
        <f>IncStat!D10/IncStat!D$7</f>
        <v>0.6584068925</v>
      </c>
      <c r="E10" s="79">
        <f>IncStat!E10/IncStat!E$7</f>
        <v>0.6595179577</v>
      </c>
      <c r="F10" s="79">
        <f>IncStat!F10/IncStat!F$7</f>
        <v>0.6565714444</v>
      </c>
      <c r="G10" s="79">
        <f>IncStat!G10/IncStat!G$7</f>
        <v>0.6591335904</v>
      </c>
      <c r="H10" s="80">
        <f>IncStat!H10/IncStat!H$7</f>
        <v>0.659</v>
      </c>
      <c r="I10" s="80">
        <f>IncStat!I10/IncStat!I$7</f>
        <v>0.661</v>
      </c>
      <c r="J10" s="80">
        <f>IncStat!J10/IncStat!J$7</f>
        <v>0.66</v>
      </c>
      <c r="K10" s="80">
        <f>IncStat!K10/IncStat!K$7</f>
        <v>0.658</v>
      </c>
      <c r="L10" s="80">
        <f>IncStat!L10/IncStat!L$7</f>
        <v>0.657</v>
      </c>
      <c r="M10" s="80">
        <f>IncStat!M10/IncStat!M$7</f>
        <v>0.656</v>
      </c>
      <c r="N10" s="80">
        <f>IncStat!N10/IncStat!N$7</f>
        <v>0.655</v>
      </c>
      <c r="O10" s="80">
        <f>IncStat!O10/IncStat!O$7</f>
        <v>0.655</v>
      </c>
      <c r="P10" s="80">
        <f>IncStat!P10/IncStat!P$7</f>
        <v>0.655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3" t="s">
        <v>121</v>
      </c>
      <c r="B11" s="21"/>
      <c r="C11" s="81">
        <f>IncStat!C11/IncStat!C$7</f>
        <v>0.341903998</v>
      </c>
      <c r="D11" s="81">
        <f>IncStat!D11/IncStat!D$7</f>
        <v>0.3415931075</v>
      </c>
      <c r="E11" s="81">
        <f>IncStat!E11/IncStat!E$7</f>
        <v>0.3404820423</v>
      </c>
      <c r="F11" s="81">
        <f>IncStat!F11/IncStat!F$7</f>
        <v>0.3434285556</v>
      </c>
      <c r="G11" s="81">
        <f>IncStat!G11/IncStat!G$7</f>
        <v>0.3408664096</v>
      </c>
      <c r="H11" s="81">
        <f>IncStat!H11/IncStat!H$7</f>
        <v>0.341</v>
      </c>
      <c r="I11" s="81">
        <f>IncStat!I11/IncStat!I$7</f>
        <v>0.339</v>
      </c>
      <c r="J11" s="81">
        <f>IncStat!J11/IncStat!J$7</f>
        <v>0.34</v>
      </c>
      <c r="K11" s="81">
        <f>IncStat!K11/IncStat!K$7</f>
        <v>0.342</v>
      </c>
      <c r="L11" s="81">
        <f>IncStat!L11/IncStat!L$7</f>
        <v>0.343</v>
      </c>
      <c r="M11" s="81">
        <f>IncStat!M11/IncStat!M$7</f>
        <v>0.344</v>
      </c>
      <c r="N11" s="81">
        <f>IncStat!N11/IncStat!N$7</f>
        <v>0.345</v>
      </c>
      <c r="O11" s="81">
        <f>IncStat!O11/IncStat!O$7</f>
        <v>0.345</v>
      </c>
      <c r="P11" s="81">
        <f>IncStat!P11/IncStat!P$7</f>
        <v>0.345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8"/>
      <c r="B12" s="35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3.5" customHeight="1">
      <c r="A13" s="21"/>
      <c r="B13" s="21"/>
      <c r="C13" s="21"/>
      <c r="D13" s="21"/>
      <c r="E13" s="21"/>
      <c r="F13" s="21"/>
      <c r="G13" s="2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 t="s">
        <v>123</v>
      </c>
      <c r="B14" s="21"/>
      <c r="C14" s="21"/>
      <c r="D14" s="21"/>
      <c r="E14" s="21"/>
      <c r="F14" s="21"/>
      <c r="G14" s="2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21" t="s">
        <v>124</v>
      </c>
      <c r="B15" s="21"/>
      <c r="C15" s="78">
        <f>IncStat!C15/IncStat!C$7</f>
        <v>0.1898010597</v>
      </c>
      <c r="D15" s="78">
        <f>IncStat!D15/IncStat!D$7</f>
        <v>0.1811089381</v>
      </c>
      <c r="E15" s="78">
        <f>IncStat!E15/IncStat!E$7</f>
        <v>0.1770395624</v>
      </c>
      <c r="F15" s="78">
        <f>IncStat!F15/IncStat!F$7</f>
        <v>0.1803369592</v>
      </c>
      <c r="G15" s="78">
        <f>IncStat!G15/IncStat!G$7</f>
        <v>0.1790882286</v>
      </c>
      <c r="H15" s="82">
        <f>IncStat!H15/IncStat!H$7</f>
        <v>0.1847663732</v>
      </c>
      <c r="I15" s="82">
        <f>IncStat!I15/IncStat!I$7</f>
        <v>0.181</v>
      </c>
      <c r="J15" s="82">
        <f>IncStat!J15/IncStat!J$7</f>
        <v>0.177</v>
      </c>
      <c r="K15" s="82">
        <f>IncStat!K15/IncStat!K$7</f>
        <v>0.175</v>
      </c>
      <c r="L15" s="82">
        <f>IncStat!L15/IncStat!L$7</f>
        <v>0.173</v>
      </c>
      <c r="M15" s="82">
        <f>IncStat!M15/IncStat!M$7</f>
        <v>0.172</v>
      </c>
      <c r="N15" s="82">
        <f>IncStat!N15/IncStat!N$7</f>
        <v>0.171</v>
      </c>
      <c r="O15" s="82">
        <f>IncStat!O15/IncStat!O$7</f>
        <v>0.17</v>
      </c>
      <c r="P15" s="82">
        <f>IncStat!P15/IncStat!P$7</f>
        <v>0.17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125</v>
      </c>
      <c r="B16" s="21"/>
      <c r="C16" s="78">
        <f>IncStat!C16/IncStat!C$7</f>
        <v>0.01909194636</v>
      </c>
      <c r="D16" s="78">
        <f>IncStat!D16/IncStat!D$7</f>
        <v>0.01854220625</v>
      </c>
      <c r="E16" s="78">
        <f>IncStat!E16/IncStat!E$7</f>
        <v>0.01794775232</v>
      </c>
      <c r="F16" s="78">
        <f>IncStat!F16/IncStat!F$7</f>
        <v>0.01728233043</v>
      </c>
      <c r="G16" s="78">
        <f>IncStat!G16/IncStat!G$7</f>
        <v>0.01804490814</v>
      </c>
      <c r="H16" s="82">
        <f>IncStat!H16/IncStat!H$7</f>
        <v>0.01663481005</v>
      </c>
      <c r="I16" s="82">
        <f>IncStat!I16/IncStat!I$7</f>
        <v>0.01818296569</v>
      </c>
      <c r="J16" s="82">
        <f>IncStat!J16/IncStat!J$7</f>
        <v>0.01879337937</v>
      </c>
      <c r="K16" s="82">
        <f>IncStat!K16/IncStat!K$7</f>
        <v>0.01945956922</v>
      </c>
      <c r="L16" s="82">
        <f>IncStat!L16/IncStat!L$7</f>
        <v>0.0201292264</v>
      </c>
      <c r="M16" s="82">
        <f>IncStat!M16/IncStat!M$7</f>
        <v>0.02081118245</v>
      </c>
      <c r="N16" s="82">
        <f>IncStat!N16/IncStat!N$7</f>
        <v>0.02150566327</v>
      </c>
      <c r="O16" s="82">
        <f>IncStat!O16/IncStat!O$7</f>
        <v>0.02221289888</v>
      </c>
      <c r="P16" s="82">
        <f>IncStat!P16/IncStat!P$7</f>
        <v>0.02293312353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126</v>
      </c>
      <c r="B17" s="21"/>
      <c r="C17" s="83">
        <f>IncStat!C17/IncStat!C$7</f>
        <v>0</v>
      </c>
      <c r="D17" s="83">
        <f>IncStat!D17/IncStat!D$7</f>
        <v>0</v>
      </c>
      <c r="E17" s="83">
        <f>IncStat!E17/IncStat!E$7</f>
        <v>0</v>
      </c>
      <c r="F17" s="83">
        <f>IncStat!F17/IncStat!F$7</f>
        <v>0.002282746319</v>
      </c>
      <c r="G17" s="83">
        <f>IncStat!G17/IncStat!G$7</f>
        <v>0</v>
      </c>
      <c r="H17" s="80">
        <f>IncStat!H17/IncStat!H$7</f>
        <v>0</v>
      </c>
      <c r="I17" s="80">
        <f>IncStat!I17/IncStat!I$7</f>
        <v>0</v>
      </c>
      <c r="J17" s="80">
        <f>IncStat!J17/IncStat!J$7</f>
        <v>0</v>
      </c>
      <c r="K17" s="80">
        <f>IncStat!K17/IncStat!K$7</f>
        <v>0</v>
      </c>
      <c r="L17" s="80">
        <f>IncStat!L17/IncStat!L$7</f>
        <v>0</v>
      </c>
      <c r="M17" s="80">
        <f>IncStat!M17/IncStat!M$7</f>
        <v>0</v>
      </c>
      <c r="N17" s="80">
        <f>IncStat!N17/IncStat!N$7</f>
        <v>0</v>
      </c>
      <c r="O17" s="80">
        <f>IncStat!O17/IncStat!O$7</f>
        <v>0</v>
      </c>
      <c r="P17" s="80">
        <f>IncStat!P17/IncStat!P$7</f>
        <v>0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 t="s">
        <v>127</v>
      </c>
      <c r="B18" s="21"/>
      <c r="C18" s="81">
        <f>IncStat!C18/IncStat!C$7</f>
        <v>0.208893006</v>
      </c>
      <c r="D18" s="81">
        <f>IncStat!D18/IncStat!D$7</f>
        <v>0.1996511444</v>
      </c>
      <c r="E18" s="81">
        <f>IncStat!E18/IncStat!E$7</f>
        <v>0.1949873147</v>
      </c>
      <c r="F18" s="81">
        <f>IncStat!F18/IncStat!F$7</f>
        <v>0.199902036</v>
      </c>
      <c r="G18" s="81">
        <f>IncStat!G18/IncStat!G$7</f>
        <v>0.1971331368</v>
      </c>
      <c r="H18" s="81">
        <f>IncStat!H18/IncStat!H$7</f>
        <v>0.2014011833</v>
      </c>
      <c r="I18" s="81">
        <f>IncStat!I18/IncStat!I$7</f>
        <v>0.1991829657</v>
      </c>
      <c r="J18" s="81">
        <f>IncStat!J18/IncStat!J$7</f>
        <v>0.1957933794</v>
      </c>
      <c r="K18" s="81">
        <f>IncStat!K18/IncStat!K$7</f>
        <v>0.1944595692</v>
      </c>
      <c r="L18" s="81">
        <f>IncStat!L18/IncStat!L$7</f>
        <v>0.1931292264</v>
      </c>
      <c r="M18" s="81">
        <f>IncStat!M18/IncStat!M$7</f>
        <v>0.1928111825</v>
      </c>
      <c r="N18" s="81">
        <f>IncStat!N18/IncStat!N$7</f>
        <v>0.1925056633</v>
      </c>
      <c r="O18" s="81">
        <f>IncStat!O18/IncStat!O$7</f>
        <v>0.1922128989</v>
      </c>
      <c r="P18" s="81">
        <f>IncStat!P18/IncStat!P$7</f>
        <v>0.1929331235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8"/>
      <c r="B19" s="35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3.5" customHeight="1">
      <c r="A20" s="1"/>
      <c r="B20" s="2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3" t="s">
        <v>129</v>
      </c>
      <c r="B21" s="21"/>
      <c r="C21" s="81">
        <f>IncStat!C21/IncStat!C$7</f>
        <v>0.133010992</v>
      </c>
      <c r="D21" s="81">
        <f>IncStat!D21/IncStat!D$7</f>
        <v>0.1419419631</v>
      </c>
      <c r="E21" s="81">
        <f>IncStat!E21/IncStat!E$7</f>
        <v>0.1454947277</v>
      </c>
      <c r="F21" s="81">
        <f>IncStat!F21/IncStat!F$7</f>
        <v>0.1435265196</v>
      </c>
      <c r="G21" s="81">
        <f>IncStat!G21/IncStat!G$7</f>
        <v>0.1437332729</v>
      </c>
      <c r="H21" s="81">
        <f>IncStat!H21/IncStat!H$7</f>
        <v>0.1395988167</v>
      </c>
      <c r="I21" s="81">
        <f>IncStat!I21/IncStat!I$7</f>
        <v>0.1398170343</v>
      </c>
      <c r="J21" s="81">
        <f>IncStat!J21/IncStat!J$7</f>
        <v>0.1442066206</v>
      </c>
      <c r="K21" s="81">
        <f>IncStat!K21/IncStat!K$7</f>
        <v>0.1475404308</v>
      </c>
      <c r="L21" s="81">
        <f>IncStat!L21/IncStat!L$7</f>
        <v>0.1498707736</v>
      </c>
      <c r="M21" s="81">
        <f>IncStat!M21/IncStat!M$7</f>
        <v>0.1511888175</v>
      </c>
      <c r="N21" s="81">
        <f>IncStat!N21/IncStat!N$7</f>
        <v>0.1524943367</v>
      </c>
      <c r="O21" s="81">
        <f>IncStat!O21/IncStat!O$7</f>
        <v>0.1527871011</v>
      </c>
      <c r="P21" s="81">
        <f>IncStat!P21/IncStat!P$7</f>
        <v>0.1520668765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35"/>
      <c r="B22" s="35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3.5" customHeight="1">
      <c r="A23" s="21"/>
      <c r="B23" s="21"/>
      <c r="C23" s="21"/>
      <c r="D23" s="21"/>
      <c r="E23" s="21"/>
      <c r="F23" s="21"/>
      <c r="G23" s="2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130</v>
      </c>
      <c r="B24" s="21"/>
      <c r="C24" s="81">
        <f>IncStat!C24/IncStat!C$7</f>
        <v>0.0103819519</v>
      </c>
      <c r="D24" s="81">
        <f>IncStat!D24/IncStat!D$7</f>
        <v>0.01027538453</v>
      </c>
      <c r="E24" s="81">
        <f>IncStat!E24/IncStat!E$7</f>
        <v>0.01047530326</v>
      </c>
      <c r="F24" s="81">
        <f>IncStat!F24/IncStat!F$7</f>
        <v>0.009713224217</v>
      </c>
      <c r="G24" s="81">
        <f>IncStat!G24/IncStat!G$7</f>
        <v>0.01089589476</v>
      </c>
      <c r="H24" s="82">
        <f>IncStat!H24/IncStat!H$7</f>
        <v>0.008782640061</v>
      </c>
      <c r="I24" s="82">
        <f>IncStat!I24/IncStat!I$7</f>
        <v>0.008506419604</v>
      </c>
      <c r="J24" s="82">
        <f>IncStat!J24/IncStat!J$7</f>
        <v>0.008214959416</v>
      </c>
      <c r="K24" s="82">
        <f>IncStat!K24/IncStat!K$7</f>
        <v>0.007941173176</v>
      </c>
      <c r="L24" s="82">
        <f>IncStat!L24/IncStat!L$7</f>
        <v>0.007676511621</v>
      </c>
      <c r="M24" s="82">
        <f>IncStat!M24/IncStat!M$7</f>
        <v>0.007420670643</v>
      </c>
      <c r="N24" s="82">
        <f>IncStat!N24/IncStat!N$7</f>
        <v>0.007173356273</v>
      </c>
      <c r="O24" s="82">
        <f>IncStat!O24/IncStat!O$7</f>
        <v>0.006934284339</v>
      </c>
      <c r="P24" s="82">
        <f>IncStat!P24/IncStat!P$7</f>
        <v>0.006703180138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131</v>
      </c>
      <c r="B25" s="21"/>
      <c r="C25" s="81">
        <f>IncStat!C25/IncStat!C$7</f>
        <v>-0.001875303607</v>
      </c>
      <c r="D25" s="81">
        <f>IncStat!D25/IncStat!D$7</f>
        <v>-0.0003805697976</v>
      </c>
      <c r="E25" s="81">
        <f>IncStat!E25/IncStat!E$7</f>
        <v>-0.0007333703322</v>
      </c>
      <c r="F25" s="81">
        <f>IncStat!F25/IncStat!F$7</f>
        <v>-0.0008594955778</v>
      </c>
      <c r="G25" s="81">
        <f>IncStat!G25/IncStat!G$7</f>
        <v>-0.0006622816965</v>
      </c>
      <c r="H25" s="82">
        <f>IncStat!H25/IncStat!H$7</f>
        <v>-0.0001295031326</v>
      </c>
      <c r="I25" s="82">
        <f>IncStat!I25/IncStat!I$7</f>
        <v>-0.0001377984488</v>
      </c>
      <c r="J25" s="82">
        <f>IncStat!J25/IncStat!J$7</f>
        <v>-0.000137601551</v>
      </c>
      <c r="K25" s="82">
        <f>IncStat!K25/IncStat!K$7</f>
        <v>-0.0001376670564</v>
      </c>
      <c r="L25" s="82">
        <f>IncStat!L25/IncStat!L$7</f>
        <v>-0.0001376670564</v>
      </c>
      <c r="M25" s="82">
        <f>IncStat!M25/IncStat!M$7</f>
        <v>-0.0001376670564</v>
      </c>
      <c r="N25" s="82">
        <f>IncStat!N25/IncStat!N$7</f>
        <v>-0.0001376670564</v>
      </c>
      <c r="O25" s="82">
        <f>IncStat!O25/IncStat!O$7</f>
        <v>-0.0001376670564</v>
      </c>
      <c r="P25" s="82">
        <f>IncStat!P25/IncStat!P$7</f>
        <v>-0.0001376670564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48</v>
      </c>
      <c r="B26" s="21"/>
      <c r="C26" s="79">
        <f>IncStat!C26/IncStat!C$7</f>
        <v>0</v>
      </c>
      <c r="D26" s="79">
        <f>IncStat!D26/IncStat!D$7</f>
        <v>0</v>
      </c>
      <c r="E26" s="79">
        <f>IncStat!E26/IncStat!E$7</f>
        <v>0</v>
      </c>
      <c r="F26" s="79">
        <f>IncStat!F26/IncStat!F$7</f>
        <v>0.0001478702069</v>
      </c>
      <c r="G26" s="79">
        <f>IncStat!G26/IncStat!G$7</f>
        <v>0</v>
      </c>
      <c r="H26" s="80">
        <f>IncStat!H26/IncStat!H$7</f>
        <v>0</v>
      </c>
      <c r="I26" s="80">
        <f>IncStat!I26/IncStat!I$7</f>
        <v>0</v>
      </c>
      <c r="J26" s="80">
        <f>IncStat!J26/IncStat!J$7</f>
        <v>0</v>
      </c>
      <c r="K26" s="80">
        <f>IncStat!K26/IncStat!K$7</f>
        <v>0</v>
      </c>
      <c r="L26" s="80">
        <f>IncStat!L26/IncStat!L$7</f>
        <v>0</v>
      </c>
      <c r="M26" s="80">
        <f>IncStat!M26/IncStat!M$7</f>
        <v>0</v>
      </c>
      <c r="N26" s="80">
        <f>IncStat!N26/IncStat!N$7</f>
        <v>0</v>
      </c>
      <c r="O26" s="80">
        <f>IncStat!O26/IncStat!O$7</f>
        <v>0</v>
      </c>
      <c r="P26" s="80">
        <f>IncStat!P26/IncStat!P$7</f>
        <v>0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21" t="s">
        <v>132</v>
      </c>
      <c r="B27" s="21"/>
      <c r="C27" s="81">
        <f>IncStat!C27/IncStat!C$7</f>
        <v>0.00850664829</v>
      </c>
      <c r="D27" s="81">
        <f>IncStat!D27/IncStat!D$7</f>
        <v>0.009894814737</v>
      </c>
      <c r="E27" s="81">
        <f>IncStat!E27/IncStat!E$7</f>
        <v>0.009741932926</v>
      </c>
      <c r="F27" s="81">
        <f>IncStat!F27/IncStat!F$7</f>
        <v>0.009001598847</v>
      </c>
      <c r="G27" s="81">
        <f>IncStat!G27/IncStat!G$7</f>
        <v>0.01023361306</v>
      </c>
      <c r="H27" s="81">
        <f>IncStat!H27/IncStat!H$7</f>
        <v>0.008653136929</v>
      </c>
      <c r="I27" s="81">
        <f>IncStat!I27/IncStat!I$7</f>
        <v>0.008368621155</v>
      </c>
      <c r="J27" s="81">
        <f>IncStat!J27/IncStat!J$7</f>
        <v>0.008077357865</v>
      </c>
      <c r="K27" s="81">
        <f>IncStat!K27/IncStat!K$7</f>
        <v>0.00780350612</v>
      </c>
      <c r="L27" s="81">
        <f>IncStat!L27/IncStat!L$7</f>
        <v>0.007538844564</v>
      </c>
      <c r="M27" s="81">
        <f>IncStat!M27/IncStat!M$7</f>
        <v>0.007283003587</v>
      </c>
      <c r="N27" s="81">
        <f>IncStat!N27/IncStat!N$7</f>
        <v>0.007035689217</v>
      </c>
      <c r="O27" s="81">
        <f>IncStat!O27/IncStat!O$7</f>
        <v>0.006796617283</v>
      </c>
      <c r="P27" s="81">
        <f>IncStat!P27/IncStat!P$7</f>
        <v>0.006565513082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21"/>
      <c r="B28" s="21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21" t="s">
        <v>133</v>
      </c>
      <c r="B29" s="21"/>
      <c r="C29" s="81">
        <f>IncStat!C29/IncStat!C$7</f>
        <v>0.1245043437</v>
      </c>
      <c r="D29" s="81">
        <f>IncStat!D29/IncStat!D$7</f>
        <v>0.1320471484</v>
      </c>
      <c r="E29" s="81">
        <f>IncStat!E29/IncStat!E$7</f>
        <v>0.1357527947</v>
      </c>
      <c r="F29" s="81">
        <f>IncStat!F29/IncStat!F$7</f>
        <v>0.1345249208</v>
      </c>
      <c r="G29" s="81">
        <f>IncStat!G29/IncStat!G$7</f>
        <v>0.1334996598</v>
      </c>
      <c r="H29" s="81">
        <f>IncStat!H29/IncStat!H$7</f>
        <v>0.1309456798</v>
      </c>
      <c r="I29" s="81">
        <f>IncStat!I29/IncStat!I$7</f>
        <v>0.1314484132</v>
      </c>
      <c r="J29" s="81">
        <f>IncStat!J29/IncStat!J$7</f>
        <v>0.1361292628</v>
      </c>
      <c r="K29" s="81">
        <f>IncStat!K29/IncStat!K$7</f>
        <v>0.1397369247</v>
      </c>
      <c r="L29" s="81">
        <f>IncStat!L29/IncStat!L$7</f>
        <v>0.142331929</v>
      </c>
      <c r="M29" s="81">
        <f>IncStat!M29/IncStat!M$7</f>
        <v>0.143905814</v>
      </c>
      <c r="N29" s="81">
        <f>IncStat!N29/IncStat!N$7</f>
        <v>0.1454586475</v>
      </c>
      <c r="O29" s="81">
        <f>IncStat!O29/IncStat!O$7</f>
        <v>0.1459904838</v>
      </c>
      <c r="P29" s="81">
        <f>IncStat!P29/IncStat!P$7</f>
        <v>0.1455013634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21"/>
      <c r="B30" s="21"/>
      <c r="C30" s="48"/>
      <c r="D30" s="48"/>
      <c r="E30" s="48"/>
      <c r="F30" s="48"/>
      <c r="G30" s="48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21" t="s">
        <v>134</v>
      </c>
      <c r="B31" s="21"/>
      <c r="C31" s="81">
        <f>IncStat!C31/IncStat!C$7</f>
        <v>0.04532360284</v>
      </c>
      <c r="D31" s="81">
        <f>IncStat!D31/IncStat!D$7</f>
        <v>0.04793065173</v>
      </c>
      <c r="E31" s="81">
        <f>IncStat!E31/IncStat!E$7</f>
        <v>0.05022595735</v>
      </c>
      <c r="F31" s="81">
        <f>IncStat!F31/IncStat!F$7</f>
        <v>0.03174588505</v>
      </c>
      <c r="G31" s="81">
        <f>IncStat!G31/IncStat!G$7</f>
        <v>0.03150827852</v>
      </c>
      <c r="H31" s="82">
        <f>IncStat!H31/IncStat!H$7</f>
        <v>0.03326020267</v>
      </c>
      <c r="I31" s="82">
        <f>IncStat!I31/IncStat!I$7</f>
        <v>0.03338789694</v>
      </c>
      <c r="J31" s="82">
        <f>IncStat!J31/IncStat!J$7</f>
        <v>0.03457683274</v>
      </c>
      <c r="K31" s="82">
        <f>IncStat!K31/IncStat!K$7</f>
        <v>0.03549317886</v>
      </c>
      <c r="L31" s="82">
        <f>IncStat!L31/IncStat!L$7</f>
        <v>0.03615230998</v>
      </c>
      <c r="M31" s="82">
        <f>IncStat!M31/IncStat!M$7</f>
        <v>0.03655207675</v>
      </c>
      <c r="N31" s="82">
        <f>IncStat!N31/IncStat!N$7</f>
        <v>0.03694649647</v>
      </c>
      <c r="O31" s="82">
        <f>IncStat!O31/IncStat!O$7</f>
        <v>0.0370815829</v>
      </c>
      <c r="P31" s="82">
        <f>IncStat!P31/IncStat!P$7</f>
        <v>0.0369573463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35"/>
      <c r="B32" s="35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3.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30" t="s">
        <v>136</v>
      </c>
      <c r="B34" s="21"/>
      <c r="C34" s="84">
        <f>IncStat!C34/IncStat!C$7</f>
        <v>0.07918074086</v>
      </c>
      <c r="D34" s="84">
        <f>IncStat!D34/IncStat!D$7</f>
        <v>0.08411649664</v>
      </c>
      <c r="E34" s="84">
        <f>IncStat!E34/IncStat!E$7</f>
        <v>0.08552683739</v>
      </c>
      <c r="F34" s="84">
        <f>IncStat!F34/IncStat!F$7</f>
        <v>0.1027790357</v>
      </c>
      <c r="G34" s="84">
        <f>IncStat!G34/IncStat!G$7</f>
        <v>0.1019913813</v>
      </c>
      <c r="H34" s="84">
        <f>IncStat!H34/IncStat!H$7</f>
        <v>0.09768547712</v>
      </c>
      <c r="I34" s="84">
        <f>IncStat!I34/IncStat!I$7</f>
        <v>0.09806051621</v>
      </c>
      <c r="J34" s="84">
        <f>IncStat!J34/IncStat!J$7</f>
        <v>0.10155243</v>
      </c>
      <c r="K34" s="84">
        <f>IncStat!K34/IncStat!K$7</f>
        <v>0.1042437458</v>
      </c>
      <c r="L34" s="84">
        <f>IncStat!L34/IncStat!L$7</f>
        <v>0.1061796191</v>
      </c>
      <c r="M34" s="84">
        <f>IncStat!M34/IncStat!M$7</f>
        <v>0.1073537372</v>
      </c>
      <c r="N34" s="84">
        <f>IncStat!N34/IncStat!N$7</f>
        <v>0.108512151</v>
      </c>
      <c r="O34" s="84">
        <f>IncStat!O34/IncStat!O$7</f>
        <v>0.1089089009</v>
      </c>
      <c r="P34" s="84">
        <f>IncStat!P34/IncStat!P$7</f>
        <v>0.1085440171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35"/>
      <c r="B35" s="35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3.5" customHeight="1">
      <c r="A36" s="21"/>
      <c r="B36" s="21"/>
      <c r="C36" s="21"/>
      <c r="D36" s="21"/>
      <c r="E36" s="21"/>
      <c r="F36" s="21"/>
      <c r="G36" s="2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3.43"/>
    <col customWidth="1" min="2" max="2" width="8.86"/>
    <col customWidth="1" min="3" max="16" width="9.0"/>
    <col customWidth="1" min="17" max="26" width="8.86"/>
  </cols>
  <sheetData>
    <row r="1" ht="13.5" customHeight="1">
      <c r="A1" s="7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138</v>
      </c>
      <c r="B7" s="1"/>
      <c r="C7" s="51"/>
      <c r="D7" s="51"/>
      <c r="E7" s="5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30" t="s">
        <v>139</v>
      </c>
      <c r="B8" s="21"/>
      <c r="C8" s="21"/>
      <c r="D8" s="21"/>
      <c r="E8" s="21"/>
      <c r="F8" s="21"/>
      <c r="G8" s="2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21" t="s">
        <v>140</v>
      </c>
      <c r="B9" s="55"/>
      <c r="C9" s="85">
        <f>BalSht!C9/BalSht!C$20</f>
        <v>0.05279584495</v>
      </c>
      <c r="D9" s="85">
        <f>BalSht!D9/BalSht!D$20</f>
        <v>0.0590699623</v>
      </c>
      <c r="E9" s="85">
        <f>BalSht!E9/BalSht!E$20</f>
        <v>0.08073390375</v>
      </c>
      <c r="F9" s="85">
        <f>BalSht!F9/BalSht!F$20</f>
        <v>0.04040633593</v>
      </c>
      <c r="G9" s="85">
        <f>BalSht!G9/BalSht!G$20</f>
        <v>0.04163088453</v>
      </c>
      <c r="H9" s="85">
        <f>BalSht!H9/BalSht!H$20</f>
        <v>0.04276739945</v>
      </c>
      <c r="I9" s="85">
        <f>BalSht!I9/BalSht!I$20</f>
        <v>0.04288041649</v>
      </c>
      <c r="J9" s="85">
        <f>BalSht!J9/BalSht!J$20</f>
        <v>0.04305858516</v>
      </c>
      <c r="K9" s="85">
        <f>BalSht!K9/BalSht!K$20</f>
        <v>0.04320059997</v>
      </c>
      <c r="L9" s="85">
        <f>BalSht!L9/BalSht!L$20</f>
        <v>0.04332302449</v>
      </c>
      <c r="M9" s="85">
        <f>BalSht!M9/BalSht!M$20</f>
        <v>0.0434177105</v>
      </c>
      <c r="N9" s="85">
        <f>BalSht!N9/BalSht!N$20</f>
        <v>0.04351116021</v>
      </c>
      <c r="O9" s="85">
        <f>BalSht!O9/BalSht!O$20</f>
        <v>0.04358440593</v>
      </c>
      <c r="P9" s="85">
        <f>BalSht!P9/BalSht!P$20</f>
        <v>0.04362935259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21" t="s">
        <v>141</v>
      </c>
      <c r="B10" s="55"/>
      <c r="C10" s="85">
        <f>BalSht!C10/BalSht!C$20</f>
        <v>0.04502894718</v>
      </c>
      <c r="D10" s="85">
        <f>BalSht!D10/BalSht!D$20</f>
        <v>0.04722338593</v>
      </c>
      <c r="E10" s="85">
        <f>BalSht!E10/BalSht!E$20</f>
        <v>0.04383660087</v>
      </c>
      <c r="F10" s="85">
        <f>BalSht!F10/BalSht!F$20</f>
        <v>0.0439970002</v>
      </c>
      <c r="G10" s="85">
        <f>BalSht!G10/BalSht!G$20</f>
        <v>0.04110391131</v>
      </c>
      <c r="H10" s="85">
        <f>BalSht!H10/BalSht!H$20</f>
        <v>0.04100983509</v>
      </c>
      <c r="I10" s="85">
        <f>BalSht!I10/BalSht!I$20</f>
        <v>0.04111820759</v>
      </c>
      <c r="J10" s="85">
        <f>BalSht!J10/BalSht!J$20</f>
        <v>0.04128905426</v>
      </c>
      <c r="K10" s="85">
        <f>BalSht!K10/BalSht!K$20</f>
        <v>0.04142523284</v>
      </c>
      <c r="L10" s="85">
        <f>BalSht!L10/BalSht!L$20</f>
        <v>0.04154262622</v>
      </c>
      <c r="M10" s="85">
        <f>BalSht!M10/BalSht!M$20</f>
        <v>0.04163342103</v>
      </c>
      <c r="N10" s="85">
        <f>BalSht!N10/BalSht!N$20</f>
        <v>0.04172303034</v>
      </c>
      <c r="O10" s="85">
        <f>BalSht!O10/BalSht!O$20</f>
        <v>0.04179326596</v>
      </c>
      <c r="P10" s="85">
        <f>BalSht!P10/BalSht!P$20</f>
        <v>0.0418363655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21" t="s">
        <v>142</v>
      </c>
      <c r="B11" s="55"/>
      <c r="C11" s="85">
        <f>BalSht!C11/BalSht!C$20</f>
        <v>0.2813475329</v>
      </c>
      <c r="D11" s="85">
        <f>BalSht!D11/BalSht!D$20</f>
        <v>0.2920681469</v>
      </c>
      <c r="E11" s="85">
        <f>BalSht!E11/BalSht!E$20</f>
        <v>0.2862853421</v>
      </c>
      <c r="F11" s="85">
        <f>BalSht!F11/BalSht!F$20</f>
        <v>0.3164556962</v>
      </c>
      <c r="G11" s="85">
        <f>BalSht!G11/BalSht!G$20</f>
        <v>0.283609181</v>
      </c>
      <c r="H11" s="85">
        <f>BalSht!H11/BalSht!H$20</f>
        <v>0.2818371624</v>
      </c>
      <c r="I11" s="85">
        <f>BalSht!I11/BalSht!I$20</f>
        <v>0.283439553</v>
      </c>
      <c r="J11" s="85">
        <f>BalSht!J11/BalSht!J$20</f>
        <v>0.284186662</v>
      </c>
      <c r="K11" s="85">
        <f>BalSht!K11/BalSht!K$20</f>
        <v>0.2842599478</v>
      </c>
      <c r="L11" s="85">
        <f>BalSht!L11/BalSht!L$20</f>
        <v>0.2846322709</v>
      </c>
      <c r="M11" s="85">
        <f>BalSht!M11/BalSht!M$20</f>
        <v>0.2848201809</v>
      </c>
      <c r="N11" s="85">
        <f>BalSht!N11/BalSht!N$20</f>
        <v>0.2849980994</v>
      </c>
      <c r="O11" s="85">
        <f>BalSht!O11/BalSht!O$20</f>
        <v>0.2854778588</v>
      </c>
      <c r="P11" s="85">
        <f>BalSht!P11/BalSht!P$20</f>
        <v>0.2857722595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21" t="s">
        <v>143</v>
      </c>
      <c r="B12" s="55"/>
      <c r="C12" s="86">
        <f>BalSht!C12/BalSht!C$20</f>
        <v>0.01355633383</v>
      </c>
      <c r="D12" s="86">
        <f>BalSht!D12/BalSht!D$20</f>
        <v>0.01415072383</v>
      </c>
      <c r="E12" s="86">
        <f>BalSht!E12/BalSht!E$20</f>
        <v>0.01432774147</v>
      </c>
      <c r="F12" s="86">
        <f>BalSht!F12/BalSht!F$20</f>
        <v>0.02022589369</v>
      </c>
      <c r="G12" s="86">
        <f>BalSht!G12/BalSht!G$20</f>
        <v>0.02029822781</v>
      </c>
      <c r="H12" s="86">
        <f>BalSht!H12/BalSht!H$20</f>
        <v>0.01710695978</v>
      </c>
      <c r="I12" s="86">
        <f>BalSht!I12/BalSht!I$20</f>
        <v>0.0171521666</v>
      </c>
      <c r="J12" s="86">
        <f>BalSht!J12/BalSht!J$20</f>
        <v>0.01722343406</v>
      </c>
      <c r="K12" s="86">
        <f>BalSht!K12/BalSht!K$20</f>
        <v>0.01728023999</v>
      </c>
      <c r="L12" s="86">
        <f>BalSht!L12/BalSht!L$20</f>
        <v>0.01732920979</v>
      </c>
      <c r="M12" s="86">
        <f>BalSht!M12/BalSht!M$20</f>
        <v>0.0173670842</v>
      </c>
      <c r="N12" s="86">
        <f>BalSht!N12/BalSht!N$20</f>
        <v>0.01740446408</v>
      </c>
      <c r="O12" s="86">
        <f>BalSht!O12/BalSht!O$20</f>
        <v>0.01743376237</v>
      </c>
      <c r="P12" s="86">
        <f>BalSht!P12/BalSht!P$20</f>
        <v>0.01745174104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30" t="s">
        <v>144</v>
      </c>
      <c r="B13" s="60"/>
      <c r="C13" s="85">
        <f>BalSht!C13/BalSht!C$20</f>
        <v>0.3927286589</v>
      </c>
      <c r="D13" s="85">
        <f>BalSht!D13/BalSht!D$20</f>
        <v>0.412512219</v>
      </c>
      <c r="E13" s="85">
        <f>BalSht!E13/BalSht!E$20</f>
        <v>0.4251835882</v>
      </c>
      <c r="F13" s="85">
        <f>BalSht!F13/BalSht!F$20</f>
        <v>0.421084926</v>
      </c>
      <c r="G13" s="85">
        <f>BalSht!G13/BalSht!G$20</f>
        <v>0.3866422047</v>
      </c>
      <c r="H13" s="85">
        <f>BalSht!H13/BalSht!H$20</f>
        <v>0.3827213567</v>
      </c>
      <c r="I13" s="85">
        <f>BalSht!I13/BalSht!I$20</f>
        <v>0.3845903437</v>
      </c>
      <c r="J13" s="85">
        <f>BalSht!J13/BalSht!J$20</f>
        <v>0.3857577355</v>
      </c>
      <c r="K13" s="85">
        <f>BalSht!K13/BalSht!K$20</f>
        <v>0.3861660206</v>
      </c>
      <c r="L13" s="85">
        <f>BalSht!L13/BalSht!L$20</f>
        <v>0.3868271314</v>
      </c>
      <c r="M13" s="85">
        <f>BalSht!M13/BalSht!M$20</f>
        <v>0.3872383966</v>
      </c>
      <c r="N13" s="85">
        <f>BalSht!N13/BalSht!N$20</f>
        <v>0.387636754</v>
      </c>
      <c r="O13" s="85">
        <f>BalSht!O13/BalSht!O$20</f>
        <v>0.3882892931</v>
      </c>
      <c r="P13" s="85">
        <f>BalSht!P13/BalSht!P$20</f>
        <v>0.3886897186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21"/>
      <c r="B14" s="21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30" t="s">
        <v>145</v>
      </c>
      <c r="B15" s="21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146</v>
      </c>
      <c r="B16" s="55"/>
      <c r="C16" s="85">
        <f>BalSht!C16/BalSht!C$20</f>
        <v>0</v>
      </c>
      <c r="D16" s="85">
        <f>BalSht!D16/BalSht!D$20</f>
        <v>0</v>
      </c>
      <c r="E16" s="85">
        <f>BalSht!E16/BalSht!E$20</f>
        <v>0</v>
      </c>
      <c r="F16" s="85">
        <f>BalSht!F16/BalSht!F$20</f>
        <v>0</v>
      </c>
      <c r="G16" s="85">
        <f>BalSht!G16/BalSht!G$20</f>
        <v>0.1092005621</v>
      </c>
      <c r="H16" s="85">
        <f>BalSht!H16/BalSht!H$20</f>
        <v>0.1119847086</v>
      </c>
      <c r="I16" s="85">
        <f>BalSht!I16/BalSht!I$20</f>
        <v>0.1099918525</v>
      </c>
      <c r="J16" s="85">
        <f>BalSht!J16/BalSht!J$20</f>
        <v>0.108008011</v>
      </c>
      <c r="K16" s="85">
        <f>BalSht!K16/BalSht!K$20</f>
        <v>0.1071397858</v>
      </c>
      <c r="L16" s="85">
        <f>BalSht!L16/BalSht!L$20</f>
        <v>0.1062154805</v>
      </c>
      <c r="M16" s="85">
        <f>BalSht!M16/BalSht!M$20</f>
        <v>0.105832319</v>
      </c>
      <c r="N16" s="85">
        <f>BalSht!N16/BalSht!N$20</f>
        <v>0.1054434777</v>
      </c>
      <c r="O16" s="85">
        <f>BalSht!O16/BalSht!O$20</f>
        <v>0.1050033123</v>
      </c>
      <c r="P16" s="85">
        <f>BalSht!P16/BalSht!P$20</f>
        <v>0.1051115976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147</v>
      </c>
      <c r="B17" s="55"/>
      <c r="C17" s="85">
        <f>BalSht!C17/BalSht!C$20</f>
        <v>0.5286970195</v>
      </c>
      <c r="D17" s="85">
        <f>BalSht!D17/BalSht!D$20</f>
        <v>0.5100311875</v>
      </c>
      <c r="E17" s="85">
        <f>BalSht!E17/BalSht!E$20</f>
        <v>0.4957443464</v>
      </c>
      <c r="F17" s="85">
        <f>BalSht!F17/BalSht!F$20</f>
        <v>0.5084880576</v>
      </c>
      <c r="G17" s="85">
        <f>BalSht!G17/BalSht!G$20</f>
        <v>0.4444140838</v>
      </c>
      <c r="H17" s="85">
        <f>BalSht!H17/BalSht!H$20</f>
        <v>0.4454937443</v>
      </c>
      <c r="I17" s="85">
        <f>BalSht!I17/BalSht!I$20</f>
        <v>0.4466710051</v>
      </c>
      <c r="J17" s="85">
        <f>BalSht!J17/BalSht!J$20</f>
        <v>0.4485269287</v>
      </c>
      <c r="K17" s="85">
        <f>BalSht!K17/BalSht!K$20</f>
        <v>0.4500062497</v>
      </c>
      <c r="L17" s="85">
        <f>BalSht!L17/BalSht!L$20</f>
        <v>0.4512815051</v>
      </c>
      <c r="M17" s="85">
        <f>BalSht!M17/BalSht!M$20</f>
        <v>0.4522678177</v>
      </c>
      <c r="N17" s="85">
        <f>BalSht!N17/BalSht!N$20</f>
        <v>0.4532412522</v>
      </c>
      <c r="O17" s="85">
        <f>BalSht!O17/BalSht!O$20</f>
        <v>0.4540042284</v>
      </c>
      <c r="P17" s="85">
        <f>BalSht!P17/BalSht!P$20</f>
        <v>0.4544724229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21" t="s">
        <v>148</v>
      </c>
      <c r="B18" s="55"/>
      <c r="C18" s="85">
        <f>BalSht!C18/BalSht!C$20</f>
        <v>0.05007981321</v>
      </c>
      <c r="D18" s="85">
        <f>BalSht!D18/BalSht!D$20</f>
        <v>0.04871293581</v>
      </c>
      <c r="E18" s="85">
        <f>BalSht!E18/BalSht!E$20</f>
        <v>0.0510903007</v>
      </c>
      <c r="F18" s="85">
        <f>BalSht!F18/BalSht!F$20</f>
        <v>0.05117832875</v>
      </c>
      <c r="G18" s="85">
        <f>BalSht!G18/BalSht!G$20</f>
        <v>0.04399250527</v>
      </c>
      <c r="H18" s="85">
        <f>BalSht!H18/BalSht!H$20</f>
        <v>0.03841649068</v>
      </c>
      <c r="I18" s="85">
        <f>BalSht!I18/BalSht!I$20</f>
        <v>0.03730659041</v>
      </c>
      <c r="J18" s="85">
        <f>BalSht!J18/BalSht!J$20</f>
        <v>0.03617803212</v>
      </c>
      <c r="K18" s="85">
        <f>BalSht!K18/BalSht!K$20</f>
        <v>0.03508764397</v>
      </c>
      <c r="L18" s="85">
        <f>BalSht!L18/BalSht!L$20</f>
        <v>0.03401437083</v>
      </c>
      <c r="M18" s="85">
        <f>BalSht!M18/BalSht!M$20</f>
        <v>0.03295261143</v>
      </c>
      <c r="N18" s="85">
        <f>BalSht!N18/BalSht!N$20</f>
        <v>0.031922936</v>
      </c>
      <c r="O18" s="85">
        <f>BalSht!O18/BalSht!O$20</f>
        <v>0.03091096326</v>
      </c>
      <c r="P18" s="85">
        <f>BalSht!P18/BalSht!P$20</f>
        <v>0.02991158465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21" t="s">
        <v>149</v>
      </c>
      <c r="B19" s="55"/>
      <c r="C19" s="85">
        <f>BalSht!C19/BalSht!C$20</f>
        <v>0.02849450837</v>
      </c>
      <c r="D19" s="85">
        <f>BalSht!D19/BalSht!D$20</f>
        <v>0.02874365778</v>
      </c>
      <c r="E19" s="85">
        <f>BalSht!E19/BalSht!E$20</f>
        <v>0.02798176469</v>
      </c>
      <c r="F19" s="85">
        <f>BalSht!F19/BalSht!F$20</f>
        <v>0.01924868759</v>
      </c>
      <c r="G19" s="85">
        <f>BalSht!G19/BalSht!G$20</f>
        <v>0.01575064408</v>
      </c>
      <c r="H19" s="85">
        <f>BalSht!H19/BalSht!H$20</f>
        <v>0.02138369973</v>
      </c>
      <c r="I19" s="85">
        <f>BalSht!I19/BalSht!I$20</f>
        <v>0.02144020825</v>
      </c>
      <c r="J19" s="85">
        <f>BalSht!J19/BalSht!J$20</f>
        <v>0.02152929258</v>
      </c>
      <c r="K19" s="85">
        <f>BalSht!K19/BalSht!K$20</f>
        <v>0.02160029998</v>
      </c>
      <c r="L19" s="85">
        <f>BalSht!L19/BalSht!L$20</f>
        <v>0.02166151224</v>
      </c>
      <c r="M19" s="85">
        <f>BalSht!M19/BalSht!M$20</f>
        <v>0.02170885525</v>
      </c>
      <c r="N19" s="85">
        <f>BalSht!N19/BalSht!N$20</f>
        <v>0.02175558011</v>
      </c>
      <c r="O19" s="85">
        <f>BalSht!O19/BalSht!O$20</f>
        <v>0.02179220296</v>
      </c>
      <c r="P19" s="85">
        <f>BalSht!P19/BalSht!P$20</f>
        <v>0.0218146763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30" t="s">
        <v>150</v>
      </c>
      <c r="B20" s="60"/>
      <c r="C20" s="87">
        <f>BalSht!C20/BalSht!C$20</f>
        <v>1</v>
      </c>
      <c r="D20" s="87">
        <f>BalSht!D20/BalSht!D$20</f>
        <v>1</v>
      </c>
      <c r="E20" s="87">
        <f>BalSht!E20/BalSht!E$20</f>
        <v>1</v>
      </c>
      <c r="F20" s="87">
        <f>BalSht!F20/BalSht!F$20</f>
        <v>1</v>
      </c>
      <c r="G20" s="87">
        <f>BalSht!G20/BalSht!G$20</f>
        <v>1</v>
      </c>
      <c r="H20" s="87">
        <f>BalSht!H20/BalSht!H$20</f>
        <v>1</v>
      </c>
      <c r="I20" s="87">
        <f>BalSht!I20/BalSht!I$20</f>
        <v>1</v>
      </c>
      <c r="J20" s="87">
        <f>BalSht!J20/BalSht!J$20</f>
        <v>1</v>
      </c>
      <c r="K20" s="87">
        <f>BalSht!K20/BalSht!K$20</f>
        <v>1</v>
      </c>
      <c r="L20" s="87">
        <f>BalSht!L20/BalSht!L$20</f>
        <v>1</v>
      </c>
      <c r="M20" s="87">
        <f>BalSht!M20/BalSht!M$20</f>
        <v>1</v>
      </c>
      <c r="N20" s="87">
        <f>BalSht!N20/BalSht!N$20</f>
        <v>1</v>
      </c>
      <c r="O20" s="87">
        <f>BalSht!O20/BalSht!O$20</f>
        <v>1</v>
      </c>
      <c r="P20" s="87">
        <f>BalSht!P20/BalSht!P$20</f>
        <v>1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21"/>
      <c r="B21" s="21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3" t="s">
        <v>151</v>
      </c>
      <c r="B22" s="21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30" t="s">
        <v>152</v>
      </c>
      <c r="B23" s="21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153</v>
      </c>
      <c r="B24" s="55"/>
      <c r="C24" s="85">
        <f>BalSht!C24/BalSht!C$20</f>
        <v>0.1564100731</v>
      </c>
      <c r="D24" s="85">
        <f>BalSht!D24/BalSht!D$20</f>
        <v>0.1629195178</v>
      </c>
      <c r="E24" s="85">
        <f>BalSht!E24/BalSht!E$20</f>
        <v>0.1626805003</v>
      </c>
      <c r="F24" s="85">
        <f>BalSht!F24/BalSht!F$20</f>
        <v>0.1762379838</v>
      </c>
      <c r="G24" s="85">
        <f>BalSht!G24/BalSht!G$20</f>
        <v>0.1519829807</v>
      </c>
      <c r="H24" s="85">
        <f>BalSht!H24/BalSht!H$20</f>
        <v>0.1542221373</v>
      </c>
      <c r="I24" s="85">
        <f>BalSht!I24/BalSht!I$20</f>
        <v>0.1524678589</v>
      </c>
      <c r="J24" s="85">
        <f>BalSht!J24/BalSht!J$20</f>
        <v>0.1528217376</v>
      </c>
      <c r="K24" s="85">
        <f>BalSht!K24/BalSht!K$20</f>
        <v>0.1527879249</v>
      </c>
      <c r="L24" s="85">
        <f>BalSht!L24/BalSht!L$20</f>
        <v>0.1530326578</v>
      </c>
      <c r="M24" s="85">
        <f>BalSht!M24/BalSht!M$20</f>
        <v>0.1531336194</v>
      </c>
      <c r="N24" s="85">
        <f>BalSht!N24/BalSht!N$20</f>
        <v>0.1532292088</v>
      </c>
      <c r="O24" s="85">
        <f>BalSht!O24/BalSht!O$20</f>
        <v>0.153532169</v>
      </c>
      <c r="P24" s="85">
        <f>BalSht!P24/BalSht!P$20</f>
        <v>0.1536905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154</v>
      </c>
      <c r="B25" s="55"/>
      <c r="C25" s="85">
        <f>BalSht!C25/BalSht!C$20</f>
        <v>0.04624401401</v>
      </c>
      <c r="D25" s="85">
        <f>BalSht!D25/BalSht!D$20</f>
        <v>0.05108690593</v>
      </c>
      <c r="E25" s="85">
        <f>BalSht!E25/BalSht!E$20</f>
        <v>0.04873228682</v>
      </c>
      <c r="F25" s="85">
        <f>BalSht!F25/BalSht!F$20</f>
        <v>0.0593368634</v>
      </c>
      <c r="G25" s="85">
        <f>BalSht!G25/BalSht!G$20</f>
        <v>0.05224841908</v>
      </c>
      <c r="H25" s="85">
        <f>BalSht!H25/BalSht!H$20</f>
        <v>0.04918250937</v>
      </c>
      <c r="I25" s="85">
        <f>BalSht!I25/BalSht!I$20</f>
        <v>0.04931247897</v>
      </c>
      <c r="J25" s="85">
        <f>BalSht!J25/BalSht!J$20</f>
        <v>0.04951737293</v>
      </c>
      <c r="K25" s="85">
        <f>BalSht!K25/BalSht!K$20</f>
        <v>0.04968068996</v>
      </c>
      <c r="L25" s="85">
        <f>BalSht!L25/BalSht!L$20</f>
        <v>0.04982147816</v>
      </c>
      <c r="M25" s="85">
        <f>BalSht!M25/BalSht!M$20</f>
        <v>0.04993036708</v>
      </c>
      <c r="N25" s="85">
        <f>BalSht!N25/BalSht!N$20</f>
        <v>0.05003783424</v>
      </c>
      <c r="O25" s="85">
        <f>BalSht!O25/BalSht!O$20</f>
        <v>0.05012206682</v>
      </c>
      <c r="P25" s="85">
        <f>BalSht!P25/BalSht!P$20</f>
        <v>0.05017375548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155</v>
      </c>
      <c r="B26" s="55"/>
      <c r="C26" s="85">
        <f>BalSht!C26/BalSht!C$20</f>
        <v>0.03609463226</v>
      </c>
      <c r="D26" s="85">
        <f>BalSht!D26/BalSht!D$20</f>
        <v>0.03453893776</v>
      </c>
      <c r="E26" s="85">
        <f>BalSht!E26/BalSht!E$20</f>
        <v>0.03682993106</v>
      </c>
      <c r="F26" s="85">
        <f>BalSht!F26/BalSht!F$20</f>
        <v>0.03422493921</v>
      </c>
      <c r="G26" s="85">
        <f>BalSht!G26/BalSht!G$20</f>
        <v>0.02915918495</v>
      </c>
      <c r="H26" s="85">
        <f>BalSht!H26/BalSht!H$20</f>
        <v>0.02993717962</v>
      </c>
      <c r="I26" s="85">
        <f>BalSht!I26/BalSht!I$20</f>
        <v>0.03001629154</v>
      </c>
      <c r="J26" s="85">
        <f>BalSht!J26/BalSht!J$20</f>
        <v>0.03014100961</v>
      </c>
      <c r="K26" s="85">
        <f>BalSht!K26/BalSht!K$20</f>
        <v>0.03024041998</v>
      </c>
      <c r="L26" s="85">
        <f>BalSht!L26/BalSht!L$20</f>
        <v>0.03032611714</v>
      </c>
      <c r="M26" s="85">
        <f>BalSht!M26/BalSht!M$20</f>
        <v>0.03039239735</v>
      </c>
      <c r="N26" s="85">
        <f>BalSht!N26/BalSht!N$20</f>
        <v>0.03045781215</v>
      </c>
      <c r="O26" s="85">
        <f>BalSht!O26/BalSht!O$20</f>
        <v>0.03050908415</v>
      </c>
      <c r="P26" s="85">
        <f>BalSht!P26/BalSht!P$20</f>
        <v>0.03054054682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21" t="s">
        <v>156</v>
      </c>
      <c r="B27" s="55"/>
      <c r="C27" s="85">
        <f>BalSht!C27/BalSht!C$20</f>
        <v>0.01134062373</v>
      </c>
      <c r="D27" s="85">
        <f>BalSht!D27/BalSht!D$20</f>
        <v>0.01182330215</v>
      </c>
      <c r="E27" s="85">
        <f>BalSht!E27/BalSht!E$20</f>
        <v>0.01167778302</v>
      </c>
      <c r="F27" s="85">
        <f>BalSht!F27/BalSht!F$20</f>
        <v>0.01490807445</v>
      </c>
      <c r="G27" s="85">
        <f>BalSht!G27/BalSht!G$20</f>
        <v>0.01180810368</v>
      </c>
      <c r="H27" s="85">
        <f>BalSht!H27/BalSht!H$20</f>
        <v>0.01069184986</v>
      </c>
      <c r="I27" s="85">
        <f>BalSht!I27/BalSht!I$20</f>
        <v>0.01072010412</v>
      </c>
      <c r="J27" s="85">
        <f>BalSht!J27/BalSht!J$20</f>
        <v>0.01076464629</v>
      </c>
      <c r="K27" s="85">
        <f>BalSht!K27/BalSht!K$20</f>
        <v>0.01080014999</v>
      </c>
      <c r="L27" s="85">
        <f>BalSht!L27/BalSht!L$20</f>
        <v>0.01083075612</v>
      </c>
      <c r="M27" s="85">
        <f>BalSht!M27/BalSht!M$20</f>
        <v>0.01085442763</v>
      </c>
      <c r="N27" s="85">
        <f>BalSht!N27/BalSht!N$20</f>
        <v>0.01087779005</v>
      </c>
      <c r="O27" s="85">
        <f>BalSht!O27/BalSht!O$20</f>
        <v>0.01089610148</v>
      </c>
      <c r="P27" s="85">
        <f>BalSht!P27/BalSht!P$20</f>
        <v>0.01090733815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21" t="s">
        <v>157</v>
      </c>
      <c r="B28" s="55"/>
      <c r="C28" s="85">
        <f>BalSht!C28/BalSht!C$20</f>
        <v>0.008338693922</v>
      </c>
      <c r="D28" s="85">
        <f>BalSht!D28/BalSht!D$20</f>
        <v>0.01652469394</v>
      </c>
      <c r="E28" s="85">
        <f>BalSht!E28/BalSht!E$20</f>
        <v>0.03501089178</v>
      </c>
      <c r="F28" s="85">
        <f>BalSht!F28/BalSht!F$20</f>
        <v>0.03042974343</v>
      </c>
      <c r="G28" s="85">
        <f>BalSht!G28/BalSht!G$20</f>
        <v>0.01901007104</v>
      </c>
      <c r="H28" s="85">
        <f>BalSht!H28/BalSht!H$20</f>
        <v>0.01660055986</v>
      </c>
      <c r="I28" s="85">
        <f>BalSht!I28/BalSht!I$20</f>
        <v>0.016120949</v>
      </c>
      <c r="J28" s="85">
        <f>BalSht!J28/BalSht!J$20</f>
        <v>0.01563327564</v>
      </c>
      <c r="K28" s="85">
        <f>BalSht!K28/BalSht!K$20</f>
        <v>0.01516209637</v>
      </c>
      <c r="L28" s="85">
        <f>BalSht!L28/BalSht!L$20</f>
        <v>0.01469831286</v>
      </c>
      <c r="M28" s="85">
        <f>BalSht!M28/BalSht!M$20</f>
        <v>0.01423950467</v>
      </c>
      <c r="N28" s="85">
        <f>BalSht!N28/BalSht!N$20</f>
        <v>0.01379456063</v>
      </c>
      <c r="O28" s="85">
        <f>BalSht!O28/BalSht!O$20</f>
        <v>0.01335726629</v>
      </c>
      <c r="P28" s="85">
        <f>BalSht!P28/BalSht!P$20</f>
        <v>0.01292541413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21" t="s">
        <v>158</v>
      </c>
      <c r="B29" s="55"/>
      <c r="C29" s="85">
        <f>BalSht!C29/BalSht!C$20</f>
        <v>0.001834512663</v>
      </c>
      <c r="D29" s="85">
        <f>BalSht!D29/BalSht!D$20</f>
        <v>0.01261462552</v>
      </c>
      <c r="E29" s="85">
        <f>BalSht!E29/BalSht!E$20</f>
        <v>0.02699364459</v>
      </c>
      <c r="F29" s="85">
        <f>BalSht!F29/BalSht!F$20</f>
        <v>0.02399836375</v>
      </c>
      <c r="G29" s="85">
        <f>BalSht!G29/BalSht!G$20</f>
        <v>0.03589273167</v>
      </c>
      <c r="H29" s="85">
        <f>BalSht!H29/BalSht!H$20</f>
        <v>0.03134335686</v>
      </c>
      <c r="I29" s="85">
        <f>BalSht!I29/BalSht!I$20</f>
        <v>0.03043780823</v>
      </c>
      <c r="J29" s="85">
        <f>BalSht!J29/BalSht!J$20</f>
        <v>0.02951703685</v>
      </c>
      <c r="K29" s="85">
        <f>BalSht!K29/BalSht!K$20</f>
        <v>0.02862740783</v>
      </c>
      <c r="L29" s="85">
        <f>BalSht!L29/BalSht!L$20</f>
        <v>0.02775174266</v>
      </c>
      <c r="M29" s="85">
        <f>BalSht!M29/BalSht!M$20</f>
        <v>0.02688547135</v>
      </c>
      <c r="N29" s="85">
        <f>BalSht!N29/BalSht!N$20</f>
        <v>0.0260453768</v>
      </c>
      <c r="O29" s="85">
        <f>BalSht!O29/BalSht!O$20</f>
        <v>0.02521972557</v>
      </c>
      <c r="P29" s="85">
        <f>BalSht!P29/BalSht!P$20</f>
        <v>0.02440434967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21" t="s">
        <v>159</v>
      </c>
      <c r="B30" s="55"/>
      <c r="C30" s="85">
        <f>BalSht!C30/BalSht!C$20</f>
        <v>0</v>
      </c>
      <c r="D30" s="85">
        <f>BalSht!D30/BalSht!D$20</f>
        <v>0</v>
      </c>
      <c r="E30" s="85">
        <f>BalSht!E30/BalSht!E$20</f>
        <v>0</v>
      </c>
      <c r="F30" s="85">
        <f>BalSht!F30/BalSht!F$20</f>
        <v>0</v>
      </c>
      <c r="G30" s="85">
        <f>BalSht!G30/BalSht!G$20</f>
        <v>0.01616051214</v>
      </c>
      <c r="H30" s="85">
        <f>BalSht!H30/BalSht!H$20</f>
        <v>0.01644772321</v>
      </c>
      <c r="I30" s="85">
        <f>BalSht!I30/BalSht!I$20</f>
        <v>0.01614707974</v>
      </c>
      <c r="J30" s="85">
        <f>BalSht!J30/BalSht!J$20</f>
        <v>0.01584735495</v>
      </c>
      <c r="K30" s="85">
        <f>BalSht!K30/BalSht!K$20</f>
        <v>0.0157050653</v>
      </c>
      <c r="L30" s="85">
        <f>BalSht!L30/BalSht!L$20</f>
        <v>0.01555521637</v>
      </c>
      <c r="M30" s="85">
        <f>BalSht!M30/BalSht!M$20</f>
        <v>0.01548160287</v>
      </c>
      <c r="N30" s="85">
        <f>BalSht!N30/BalSht!N$20</f>
        <v>0.01540778937</v>
      </c>
      <c r="O30" s="85">
        <f>BalSht!O30/BalSht!O$20</f>
        <v>0.01532709567</v>
      </c>
      <c r="P30" s="85">
        <f>BalSht!P30/BalSht!P$20</f>
        <v>0.01532368401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21" t="s">
        <v>160</v>
      </c>
      <c r="B31" s="55"/>
      <c r="C31" s="85">
        <f>BalSht!C31/BalSht!C$20</f>
        <v>0.0008100445525</v>
      </c>
      <c r="D31" s="85">
        <f>BalSht!D31/BalSht!D$20</f>
        <v>0.0005818554206</v>
      </c>
      <c r="E31" s="85">
        <f>BalSht!E31/BalSht!E$20</f>
        <v>0.001212692852</v>
      </c>
      <c r="F31" s="85">
        <f>BalSht!F31/BalSht!F$20</f>
        <v>0.0002499829557</v>
      </c>
      <c r="G31" s="85">
        <f>BalSht!G31/BalSht!G$20</f>
        <v>0.001073463971</v>
      </c>
      <c r="H31" s="85">
        <f>BalSht!H31/BalSht!H$20</f>
        <v>0</v>
      </c>
      <c r="I31" s="85">
        <f>BalSht!I31/BalSht!I$20</f>
        <v>0</v>
      </c>
      <c r="J31" s="85">
        <f>BalSht!J31/BalSht!J$20</f>
        <v>0</v>
      </c>
      <c r="K31" s="85">
        <f>BalSht!K31/BalSht!K$20</f>
        <v>0</v>
      </c>
      <c r="L31" s="85">
        <f>BalSht!L31/BalSht!L$20</f>
        <v>0</v>
      </c>
      <c r="M31" s="85">
        <f>BalSht!M31/BalSht!M$20</f>
        <v>0</v>
      </c>
      <c r="N31" s="85">
        <f>BalSht!N31/BalSht!N$20</f>
        <v>0</v>
      </c>
      <c r="O31" s="85">
        <f>BalSht!O31/BalSht!O$20</f>
        <v>0</v>
      </c>
      <c r="P31" s="85">
        <f>BalSht!P31/BalSht!P$20</f>
        <v>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21" t="s">
        <v>161</v>
      </c>
      <c r="B32" s="55"/>
      <c r="C32" s="86">
        <f>BalSht!C32/BalSht!C$20</f>
        <v>0.03730969909</v>
      </c>
      <c r="D32" s="86">
        <f>BalSht!D32/BalSht!D$20</f>
        <v>0.03884466788</v>
      </c>
      <c r="E32" s="86">
        <f>BalSht!E32/BalSht!E$20</f>
        <v>0.04053538144</v>
      </c>
      <c r="F32" s="86">
        <f>BalSht!F32/BalSht!F$20</f>
        <v>0.04049723882</v>
      </c>
      <c r="G32" s="86">
        <f>BalSht!G32/BalSht!G$20</f>
        <v>0.04129908658</v>
      </c>
      <c r="H32" s="86">
        <f>BalSht!H32/BalSht!H$20</f>
        <v>0.03849065951</v>
      </c>
      <c r="I32" s="86">
        <f>BalSht!I32/BalSht!I$20</f>
        <v>0.03859237484</v>
      </c>
      <c r="J32" s="86">
        <f>BalSht!J32/BalSht!J$20</f>
        <v>0.03875272664</v>
      </c>
      <c r="K32" s="86">
        <f>BalSht!K32/BalSht!K$20</f>
        <v>0.03888053997</v>
      </c>
      <c r="L32" s="86">
        <f>BalSht!L32/BalSht!L$20</f>
        <v>0.03899072204</v>
      </c>
      <c r="M32" s="86">
        <f>BalSht!M32/BalSht!M$20</f>
        <v>0.03907593945</v>
      </c>
      <c r="N32" s="86">
        <f>BalSht!N32/BalSht!N$20</f>
        <v>0.03916004419</v>
      </c>
      <c r="O32" s="86">
        <f>BalSht!O32/BalSht!O$20</f>
        <v>0.03922596533</v>
      </c>
      <c r="P32" s="86">
        <f>BalSht!P32/BalSht!P$20</f>
        <v>0.03926641734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30" t="s">
        <v>162</v>
      </c>
      <c r="B33" s="60"/>
      <c r="C33" s="85">
        <f>BalSht!C33/BalSht!C$20</f>
        <v>0.2983822934</v>
      </c>
      <c r="D33" s="85">
        <f>BalSht!D33/BalSht!D$20</f>
        <v>0.3289345064</v>
      </c>
      <c r="E33" s="85">
        <f>BalSht!E33/BalSht!E$20</f>
        <v>0.3636731119</v>
      </c>
      <c r="F33" s="85">
        <f>BalSht!F33/BalSht!F$20</f>
        <v>0.3798831898</v>
      </c>
      <c r="G33" s="85">
        <f>BalSht!G33/BalSht!G$20</f>
        <v>0.3586345538</v>
      </c>
      <c r="H33" s="85">
        <f>BalSht!H33/BalSht!H$20</f>
        <v>0.3469159756</v>
      </c>
      <c r="I33" s="85">
        <f>BalSht!I33/BalSht!I$20</f>
        <v>0.3438149454</v>
      </c>
      <c r="J33" s="85">
        <f>BalSht!J33/BalSht!J$20</f>
        <v>0.3429951605</v>
      </c>
      <c r="K33" s="85">
        <f>BalSht!K33/BalSht!K$20</f>
        <v>0.3418842943</v>
      </c>
      <c r="L33" s="85">
        <f>BalSht!L33/BalSht!L$20</f>
        <v>0.3410070031</v>
      </c>
      <c r="M33" s="85">
        <f>BalSht!M33/BalSht!M$20</f>
        <v>0.3399933298</v>
      </c>
      <c r="N33" s="85">
        <f>BalSht!N33/BalSht!N$20</f>
        <v>0.3390104163</v>
      </c>
      <c r="O33" s="85">
        <f>BalSht!O33/BalSht!O$20</f>
        <v>0.3381894743</v>
      </c>
      <c r="P33" s="85">
        <f>BalSht!P33/BalSht!P$20</f>
        <v>0.3372320055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21"/>
      <c r="B34" s="21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30" t="s">
        <v>163</v>
      </c>
      <c r="B35" s="21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21" t="s">
        <v>164</v>
      </c>
      <c r="B36" s="55"/>
      <c r="C36" s="85">
        <f>BalSht!C36/BalSht!C$20</f>
        <v>0.4952945941</v>
      </c>
      <c r="D36" s="85">
        <f>BalSht!D36/BalSht!D$20</f>
        <v>0.5201554718</v>
      </c>
      <c r="E36" s="85">
        <f>BalSht!E36/BalSht!E$20</f>
        <v>0.5449706933</v>
      </c>
      <c r="F36" s="85">
        <f>BalSht!F36/BalSht!F$20</f>
        <v>0.6092084631</v>
      </c>
      <c r="G36" s="85">
        <f>BalSht!G36/BalSht!G$20</f>
        <v>0.5595674916</v>
      </c>
      <c r="H36" s="85">
        <f>BalSht!H36/BalSht!H$20</f>
        <v>0.4886427629</v>
      </c>
      <c r="I36" s="85">
        <f>BalSht!I36/BalSht!I$20</f>
        <v>0.4745252649</v>
      </c>
      <c r="J36" s="85">
        <f>BalSht!J36/BalSht!J$20</f>
        <v>0.460170444</v>
      </c>
      <c r="K36" s="85">
        <f>BalSht!K36/BalSht!K$20</f>
        <v>0.4463011325</v>
      </c>
      <c r="L36" s="85">
        <f>BalSht!L36/BalSht!L$20</f>
        <v>0.4326495172</v>
      </c>
      <c r="M36" s="85">
        <f>BalSht!M36/BalSht!M$20</f>
        <v>0.4191443521</v>
      </c>
      <c r="N36" s="85">
        <f>BalSht!N36/BalSht!N$20</f>
        <v>0.4060472827</v>
      </c>
      <c r="O36" s="85">
        <f>BalSht!O36/BalSht!O$20</f>
        <v>0.3931753845</v>
      </c>
      <c r="P36" s="85">
        <f>BalSht!P36/BalSht!P$20</f>
        <v>0.3804636787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21" t="s">
        <v>165</v>
      </c>
      <c r="B37" s="55"/>
      <c r="C37" s="85">
        <f>BalSht!C37/BalSht!C$20</f>
        <v>0</v>
      </c>
      <c r="D37" s="85">
        <f>BalSht!D37/BalSht!D$20</f>
        <v>0</v>
      </c>
      <c r="E37" s="85">
        <f>BalSht!E37/BalSht!E$20</f>
        <v>0</v>
      </c>
      <c r="F37" s="85">
        <f>BalSht!F37/BalSht!F$20</f>
        <v>0</v>
      </c>
      <c r="G37" s="85">
        <f>BalSht!G37/BalSht!G$20</f>
        <v>0.09887579046</v>
      </c>
      <c r="H37" s="85">
        <f>BalSht!H37/BalSht!H$20</f>
        <v>0.1006330504</v>
      </c>
      <c r="I37" s="85">
        <f>BalSht!I37/BalSht!I$20</f>
        <v>0.09879360622</v>
      </c>
      <c r="J37" s="85">
        <f>BalSht!J37/BalSht!J$20</f>
        <v>0.09695978281</v>
      </c>
      <c r="K37" s="85">
        <f>BalSht!K37/BalSht!K$20</f>
        <v>0.0960892039</v>
      </c>
      <c r="L37" s="85">
        <f>BalSht!L37/BalSht!L$20</f>
        <v>0.09517237456</v>
      </c>
      <c r="M37" s="85">
        <f>BalSht!M37/BalSht!M$20</f>
        <v>0.09472198087</v>
      </c>
      <c r="N37" s="85">
        <f>BalSht!N37/BalSht!N$20</f>
        <v>0.09427036347</v>
      </c>
      <c r="O37" s="85">
        <f>BalSht!O37/BalSht!O$20</f>
        <v>0.09377665054</v>
      </c>
      <c r="P37" s="85">
        <f>BalSht!P37/BalSht!P$20</f>
        <v>0.09375577683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21" t="s">
        <v>166</v>
      </c>
      <c r="B38" s="55"/>
      <c r="C38" s="85">
        <f>BalSht!C38/BalSht!C$20</f>
        <v>0.009029614276</v>
      </c>
      <c r="D38" s="85">
        <f>BalSht!D38/BalSht!D$20</f>
        <v>0.006889168179</v>
      </c>
      <c r="E38" s="85">
        <f>BalSht!E38/BalSht!E$20</f>
        <v>0.009881201015</v>
      </c>
      <c r="F38" s="85">
        <f>BalSht!F38/BalSht!F$20</f>
        <v>0.01115833011</v>
      </c>
      <c r="G38" s="85">
        <f>BalSht!G38/BalSht!G$20</f>
        <v>0.01377937388</v>
      </c>
      <c r="H38" s="85">
        <f>BalSht!H38/BalSht!H$20</f>
        <v>0.01069184986</v>
      </c>
      <c r="I38" s="85">
        <f>BalSht!I38/BalSht!I$20</f>
        <v>0.01072010412</v>
      </c>
      <c r="J38" s="85">
        <f>BalSht!J38/BalSht!J$20</f>
        <v>0.01076464629</v>
      </c>
      <c r="K38" s="85">
        <f>BalSht!K38/BalSht!K$20</f>
        <v>0.01080014999</v>
      </c>
      <c r="L38" s="85">
        <f>BalSht!L38/BalSht!L$20</f>
        <v>0.01083075612</v>
      </c>
      <c r="M38" s="85">
        <f>BalSht!M38/BalSht!M$20</f>
        <v>0.01085442763</v>
      </c>
      <c r="N38" s="85">
        <f>BalSht!N38/BalSht!N$20</f>
        <v>0.01087779005</v>
      </c>
      <c r="O38" s="85">
        <f>BalSht!O38/BalSht!O$20</f>
        <v>0.01089610148</v>
      </c>
      <c r="P38" s="85">
        <f>BalSht!P38/BalSht!P$20</f>
        <v>0.01090733815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21" t="s">
        <v>167</v>
      </c>
      <c r="B39" s="55"/>
      <c r="C39" s="86">
        <f>BalSht!C39/BalSht!C$20</f>
        <v>0.04681581016</v>
      </c>
      <c r="D39" s="86">
        <f>BalSht!D39/BalSht!D$20</f>
        <v>0.04317367221</v>
      </c>
      <c r="E39" s="86">
        <f>BalSht!E39/BalSht!E$20</f>
        <v>0.04882211592</v>
      </c>
      <c r="F39" s="86">
        <f>BalSht!F39/BalSht!F$20</f>
        <v>0.0424289253</v>
      </c>
      <c r="G39" s="86">
        <f>BalSht!G39/BalSht!G$20</f>
        <v>0.02995940354</v>
      </c>
      <c r="H39" s="86">
        <f>BalSht!H39/BalSht!H$20</f>
        <v>0.03207554959</v>
      </c>
      <c r="I39" s="86">
        <f>BalSht!I39/BalSht!I$20</f>
        <v>0.03216031237</v>
      </c>
      <c r="J39" s="86">
        <f>BalSht!J39/BalSht!J$20</f>
        <v>0.03229393887</v>
      </c>
      <c r="K39" s="86">
        <f>BalSht!K39/BalSht!K$20</f>
        <v>0.03240044997</v>
      </c>
      <c r="L39" s="86">
        <f>BalSht!L39/BalSht!L$20</f>
        <v>0.03249226836</v>
      </c>
      <c r="M39" s="86">
        <f>BalSht!M39/BalSht!M$20</f>
        <v>0.03256328288</v>
      </c>
      <c r="N39" s="86">
        <f>BalSht!N39/BalSht!N$20</f>
        <v>0.03263337016</v>
      </c>
      <c r="O39" s="86">
        <f>BalSht!O39/BalSht!O$20</f>
        <v>0.03268830444</v>
      </c>
      <c r="P39" s="86">
        <f>BalSht!P39/BalSht!P$20</f>
        <v>0.03272201445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30" t="s">
        <v>168</v>
      </c>
      <c r="B40" s="55"/>
      <c r="C40" s="85">
        <f>BalSht!C40/BalSht!C$20</f>
        <v>0.5511400186</v>
      </c>
      <c r="D40" s="85">
        <f>BalSht!D40/BalSht!D$20</f>
        <v>0.5702183122</v>
      </c>
      <c r="E40" s="85">
        <f>BalSht!E40/BalSht!E$20</f>
        <v>0.6036740102</v>
      </c>
      <c r="F40" s="85">
        <f>BalSht!F40/BalSht!F$20</f>
        <v>0.6627957185</v>
      </c>
      <c r="G40" s="85">
        <f>BalSht!G40/BalSht!G$20</f>
        <v>0.7021820595</v>
      </c>
      <c r="H40" s="85">
        <f>BalSht!H40/BalSht!H$20</f>
        <v>0.6320432128</v>
      </c>
      <c r="I40" s="85">
        <f>BalSht!I40/BalSht!I$20</f>
        <v>0.6161992876</v>
      </c>
      <c r="J40" s="85">
        <f>BalSht!J40/BalSht!J$20</f>
        <v>0.600188812</v>
      </c>
      <c r="K40" s="85">
        <f>BalSht!K40/BalSht!K$20</f>
        <v>0.5855909363</v>
      </c>
      <c r="L40" s="85">
        <f>BalSht!L40/BalSht!L$20</f>
        <v>0.5711449162</v>
      </c>
      <c r="M40" s="85">
        <f>BalSht!M40/BalSht!M$20</f>
        <v>0.5572840435</v>
      </c>
      <c r="N40" s="85">
        <f>BalSht!N40/BalSht!N$20</f>
        <v>0.5438288063</v>
      </c>
      <c r="O40" s="85">
        <f>BalSht!O40/BalSht!O$20</f>
        <v>0.530536441</v>
      </c>
      <c r="P40" s="85">
        <f>BalSht!P40/BalSht!P$20</f>
        <v>0.5178488081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21"/>
      <c r="B41" s="55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30" t="s">
        <v>169</v>
      </c>
      <c r="B42" s="55"/>
      <c r="C42" s="85">
        <f>BalSht!C42/BalSht!C$20</f>
        <v>0.849522312</v>
      </c>
      <c r="D42" s="85">
        <f>BalSht!D42/BalSht!D$20</f>
        <v>0.8991528185</v>
      </c>
      <c r="E42" s="85">
        <f>BalSht!E42/BalSht!E$20</f>
        <v>0.9673471221</v>
      </c>
      <c r="F42" s="85">
        <f>BalSht!F42/BalSht!F$20</f>
        <v>1.042678908</v>
      </c>
      <c r="G42" s="85">
        <f>BalSht!G42/BalSht!G$20</f>
        <v>1.060816613</v>
      </c>
      <c r="H42" s="85">
        <f>BalSht!H42/BalSht!H$20</f>
        <v>0.9789591884</v>
      </c>
      <c r="I42" s="85">
        <f>BalSht!I42/BalSht!I$20</f>
        <v>0.960014233</v>
      </c>
      <c r="J42" s="85">
        <f>BalSht!J42/BalSht!J$20</f>
        <v>0.9431839725</v>
      </c>
      <c r="K42" s="85">
        <f>BalSht!K42/BalSht!K$20</f>
        <v>0.9274752306</v>
      </c>
      <c r="L42" s="85">
        <f>BalSht!L42/BalSht!L$20</f>
        <v>0.9121519194</v>
      </c>
      <c r="M42" s="85">
        <f>BalSht!M42/BalSht!M$20</f>
        <v>0.8972773733</v>
      </c>
      <c r="N42" s="85">
        <f>BalSht!N42/BalSht!N$20</f>
        <v>0.8828392226</v>
      </c>
      <c r="O42" s="85">
        <f>BalSht!O42/BalSht!O$20</f>
        <v>0.8687259153</v>
      </c>
      <c r="P42" s="85">
        <f>BalSht!P42/BalSht!P$20</f>
        <v>0.8550808137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21"/>
      <c r="B43" s="21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30" t="s">
        <v>170</v>
      </c>
      <c r="B44" s="21"/>
      <c r="C44" s="85">
        <f>BalSht!C44/BalSht!C$20</f>
        <v>0.150477688</v>
      </c>
      <c r="D44" s="85">
        <f>BalSht!D44/BalSht!D$20</f>
        <v>0.1008471815</v>
      </c>
      <c r="E44" s="85">
        <f>BalSht!E44/BalSht!E$20</f>
        <v>0.0326528779</v>
      </c>
      <c r="F44" s="85">
        <f>BalSht!F44/BalSht!F$20</f>
        <v>-0.04267890826</v>
      </c>
      <c r="G44" s="85">
        <f>BalSht!G44/BalSht!G$20</f>
        <v>-0.06081661332</v>
      </c>
      <c r="H44" s="85">
        <f>BalSht!H44/BalSht!H$20</f>
        <v>0.02104081159</v>
      </c>
      <c r="I44" s="85">
        <f>BalSht!I44/BalSht!I$20</f>
        <v>0.03998576705</v>
      </c>
      <c r="J44" s="85">
        <f>BalSht!J44/BalSht!J$20</f>
        <v>0.0568160275</v>
      </c>
      <c r="K44" s="85">
        <f>BalSht!K44/BalSht!K$20</f>
        <v>0.07252476939</v>
      </c>
      <c r="L44" s="85">
        <f>BalSht!L44/BalSht!L$20</f>
        <v>0.08784808065</v>
      </c>
      <c r="M44" s="85">
        <f>BalSht!M44/BalSht!M$20</f>
        <v>0.1027226267</v>
      </c>
      <c r="N44" s="85">
        <f>BalSht!N44/BalSht!N$20</f>
        <v>0.1171607774</v>
      </c>
      <c r="O44" s="85">
        <f>BalSht!O44/BalSht!O$20</f>
        <v>0.1312740847</v>
      </c>
      <c r="P44" s="85">
        <f>BalSht!P44/BalSht!P$20</f>
        <v>0.1449191863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30"/>
      <c r="B45" s="60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30" t="s">
        <v>171</v>
      </c>
      <c r="B46" s="60"/>
      <c r="C46" s="87">
        <f>BalSht!C46/BalSht!C$20</f>
        <v>1</v>
      </c>
      <c r="D46" s="87">
        <f>BalSht!D46/BalSht!D$20</f>
        <v>1</v>
      </c>
      <c r="E46" s="87">
        <f>BalSht!E46/BalSht!E$20</f>
        <v>1</v>
      </c>
      <c r="F46" s="87">
        <f>BalSht!F46/BalSht!F$20</f>
        <v>1</v>
      </c>
      <c r="G46" s="87">
        <f>BalSht!G46/BalSht!G$20</f>
        <v>1</v>
      </c>
      <c r="H46" s="87">
        <f>BalSht!H46/BalSht!H$20</f>
        <v>1</v>
      </c>
      <c r="I46" s="87">
        <f>BalSht!I46/BalSht!I$20</f>
        <v>1</v>
      </c>
      <c r="J46" s="87">
        <f>BalSht!J46/BalSht!J$20</f>
        <v>1</v>
      </c>
      <c r="K46" s="87">
        <f>BalSht!K46/BalSht!K$20</f>
        <v>1</v>
      </c>
      <c r="L46" s="87">
        <f>BalSht!L46/BalSht!L$20</f>
        <v>1</v>
      </c>
      <c r="M46" s="87">
        <f>BalSht!M46/BalSht!M$20</f>
        <v>1</v>
      </c>
      <c r="N46" s="87">
        <f>BalSht!N46/BalSht!N$20</f>
        <v>1</v>
      </c>
      <c r="O46" s="87">
        <f>BalSht!O46/BalSht!O$20</f>
        <v>1</v>
      </c>
      <c r="P46" s="87">
        <f>BalSht!P46/BalSht!P$20</f>
        <v>1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65"/>
      <c r="B47" s="1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52.29"/>
    <col customWidth="1" min="2" max="16" width="9.0"/>
    <col customWidth="1" min="17" max="26" width="8.86"/>
  </cols>
  <sheetData>
    <row r="1" ht="13.5" customHeight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0" t="s">
        <v>94</v>
      </c>
      <c r="B7" s="21"/>
      <c r="C7" s="21"/>
      <c r="D7" s="21"/>
      <c r="E7" s="21"/>
      <c r="F7" s="21"/>
      <c r="G7" s="2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21" t="s">
        <v>173</v>
      </c>
      <c r="B8" s="55"/>
      <c r="C8" s="88">
        <f>CFStat!C8/CFStat!C$28</f>
        <v>0.7477861944</v>
      </c>
      <c r="D8" s="88">
        <f>CFStat!D8/CFStat!D$28</f>
        <v>0.8133496882</v>
      </c>
      <c r="E8" s="88">
        <f>CFStat!E8/CFStat!E$28</f>
        <v>0.7173136065</v>
      </c>
      <c r="F8" s="88">
        <f>CFStat!F8/CFStat!F$28</f>
        <v>0.8529682467</v>
      </c>
      <c r="G8" s="88">
        <f>CFStat!G8/CFStat!G$28</f>
        <v>0.8192086279</v>
      </c>
      <c r="H8" s="12">
        <f>CFStat!H8/CFStat!H$28</f>
        <v>0.8282191351</v>
      </c>
      <c r="I8" s="12">
        <f>CFStat!I8/CFStat!I$28</f>
        <v>0.8192907238</v>
      </c>
      <c r="J8" s="12">
        <f>CFStat!J8/CFStat!J$28</f>
        <v>0.8108499986</v>
      </c>
      <c r="K8" s="12">
        <f>CFStat!K8/CFStat!K$28</f>
        <v>0.8095724489</v>
      </c>
      <c r="L8" s="12">
        <f>CFStat!L8/CFStat!L$28</f>
        <v>0.8079984523</v>
      </c>
      <c r="M8" s="12">
        <f>CFStat!M8/CFStat!M$28</f>
        <v>0.8051202691</v>
      </c>
      <c r="N8" s="12">
        <f>CFStat!N8/CFStat!N$28</f>
        <v>0.8020973823</v>
      </c>
      <c r="O8" s="12">
        <f>CFStat!O8/CFStat!O$28</f>
        <v>0.7983735027</v>
      </c>
      <c r="P8" s="12">
        <f>CFStat!P8/CFStat!P$28</f>
        <v>0.7931230641</v>
      </c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21"/>
      <c r="B9" s="55"/>
      <c r="C9" s="31"/>
      <c r="D9" s="88"/>
      <c r="E9" s="88"/>
      <c r="F9" s="88"/>
      <c r="G9" s="88"/>
      <c r="H9" s="12"/>
      <c r="I9" s="12"/>
      <c r="J9" s="12"/>
      <c r="K9" s="12"/>
      <c r="L9" s="12"/>
      <c r="M9" s="12"/>
      <c r="N9" s="12"/>
      <c r="O9" s="12"/>
      <c r="P9" s="12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32" t="s">
        <v>174</v>
      </c>
      <c r="B10" s="67"/>
      <c r="C10" s="68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12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32" t="s">
        <v>175</v>
      </c>
      <c r="B11" s="67"/>
      <c r="C11" s="6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12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21" t="s">
        <v>125</v>
      </c>
      <c r="B12" s="55"/>
      <c r="C12" s="88">
        <f>CFStat!C12/CFStat!C$28</f>
        <v>0.1987624026</v>
      </c>
      <c r="D12" s="88">
        <f>CFStat!D12/CFStat!D$28</f>
        <v>0.2016763774</v>
      </c>
      <c r="E12" s="88">
        <f>CFStat!E12/CFStat!E$28</f>
        <v>0.1713905743</v>
      </c>
      <c r="F12" s="88">
        <f>CFStat!F12/CFStat!F$28</f>
        <v>0.1650559902</v>
      </c>
      <c r="G12" s="88">
        <f>CFStat!G12/CFStat!G$28</f>
        <v>0.1673103549</v>
      </c>
      <c r="H12" s="12">
        <f>CFStat!H12/CFStat!H$28</f>
        <v>0.1621115102</v>
      </c>
      <c r="I12" s="12">
        <f>CFStat!I12/CFStat!I$28</f>
        <v>0.1746181285</v>
      </c>
      <c r="J12" s="12">
        <f>CFStat!J12/CFStat!J$28</f>
        <v>0.1724788423</v>
      </c>
      <c r="K12" s="12">
        <f>CFStat!K12/CFStat!K$28</f>
        <v>0.1737079444</v>
      </c>
      <c r="L12" s="12">
        <f>CFStat!L12/CFStat!L$28</f>
        <v>0.1760666893</v>
      </c>
      <c r="M12" s="12">
        <f>CFStat!M12/CFStat!M$28</f>
        <v>0.1793994456</v>
      </c>
      <c r="N12" s="12">
        <f>CFStat!N12/CFStat!N$28</f>
        <v>0.1827184133</v>
      </c>
      <c r="O12" s="12">
        <f>CFStat!O12/CFStat!O$28</f>
        <v>0.1871667616</v>
      </c>
      <c r="P12" s="12">
        <f>CFStat!P12/CFStat!P$28</f>
        <v>0.1926099182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21" t="s">
        <v>176</v>
      </c>
      <c r="B13" s="55"/>
      <c r="C13" s="88">
        <f>CFStat!C13/CFStat!C$28</f>
        <v>-0.0153632775</v>
      </c>
      <c r="D13" s="88">
        <f>CFStat!D13/CFStat!D$28</f>
        <v>0</v>
      </c>
      <c r="E13" s="88">
        <f>CFStat!E13/CFStat!E$28</f>
        <v>0</v>
      </c>
      <c r="F13" s="88">
        <f>CFStat!F13/CFStat!F$28</f>
        <v>0</v>
      </c>
      <c r="G13" s="88">
        <f>CFStat!G13/CFStat!G$28</f>
        <v>0</v>
      </c>
      <c r="H13" s="12">
        <f>CFStat!H13/CFStat!H$28</f>
        <v>0</v>
      </c>
      <c r="I13" s="12">
        <f>CFStat!I13/CFStat!I$28</f>
        <v>0</v>
      </c>
      <c r="J13" s="12">
        <f>CFStat!J13/CFStat!J$28</f>
        <v>0</v>
      </c>
      <c r="K13" s="12">
        <f>CFStat!K13/CFStat!K$28</f>
        <v>0</v>
      </c>
      <c r="L13" s="12">
        <f>CFStat!L13/CFStat!L$28</f>
        <v>0</v>
      </c>
      <c r="M13" s="12">
        <f>CFStat!M13/CFStat!M$28</f>
        <v>0</v>
      </c>
      <c r="N13" s="12">
        <f>CFStat!N13/CFStat!N$28</f>
        <v>0</v>
      </c>
      <c r="O13" s="12">
        <f>CFStat!O13/CFStat!O$28</f>
        <v>0</v>
      </c>
      <c r="P13" s="12">
        <f>CFStat!P13/CFStat!P$28</f>
        <v>0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21" t="s">
        <v>126</v>
      </c>
      <c r="B14" s="55"/>
      <c r="C14" s="88">
        <f>CFStat!C14/CFStat!C$28</f>
        <v>0</v>
      </c>
      <c r="D14" s="88">
        <f>CFStat!D14/CFStat!D$28</f>
        <v>0</v>
      </c>
      <c r="E14" s="88">
        <f>CFStat!E14/CFStat!E$28</f>
        <v>0</v>
      </c>
      <c r="F14" s="88">
        <f>CFStat!F14/CFStat!F$28</f>
        <v>0.01894462341</v>
      </c>
      <c r="G14" s="88">
        <f>CFStat!G14/CFStat!G$28</f>
        <v>0</v>
      </c>
      <c r="H14" s="12">
        <f>CFStat!H14/CFStat!H$28</f>
        <v>0</v>
      </c>
      <c r="I14" s="12">
        <f>CFStat!I14/CFStat!I$28</f>
        <v>0</v>
      </c>
      <c r="J14" s="12">
        <f>CFStat!J14/CFStat!J$28</f>
        <v>0</v>
      </c>
      <c r="K14" s="12">
        <f>CFStat!K14/CFStat!K$28</f>
        <v>0</v>
      </c>
      <c r="L14" s="12">
        <f>CFStat!L14/CFStat!L$28</f>
        <v>0</v>
      </c>
      <c r="M14" s="12">
        <f>CFStat!M14/CFStat!M$28</f>
        <v>0</v>
      </c>
      <c r="N14" s="12">
        <f>CFStat!N14/CFStat!N$28</f>
        <v>0</v>
      </c>
      <c r="O14" s="12">
        <f>CFStat!O14/CFStat!O$28</f>
        <v>0</v>
      </c>
      <c r="P14" s="12">
        <f>CFStat!P14/CFStat!P$28</f>
        <v>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21" t="s">
        <v>177</v>
      </c>
      <c r="B15" s="55"/>
      <c r="C15" s="88">
        <f>CFStat!C15/CFStat!C$28</f>
        <v>0.02603222021</v>
      </c>
      <c r="D15" s="88">
        <f>CFStat!D15/CFStat!D$28</f>
        <v>0.02729224164</v>
      </c>
      <c r="E15" s="88">
        <f>CFStat!E15/CFStat!E$28</f>
        <v>0.0226913806</v>
      </c>
      <c r="F15" s="88">
        <f>CFStat!F15/CFStat!F$28</f>
        <v>0.02162908422</v>
      </c>
      <c r="G15" s="88">
        <f>CFStat!G15/CFStat!G$28</f>
        <v>0.01829046127</v>
      </c>
      <c r="H15" s="12">
        <f>CFStat!H15/CFStat!H$28</f>
        <v>0.02036486543</v>
      </c>
      <c r="I15" s="12">
        <f>CFStat!I15/CFStat!I$28</f>
        <v>0.01965919768</v>
      </c>
      <c r="J15" s="12">
        <f>CFStat!J15/CFStat!J$28</f>
        <v>0.01837243921</v>
      </c>
      <c r="K15" s="12">
        <f>CFStat!K15/CFStat!K$28</f>
        <v>0.01766798869</v>
      </c>
      <c r="L15" s="12">
        <f>CFStat!L15/CFStat!L$28</f>
        <v>0.01711428742</v>
      </c>
      <c r="M15" s="12">
        <f>CFStat!M15/CFStat!M$28</f>
        <v>0.01676931766</v>
      </c>
      <c r="N15" s="12">
        <f>CFStat!N15/CFStat!N$28</f>
        <v>0.01643191535</v>
      </c>
      <c r="O15" s="12">
        <f>CFStat!O15/CFStat!O$28</f>
        <v>0.016200746</v>
      </c>
      <c r="P15" s="12">
        <f>CFStat!P15/CFStat!P$28</f>
        <v>0.01614830572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178</v>
      </c>
      <c r="B16" s="55"/>
      <c r="C16" s="88">
        <f>CFStat!C16/CFStat!C$28</f>
        <v>-0.003520751094</v>
      </c>
      <c r="D16" s="88">
        <f>CFStat!D16/CFStat!D$28</f>
        <v>0</v>
      </c>
      <c r="E16" s="88">
        <f>CFStat!E16/CFStat!E$28</f>
        <v>0</v>
      </c>
      <c r="F16" s="88">
        <f>CFStat!F16/CFStat!F$28</f>
        <v>0</v>
      </c>
      <c r="G16" s="88">
        <f>CFStat!G16/CFStat!G$28</f>
        <v>0</v>
      </c>
      <c r="H16" s="12">
        <f>CFStat!H16/CFStat!H$28</f>
        <v>0</v>
      </c>
      <c r="I16" s="12">
        <f>CFStat!I16/CFStat!I$28</f>
        <v>0</v>
      </c>
      <c r="J16" s="12">
        <f>CFStat!J16/CFStat!J$28</f>
        <v>0</v>
      </c>
      <c r="K16" s="12">
        <f>CFStat!K16/CFStat!K$28</f>
        <v>0</v>
      </c>
      <c r="L16" s="12">
        <f>CFStat!L16/CFStat!L$28</f>
        <v>0</v>
      </c>
      <c r="M16" s="12">
        <f>CFStat!M16/CFStat!M$28</f>
        <v>0</v>
      </c>
      <c r="N16" s="12">
        <f>CFStat!N16/CFStat!N$28</f>
        <v>0</v>
      </c>
      <c r="O16" s="12">
        <f>CFStat!O16/CFStat!O$28</f>
        <v>0</v>
      </c>
      <c r="P16" s="12">
        <f>CFStat!P16/CFStat!P$28</f>
        <v>0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179</v>
      </c>
      <c r="B17" s="55"/>
      <c r="C17" s="88">
        <f>CFStat!C17/CFStat!C$28</f>
        <v>0</v>
      </c>
      <c r="D17" s="88">
        <f>CFStat!D17/CFStat!D$28</f>
        <v>0.000408872534</v>
      </c>
      <c r="E17" s="88">
        <f>CFStat!E17/CFStat!E$28</f>
        <v>0.03490981631</v>
      </c>
      <c r="F17" s="88">
        <f>CFStat!F17/CFStat!F$28</f>
        <v>-0.00789998466</v>
      </c>
      <c r="G17" s="88">
        <f>CFStat!G17/CFStat!G$28</f>
        <v>0.01340814691</v>
      </c>
      <c r="H17" s="12">
        <f>CFStat!H17/CFStat!H$28</f>
        <v>0</v>
      </c>
      <c r="I17" s="12">
        <f>CFStat!I17/CFStat!I$28</f>
        <v>0</v>
      </c>
      <c r="J17" s="12">
        <f>CFStat!J17/CFStat!J$28</f>
        <v>0</v>
      </c>
      <c r="K17" s="12">
        <f>CFStat!K17/CFStat!K$28</f>
        <v>0</v>
      </c>
      <c r="L17" s="12">
        <f>CFStat!L17/CFStat!L$28</f>
        <v>0</v>
      </c>
      <c r="M17" s="12">
        <f>CFStat!M17/CFStat!M$28</f>
        <v>0</v>
      </c>
      <c r="N17" s="12">
        <f>CFStat!N17/CFStat!N$28</f>
        <v>0</v>
      </c>
      <c r="O17" s="12">
        <f>CFStat!O17/CFStat!O$28</f>
        <v>0</v>
      </c>
      <c r="P17" s="12">
        <f>CFStat!P17/CFStat!P$28</f>
        <v>0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32"/>
      <c r="B18" s="32"/>
      <c r="C18" s="14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 t="s">
        <v>180</v>
      </c>
      <c r="B19" s="67"/>
      <c r="C19" s="14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21" t="s">
        <v>181</v>
      </c>
      <c r="B20" s="55"/>
      <c r="C20" s="88">
        <f>CFStat!C20/CFStat!C$28</f>
        <v>-0.0193107863</v>
      </c>
      <c r="D20" s="88">
        <f>CFStat!D20/CFStat!D$28</f>
        <v>-0.01410610242</v>
      </c>
      <c r="E20" s="88">
        <f>CFStat!E20/CFStat!E$28</f>
        <v>0.01155348683</v>
      </c>
      <c r="F20" s="88">
        <f>CFStat!F20/CFStat!F$28</f>
        <v>0.002531063046</v>
      </c>
      <c r="G20" s="88">
        <f>CFStat!G20/CFStat!G$28</f>
        <v>-0.01238796182</v>
      </c>
      <c r="H20" s="12">
        <f>CFStat!H20/CFStat!H$28</f>
        <v>-0.02028368875</v>
      </c>
      <c r="I20" s="12">
        <f>CFStat!I20/CFStat!I$28</f>
        <v>-0.005039411164</v>
      </c>
      <c r="J20" s="12">
        <f>CFStat!J20/CFStat!J$28</f>
        <v>-0.005246719118</v>
      </c>
      <c r="K20" s="12">
        <f>CFStat!K20/CFStat!K$28</f>
        <v>-0.004963832078</v>
      </c>
      <c r="L20" s="12">
        <f>CFStat!L20/CFStat!L$28</f>
        <v>-0.004863856304</v>
      </c>
      <c r="M20" s="12">
        <f>CFStat!M20/CFStat!M$28</f>
        <v>-0.00479352462</v>
      </c>
      <c r="N20" s="12">
        <f>CFStat!N20/CFStat!N$28</f>
        <v>-0.004724546156</v>
      </c>
      <c r="O20" s="12">
        <f>CFStat!O20/CFStat!O$28</f>
        <v>-0.004685480223</v>
      </c>
      <c r="P20" s="12">
        <f>CFStat!P20/CFStat!P$28</f>
        <v>-0.004670313768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21" t="s">
        <v>182</v>
      </c>
      <c r="B21" s="55"/>
      <c r="C21" s="88">
        <f>CFStat!C21/CFStat!C$28</f>
        <v>-0.05825242718</v>
      </c>
      <c r="D21" s="88">
        <f>CFStat!D21/CFStat!D$28</f>
        <v>-0.07860574466</v>
      </c>
      <c r="E21" s="88">
        <f>CFStat!E21/CFStat!E$28</f>
        <v>-0.006981963262</v>
      </c>
      <c r="F21" s="88">
        <f>CFStat!F21/CFStat!F$28</f>
        <v>-0.09541340696</v>
      </c>
      <c r="G21" s="88">
        <f>CFStat!G21/CFStat!G$28</f>
        <v>-0.04321212563</v>
      </c>
      <c r="H21" s="12">
        <f>CFStat!H21/CFStat!H$28</f>
        <v>-0.1355013698</v>
      </c>
      <c r="I21" s="12">
        <f>CFStat!I21/CFStat!I$28</f>
        <v>-0.03797497332</v>
      </c>
      <c r="J21" s="12">
        <f>CFStat!J21/CFStat!J$28</f>
        <v>-0.03457022484</v>
      </c>
      <c r="K21" s="12">
        <f>CFStat!K21/CFStat!K$28</f>
        <v>-0.03105888753</v>
      </c>
      <c r="L21" s="12">
        <f>CFStat!L21/CFStat!L$28</f>
        <v>-0.03185383554</v>
      </c>
      <c r="M21" s="12">
        <f>CFStat!M21/CFStat!M$28</f>
        <v>-0.03134323736</v>
      </c>
      <c r="N21" s="12">
        <f>CFStat!N21/CFStat!N$28</f>
        <v>-0.03084294023</v>
      </c>
      <c r="O21" s="12">
        <f>CFStat!O21/CFStat!O$28</f>
        <v>-0.03200517669</v>
      </c>
      <c r="P21" s="12">
        <f>CFStat!P21/CFStat!P$28</f>
        <v>-0.03190157897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21" t="s">
        <v>183</v>
      </c>
      <c r="B22" s="55"/>
      <c r="C22" s="88">
        <f>CFStat!C22/CFStat!C$28</f>
        <v>0.09474021125</v>
      </c>
      <c r="D22" s="88">
        <f>CFStat!D22/CFStat!D$28</f>
        <v>0.04558928754</v>
      </c>
      <c r="E22" s="88">
        <f>CFStat!E22/CFStat!E$28</f>
        <v>0.02925775081</v>
      </c>
      <c r="F22" s="88">
        <f>CFStat!F22/CFStat!F$28</f>
        <v>0.05698726799</v>
      </c>
      <c r="G22" s="88">
        <f>CFStat!G22/CFStat!G$28</f>
        <v>0.004955184726</v>
      </c>
      <c r="H22" s="12">
        <f>CFStat!H22/CFStat!H$28</f>
        <v>0.1420513225</v>
      </c>
      <c r="I22" s="12">
        <f>CFStat!I22/CFStat!I$28</f>
        <v>0.02550479501</v>
      </c>
      <c r="J22" s="12">
        <f>CFStat!J22/CFStat!J$28</f>
        <v>0.03401197997</v>
      </c>
      <c r="K22" s="12">
        <f>CFStat!K22/CFStat!K$28</f>
        <v>0.03119191187</v>
      </c>
      <c r="L22" s="12">
        <f>CFStat!L22/CFStat!L$28</f>
        <v>0.0317340324</v>
      </c>
      <c r="M22" s="12">
        <f>CFStat!M22/CFStat!M$28</f>
        <v>0.03109850864</v>
      </c>
      <c r="N22" s="12">
        <f>CFStat!N22/CFStat!N$28</f>
        <v>0.03062450548</v>
      </c>
      <c r="O22" s="12">
        <f>CFStat!O22/CFStat!O$28</f>
        <v>0.03128493177</v>
      </c>
      <c r="P22" s="12">
        <f>CFStat!P22/CFStat!P$28</f>
        <v>0.0310377521</v>
      </c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21" t="s">
        <v>185</v>
      </c>
      <c r="B23" s="55"/>
      <c r="C23" s="88">
        <f>CFStat!C23/CFStat!C$28</f>
        <v>0.01643017177</v>
      </c>
      <c r="D23" s="88">
        <f>CFStat!D23/CFStat!D$28</f>
        <v>0.01114177655</v>
      </c>
      <c r="E23" s="88">
        <f>CFStat!E23/CFStat!E$28</f>
        <v>0.002410439697</v>
      </c>
      <c r="F23" s="88">
        <f>CFStat!F23/CFStat!F$28</f>
        <v>-0.003221352968</v>
      </c>
      <c r="G23" s="88">
        <f>CFStat!G23/CFStat!G$28</f>
        <v>0.003206295999</v>
      </c>
      <c r="H23" s="12">
        <f>CFStat!H23/CFStat!H$28</f>
        <v>-0.00371671173</v>
      </c>
      <c r="I23" s="12">
        <f>CFStat!I23/CFStat!I$28</f>
        <v>0</v>
      </c>
      <c r="J23" s="12">
        <f>CFStat!J23/CFStat!J$28</f>
        <v>0</v>
      </c>
      <c r="K23" s="12">
        <f>CFStat!K23/CFStat!K$28</f>
        <v>0</v>
      </c>
      <c r="L23" s="12">
        <f>CFStat!L23/CFStat!L$28</f>
        <v>0</v>
      </c>
      <c r="M23" s="12">
        <f>CFStat!M23/CFStat!M$28</f>
        <v>0</v>
      </c>
      <c r="N23" s="12">
        <f>CFStat!N23/CFStat!N$28</f>
        <v>0</v>
      </c>
      <c r="O23" s="12">
        <f>CFStat!O23/CFStat!O$28</f>
        <v>0</v>
      </c>
      <c r="P23" s="12">
        <f>CFStat!P23/CFStat!P$28</f>
        <v>0</v>
      </c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186</v>
      </c>
      <c r="B24" s="55"/>
      <c r="C24" s="88">
        <f>CFStat!C24/CFStat!C$28</f>
        <v>0.001600341406</v>
      </c>
      <c r="D24" s="88">
        <f>CFStat!D24/CFStat!D$28</f>
        <v>0</v>
      </c>
      <c r="E24" s="88">
        <f>CFStat!E24/CFStat!E$28</f>
        <v>0</v>
      </c>
      <c r="F24" s="88">
        <f>CFStat!F24/CFStat!F$28</f>
        <v>0</v>
      </c>
      <c r="G24" s="88">
        <f>CFStat!G24/CFStat!G$28</f>
        <v>0</v>
      </c>
      <c r="H24" s="12">
        <f>CFStat!H24/CFStat!H$28</f>
        <v>0</v>
      </c>
      <c r="I24" s="12">
        <f>CFStat!I24/CFStat!I$28</f>
        <v>0</v>
      </c>
      <c r="J24" s="12">
        <f>CFStat!J24/CFStat!J$28</f>
        <v>0</v>
      </c>
      <c r="K24" s="12">
        <f>CFStat!K24/CFStat!K$28</f>
        <v>0</v>
      </c>
      <c r="L24" s="12">
        <f>CFStat!L24/CFStat!L$28</f>
        <v>0</v>
      </c>
      <c r="M24" s="12">
        <f>CFStat!M24/CFStat!M$28</f>
        <v>0</v>
      </c>
      <c r="N24" s="12">
        <f>CFStat!N24/CFStat!N$28</f>
        <v>0</v>
      </c>
      <c r="O24" s="12">
        <f>CFStat!O24/CFStat!O$28</f>
        <v>0</v>
      </c>
      <c r="P24" s="12">
        <f>CFStat!P24/CFStat!P$28</f>
        <v>0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188</v>
      </c>
      <c r="B25" s="55"/>
      <c r="C25" s="88">
        <f>CFStat!C25/CFStat!C$28</f>
        <v>0</v>
      </c>
      <c r="D25" s="88">
        <f>CFStat!D25/CFStat!D$28</f>
        <v>-0.01195952162</v>
      </c>
      <c r="E25" s="88">
        <f>CFStat!E25/CFStat!E$28</f>
        <v>0.007646912144</v>
      </c>
      <c r="F25" s="88">
        <f>CFStat!F25/CFStat!F$28</f>
        <v>0.001994170885</v>
      </c>
      <c r="G25" s="88">
        <f>CFStat!G25/CFStat!G$28</f>
        <v>0.01471981345</v>
      </c>
      <c r="H25" s="12">
        <f>CFStat!H25/CFStat!H$28</f>
        <v>-0.005316930944</v>
      </c>
      <c r="I25" s="12">
        <f>CFStat!I25/CFStat!I$28</f>
        <v>0.001313846482</v>
      </c>
      <c r="J25" s="12">
        <f>CFStat!J25/CFStat!J$28</f>
        <v>0.001367894627</v>
      </c>
      <c r="K25" s="12">
        <f>CFStat!K25/CFStat!K$28</f>
        <v>0.001294141935</v>
      </c>
      <c r="L25" s="12">
        <f>CFStat!L25/CFStat!L$28</f>
        <v>0.001268076822</v>
      </c>
      <c r="M25" s="12">
        <f>CFStat!M25/CFStat!M$28</f>
        <v>0.001249740347</v>
      </c>
      <c r="N25" s="12">
        <f>CFStat!N25/CFStat!N$28</f>
        <v>0.001231756676</v>
      </c>
      <c r="O25" s="12">
        <f>CFStat!O25/CFStat!O$28</f>
        <v>0.00122157163</v>
      </c>
      <c r="P25" s="12">
        <f>CFStat!P25/CFStat!P$28</f>
        <v>0.001217617518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189</v>
      </c>
      <c r="B26" s="55"/>
      <c r="C26" s="88">
        <f>CFStat!C26/CFStat!C$28</f>
        <v>0.01162914755</v>
      </c>
      <c r="D26" s="88">
        <f>CFStat!D26/CFStat!D$28</f>
        <v>0.01011959522</v>
      </c>
      <c r="E26" s="88">
        <f>CFStat!E26/CFStat!E$28</f>
        <v>0.01063918211</v>
      </c>
      <c r="F26" s="88">
        <f>CFStat!F26/CFStat!F$28</f>
        <v>0.006135910416</v>
      </c>
      <c r="G26" s="88">
        <f>CFStat!G26/CFStat!G$28</f>
        <v>0.02433870145</v>
      </c>
      <c r="H26" s="12">
        <f>CFStat!H26/CFStat!H$28</f>
        <v>0.009619639736</v>
      </c>
      <c r="I26" s="12">
        <f>CFStat!I26/CFStat!I$28</f>
        <v>0.004729847336</v>
      </c>
      <c r="J26" s="12">
        <f>CFStat!J26/CFStat!J$28</f>
        <v>0.004924420658</v>
      </c>
      <c r="K26" s="12">
        <f>CFStat!K26/CFStat!K$28</f>
        <v>0.004658910965</v>
      </c>
      <c r="L26" s="12">
        <f>CFStat!L26/CFStat!L$28</f>
        <v>0.004565076559</v>
      </c>
      <c r="M26" s="12">
        <f>CFStat!M26/CFStat!M$28</f>
        <v>0.00449906525</v>
      </c>
      <c r="N26" s="12">
        <f>CFStat!N26/CFStat!N$28</f>
        <v>0.004434324035</v>
      </c>
      <c r="O26" s="12">
        <f>CFStat!O26/CFStat!O$28</f>
        <v>0.004397657866</v>
      </c>
      <c r="P26" s="12">
        <f>CFStat!P26/CFStat!P$28</f>
        <v>0.004383423065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21" t="s">
        <v>190</v>
      </c>
      <c r="B27" s="55"/>
      <c r="C27" s="90">
        <f>CFStat!C27/CFStat!C$28</f>
        <v>-0.0005334471354</v>
      </c>
      <c r="D27" s="90">
        <f>CFStat!D27/CFStat!D$28</f>
        <v>-0.004906470408</v>
      </c>
      <c r="E27" s="90">
        <f>CFStat!E27/CFStat!E$28</f>
        <v>-0.0008311861026</v>
      </c>
      <c r="F27" s="90">
        <f>CFStat!F27/CFStat!F$28</f>
        <v>-0.01971161221</v>
      </c>
      <c r="G27" s="90">
        <f>CFStat!G27/CFStat!G$28</f>
        <v>-0.009837499089</v>
      </c>
      <c r="H27" s="91">
        <f>CFStat!H27/CFStat!H$28</f>
        <v>0.002452228219</v>
      </c>
      <c r="I27" s="91">
        <f>CFStat!I27/CFStat!I$28</f>
        <v>-0.002102154371</v>
      </c>
      <c r="J27" s="91">
        <f>CFStat!J27/CFStat!J$28</f>
        <v>-0.002188631404</v>
      </c>
      <c r="K27" s="91">
        <f>CFStat!K27/CFStat!K$28</f>
        <v>-0.002070627095</v>
      </c>
      <c r="L27" s="91">
        <f>CFStat!L27/CFStat!L$28</f>
        <v>-0.002028922915</v>
      </c>
      <c r="M27" s="91">
        <f>CFStat!M27/CFStat!M$28</f>
        <v>-0.001999584556</v>
      </c>
      <c r="N27" s="91">
        <f>CFStat!N27/CFStat!N$28</f>
        <v>-0.001970810682</v>
      </c>
      <c r="O27" s="91">
        <f>CFStat!O27/CFStat!O$28</f>
        <v>-0.001954514607</v>
      </c>
      <c r="P27" s="91">
        <f>CFStat!P27/CFStat!P$28</f>
        <v>-0.001948188029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30" t="s">
        <v>191</v>
      </c>
      <c r="B28" s="60"/>
      <c r="C28" s="92">
        <f>CFStat!C28/CFStat!C$28</f>
        <v>1</v>
      </c>
      <c r="D28" s="92">
        <f>CFStat!D28/CFStat!D$28</f>
        <v>1</v>
      </c>
      <c r="E28" s="92">
        <f>CFStat!E28/CFStat!E$28</f>
        <v>1</v>
      </c>
      <c r="F28" s="92">
        <f>CFStat!F28/CFStat!F$28</f>
        <v>1</v>
      </c>
      <c r="G28" s="92">
        <f>CFStat!G28/CFStat!G$28</f>
        <v>1</v>
      </c>
      <c r="H28" s="93">
        <f>CFStat!H28/CFStat!H$28</f>
        <v>1</v>
      </c>
      <c r="I28" s="93">
        <f>CFStat!I28/CFStat!I$28</f>
        <v>1</v>
      </c>
      <c r="J28" s="93">
        <f>CFStat!J28/CFStat!J$28</f>
        <v>1</v>
      </c>
      <c r="K28" s="93">
        <f>CFStat!K28/CFStat!K$28</f>
        <v>1</v>
      </c>
      <c r="L28" s="93">
        <f>CFStat!L28/CFStat!L$28</f>
        <v>1</v>
      </c>
      <c r="M28" s="93">
        <f>CFStat!M28/CFStat!M$28</f>
        <v>1</v>
      </c>
      <c r="N28" s="93">
        <f>CFStat!N28/CFStat!N$28</f>
        <v>1</v>
      </c>
      <c r="O28" s="93">
        <f>CFStat!O28/CFStat!O$28</f>
        <v>1</v>
      </c>
      <c r="P28" s="93">
        <f>CFStat!P28/CFStat!P$28</f>
        <v>1</v>
      </c>
      <c r="Q28" s="1"/>
      <c r="R28" s="1"/>
      <c r="S28" s="21"/>
      <c r="T28" s="1"/>
      <c r="U28" s="1"/>
      <c r="V28" s="1"/>
      <c r="W28" s="1"/>
      <c r="X28" s="1"/>
      <c r="Y28" s="1"/>
      <c r="Z28" s="1"/>
    </row>
    <row r="29" ht="13.5" customHeight="1">
      <c r="A29" s="21"/>
      <c r="B29" s="21"/>
      <c r="C29" s="74"/>
      <c r="D29" s="94"/>
      <c r="E29" s="94"/>
      <c r="F29" s="94"/>
      <c r="G29" s="94"/>
      <c r="H29" s="12"/>
      <c r="I29" s="12"/>
      <c r="J29" s="12"/>
      <c r="K29" s="12"/>
      <c r="L29" s="12"/>
      <c r="M29" s="12"/>
      <c r="N29" s="12"/>
      <c r="O29" s="12"/>
      <c r="P29" s="12"/>
      <c r="Q29" s="1"/>
      <c r="R29" s="1"/>
      <c r="S29" s="21"/>
      <c r="T29" s="1"/>
      <c r="U29" s="1"/>
      <c r="V29" s="1"/>
      <c r="W29" s="1"/>
      <c r="X29" s="1"/>
      <c r="Y29" s="1"/>
      <c r="Z29" s="1"/>
    </row>
    <row r="30" ht="13.5" customHeight="1">
      <c r="A30" s="30" t="s">
        <v>100</v>
      </c>
      <c r="B30" s="21"/>
      <c r="C30" s="74"/>
      <c r="D30" s="94"/>
      <c r="E30" s="94"/>
      <c r="F30" s="94"/>
      <c r="G30" s="94"/>
      <c r="H30" s="12"/>
      <c r="I30" s="12"/>
      <c r="J30" s="12"/>
      <c r="K30" s="12"/>
      <c r="L30" s="12"/>
      <c r="M30" s="12"/>
      <c r="N30" s="12"/>
      <c r="O30" s="12"/>
      <c r="P30" s="12"/>
      <c r="Q30" s="1"/>
      <c r="R30" s="1"/>
      <c r="S30" s="21"/>
      <c r="T30" s="1"/>
      <c r="U30" s="1"/>
      <c r="V30" s="1"/>
      <c r="W30" s="1"/>
      <c r="X30" s="1"/>
      <c r="Y30" s="1"/>
      <c r="Z30" s="1"/>
    </row>
    <row r="31" ht="13.5" customHeight="1">
      <c r="A31" s="21" t="s">
        <v>192</v>
      </c>
      <c r="B31" s="55"/>
      <c r="C31" s="88">
        <f>CFStat!C31/CFStat!C$28</f>
        <v>-0.1603542089</v>
      </c>
      <c r="D31" s="88">
        <f>CFStat!D31/CFStat!D$28</f>
        <v>-0.1656955944</v>
      </c>
      <c r="E31" s="88">
        <f>CFStat!E31/CFStat!E$28</f>
        <v>-0.1576760037</v>
      </c>
      <c r="F31" s="88">
        <f>CFStat!F31/CFStat!F$28</f>
        <v>-0.1872986654</v>
      </c>
      <c r="G31" s="88">
        <f>CFStat!G31/CFStat!G$28</f>
        <v>-0.1951468338</v>
      </c>
      <c r="H31" s="12">
        <f>CFStat!H31/CFStat!H$28</f>
        <v>-0.3897317021</v>
      </c>
      <c r="I31" s="12">
        <f>CFStat!I31/CFStat!I$28</f>
        <v>-0.2293617319</v>
      </c>
      <c r="J31" s="12">
        <f>CFStat!J31/CFStat!J$28</f>
        <v>-0.2294744518</v>
      </c>
      <c r="K31" s="12">
        <f>CFStat!K31/CFStat!K$28</f>
        <v>-0.227630525</v>
      </c>
      <c r="L31" s="12">
        <f>CFStat!L31/CFStat!L$28</f>
        <v>-0.2289032235</v>
      </c>
      <c r="M31" s="12">
        <f>CFStat!M31/CFStat!M$28</f>
        <v>-0.2314719601</v>
      </c>
      <c r="N31" s="12">
        <f>CFStat!N31/CFStat!N$28</f>
        <v>-0.2340416081</v>
      </c>
      <c r="O31" s="12">
        <f>CFStat!O31/CFStat!O$28</f>
        <v>-0.2380655795</v>
      </c>
      <c r="P31" s="12">
        <f>CFStat!P31/CFStat!P$28</f>
        <v>-0.2433439815</v>
      </c>
      <c r="Q31" s="1"/>
      <c r="R31" s="1"/>
      <c r="S31" s="21"/>
      <c r="T31" s="1"/>
      <c r="U31" s="1"/>
      <c r="V31" s="1"/>
      <c r="W31" s="1"/>
      <c r="X31" s="1"/>
      <c r="Y31" s="1"/>
      <c r="Z31" s="1"/>
    </row>
    <row r="32" ht="13.5" customHeight="1">
      <c r="A32" s="21" t="s">
        <v>101</v>
      </c>
      <c r="B32" s="55"/>
      <c r="C32" s="88">
        <f>CFStat!C32/CFStat!C$28</f>
        <v>0.004587645364</v>
      </c>
      <c r="D32" s="88">
        <f>CFStat!D32/CFStat!D$28</f>
        <v>0.003884289073</v>
      </c>
      <c r="E32" s="88">
        <f>CFStat!E32/CFStat!E$28</f>
        <v>0.003906574682</v>
      </c>
      <c r="F32" s="88">
        <f>CFStat!F32/CFStat!F$28</f>
        <v>0.002531063046</v>
      </c>
      <c r="G32" s="88">
        <f>CFStat!G32/CFStat!G$28</f>
        <v>0.002696203454</v>
      </c>
      <c r="H32" s="12">
        <f>CFStat!H32/CFStat!H$28</f>
        <v>0</v>
      </c>
      <c r="I32" s="12">
        <f>CFStat!I32/CFStat!I$28</f>
        <v>0</v>
      </c>
      <c r="J32" s="12">
        <f>CFStat!J32/CFStat!J$28</f>
        <v>0</v>
      </c>
      <c r="K32" s="12">
        <f>CFStat!K32/CFStat!K$28</f>
        <v>0</v>
      </c>
      <c r="L32" s="12">
        <f>CFStat!L32/CFStat!L$28</f>
        <v>0</v>
      </c>
      <c r="M32" s="12">
        <f>CFStat!M32/CFStat!M$28</f>
        <v>0</v>
      </c>
      <c r="N32" s="12">
        <f>CFStat!N32/CFStat!N$28</f>
        <v>0</v>
      </c>
      <c r="O32" s="12">
        <f>CFStat!O32/CFStat!O$28</f>
        <v>0</v>
      </c>
      <c r="P32" s="12">
        <f>CFStat!P32/CFStat!P$28</f>
        <v>0</v>
      </c>
      <c r="Q32" s="1"/>
      <c r="R32" s="1"/>
      <c r="S32" s="21"/>
      <c r="T32" s="1"/>
      <c r="U32" s="1"/>
      <c r="V32" s="1"/>
      <c r="W32" s="1"/>
      <c r="X32" s="1"/>
      <c r="Y32" s="1"/>
      <c r="Z32" s="1"/>
    </row>
    <row r="33" ht="13.5" customHeight="1">
      <c r="A33" s="21" t="s">
        <v>102</v>
      </c>
      <c r="B33" s="55"/>
      <c r="C33" s="88">
        <f>CFStat!C33/CFStat!C$28</f>
        <v>-0.1777445855</v>
      </c>
      <c r="D33" s="88">
        <f>CFStat!D33/CFStat!D$28</f>
        <v>0</v>
      </c>
      <c r="E33" s="88">
        <f>CFStat!E33/CFStat!E$28</f>
        <v>-0.03108636024</v>
      </c>
      <c r="F33" s="88">
        <f>CFStat!F33/CFStat!F$28</f>
        <v>-0.001610676484</v>
      </c>
      <c r="G33" s="88">
        <f>CFStat!G33/CFStat!G$28</f>
        <v>0</v>
      </c>
      <c r="H33" s="12">
        <f>CFStat!H33/CFStat!H$28</f>
        <v>0</v>
      </c>
      <c r="I33" s="12">
        <f>CFStat!I33/CFStat!I$28</f>
        <v>0</v>
      </c>
      <c r="J33" s="12">
        <f>CFStat!J33/CFStat!J$28</f>
        <v>0</v>
      </c>
      <c r="K33" s="12">
        <f>CFStat!K33/CFStat!K$28</f>
        <v>0</v>
      </c>
      <c r="L33" s="12">
        <f>CFStat!L33/CFStat!L$28</f>
        <v>0</v>
      </c>
      <c r="M33" s="12">
        <f>CFStat!M33/CFStat!M$28</f>
        <v>0</v>
      </c>
      <c r="N33" s="12">
        <f>CFStat!N33/CFStat!N$28</f>
        <v>0</v>
      </c>
      <c r="O33" s="12">
        <f>CFStat!O33/CFStat!O$28</f>
        <v>0</v>
      </c>
      <c r="P33" s="12">
        <f>CFStat!P33/CFStat!P$28</f>
        <v>0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21" t="s">
        <v>193</v>
      </c>
      <c r="B34" s="55"/>
      <c r="C34" s="88">
        <f>CFStat!C34/CFStat!C$28</f>
        <v>0.0153632775</v>
      </c>
      <c r="D34" s="88">
        <f>CFStat!D34/CFStat!D$28</f>
        <v>0</v>
      </c>
      <c r="E34" s="88">
        <f>CFStat!E34/CFStat!E$28</f>
        <v>0</v>
      </c>
      <c r="F34" s="88">
        <f>CFStat!F34/CFStat!F$28</f>
        <v>0</v>
      </c>
      <c r="G34" s="88">
        <f>CFStat!G34/CFStat!G$28</f>
        <v>0</v>
      </c>
      <c r="H34" s="12">
        <f>CFStat!H34/CFStat!H$28</f>
        <v>0</v>
      </c>
      <c r="I34" s="12">
        <f>CFStat!I34/CFStat!I$28</f>
        <v>0</v>
      </c>
      <c r="J34" s="12">
        <f>CFStat!J34/CFStat!J$28</f>
        <v>0</v>
      </c>
      <c r="K34" s="12">
        <f>CFStat!K34/CFStat!K$28</f>
        <v>0</v>
      </c>
      <c r="L34" s="12">
        <f>CFStat!L34/CFStat!L$28</f>
        <v>0</v>
      </c>
      <c r="M34" s="12">
        <f>CFStat!M34/CFStat!M$28</f>
        <v>0</v>
      </c>
      <c r="N34" s="12">
        <f>CFStat!N34/CFStat!N$28</f>
        <v>0</v>
      </c>
      <c r="O34" s="12">
        <f>CFStat!O34/CFStat!O$28</f>
        <v>0</v>
      </c>
      <c r="P34" s="12">
        <f>CFStat!P34/CFStat!P$28</f>
        <v>0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21" t="s">
        <v>104</v>
      </c>
      <c r="B35" s="55"/>
      <c r="C35" s="90">
        <f>CFStat!C35/CFStat!C$28</f>
        <v>0</v>
      </c>
      <c r="D35" s="90">
        <f>CFStat!D35/CFStat!D$28</f>
        <v>0</v>
      </c>
      <c r="E35" s="90">
        <f>CFStat!E35/CFStat!E$28</f>
        <v>-0.000332474441</v>
      </c>
      <c r="F35" s="90">
        <f>CFStat!F35/CFStat!F$28</f>
        <v>0.001073784323</v>
      </c>
      <c r="G35" s="90">
        <f>CFStat!G35/CFStat!G$28</f>
        <v>-0.0008744443635</v>
      </c>
      <c r="H35" s="91">
        <f>CFStat!H35/CFStat!H$28</f>
        <v>-0.03024996715</v>
      </c>
      <c r="I35" s="91">
        <f>CFStat!I35/CFStat!I$28</f>
        <v>-0.002627692964</v>
      </c>
      <c r="J35" s="91">
        <f>CFStat!J35/CFStat!J$28</f>
        <v>-0.002735789255</v>
      </c>
      <c r="K35" s="91">
        <f>CFStat!K35/CFStat!K$28</f>
        <v>-0.002588283869</v>
      </c>
      <c r="L35" s="91">
        <f>CFStat!L35/CFStat!L$28</f>
        <v>-0.002536153644</v>
      </c>
      <c r="M35" s="91">
        <f>CFStat!M35/CFStat!M$28</f>
        <v>-0.002499480695</v>
      </c>
      <c r="N35" s="91">
        <f>CFStat!N35/CFStat!N$28</f>
        <v>-0.002463513353</v>
      </c>
      <c r="O35" s="91">
        <f>CFStat!O35/CFStat!O$28</f>
        <v>-0.002443143259</v>
      </c>
      <c r="P35" s="91">
        <f>CFStat!P35/CFStat!P$28</f>
        <v>-0.002435235036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30" t="s">
        <v>195</v>
      </c>
      <c r="B36" s="60"/>
      <c r="C36" s="92">
        <f>CFStat!C36/CFStat!C$28</f>
        <v>-0.3181478715</v>
      </c>
      <c r="D36" s="92">
        <f>CFStat!D36/CFStat!D$28</f>
        <v>-0.1618113053</v>
      </c>
      <c r="E36" s="92">
        <f>CFStat!E36/CFStat!E$28</f>
        <v>-0.1851882637</v>
      </c>
      <c r="F36" s="92">
        <f>CFStat!F36/CFStat!F$28</f>
        <v>-0.1853044946</v>
      </c>
      <c r="G36" s="92">
        <f>CFStat!G36/CFStat!G$28</f>
        <v>-0.1933250747</v>
      </c>
      <c r="H36" s="93">
        <f>CFStat!H36/CFStat!H$28</f>
        <v>-0.4199816692</v>
      </c>
      <c r="I36" s="93">
        <f>CFStat!I36/CFStat!I$28</f>
        <v>-0.2319894249</v>
      </c>
      <c r="J36" s="93">
        <f>CFStat!J36/CFStat!J$28</f>
        <v>-0.232210241</v>
      </c>
      <c r="K36" s="93">
        <f>CFStat!K36/CFStat!K$28</f>
        <v>-0.2302188088</v>
      </c>
      <c r="L36" s="93">
        <f>CFStat!L36/CFStat!L$28</f>
        <v>-0.2314393772</v>
      </c>
      <c r="M36" s="93">
        <f>CFStat!M36/CFStat!M$28</f>
        <v>-0.2339714407</v>
      </c>
      <c r="N36" s="93">
        <f>CFStat!N36/CFStat!N$28</f>
        <v>-0.2365051215</v>
      </c>
      <c r="O36" s="93">
        <f>CFStat!O36/CFStat!O$28</f>
        <v>-0.2405087228</v>
      </c>
      <c r="P36" s="93">
        <f>CFStat!P36/CFStat!P$28</f>
        <v>-0.2457792165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21"/>
      <c r="B37" s="21"/>
      <c r="C37" s="74"/>
      <c r="D37" s="94"/>
      <c r="E37" s="94"/>
      <c r="F37" s="94"/>
      <c r="G37" s="94"/>
      <c r="H37" s="12"/>
      <c r="I37" s="12"/>
      <c r="J37" s="12"/>
      <c r="K37" s="12"/>
      <c r="L37" s="12"/>
      <c r="M37" s="12"/>
      <c r="N37" s="12"/>
      <c r="O37" s="12"/>
      <c r="P37" s="12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30" t="s">
        <v>105</v>
      </c>
      <c r="B38" s="21"/>
      <c r="C38" s="74"/>
      <c r="D38" s="94"/>
      <c r="E38" s="94"/>
      <c r="F38" s="94"/>
      <c r="G38" s="94"/>
      <c r="H38" s="12"/>
      <c r="I38" s="12"/>
      <c r="J38" s="12"/>
      <c r="K38" s="12"/>
      <c r="L38" s="12"/>
      <c r="M38" s="12"/>
      <c r="N38" s="12"/>
      <c r="O38" s="12"/>
      <c r="P38" s="12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21" t="s">
        <v>106</v>
      </c>
      <c r="B39" s="55"/>
      <c r="C39" s="88">
        <f>CFStat!C39/CFStat!C$28</f>
        <v>-0.004160887656</v>
      </c>
      <c r="D39" s="88">
        <f>CFStat!D39/CFStat!D$28</f>
        <v>-0.3112542165</v>
      </c>
      <c r="E39" s="88">
        <f>CFStat!E39/CFStat!E$28</f>
        <v>-0.04513340537</v>
      </c>
      <c r="F39" s="88">
        <f>CFStat!F39/CFStat!F$28</f>
        <v>-0.09272894616</v>
      </c>
      <c r="G39" s="88">
        <f>CFStat!G39/CFStat!G$28</f>
        <v>-0.07797128908</v>
      </c>
      <c r="H39" s="12">
        <f>CFStat!H39/CFStat!H$28</f>
        <v>0</v>
      </c>
      <c r="I39" s="12">
        <f>CFStat!I39/CFStat!I$28</f>
        <v>0</v>
      </c>
      <c r="J39" s="12">
        <f>CFStat!J39/CFStat!J$28</f>
        <v>0</v>
      </c>
      <c r="K39" s="12">
        <f>CFStat!K39/CFStat!K$28</f>
        <v>0</v>
      </c>
      <c r="L39" s="12">
        <f>CFStat!L39/CFStat!L$28</f>
        <v>0</v>
      </c>
      <c r="M39" s="12">
        <f>CFStat!M39/CFStat!M$28</f>
        <v>0</v>
      </c>
      <c r="N39" s="12">
        <f>CFStat!N39/CFStat!N$28</f>
        <v>0</v>
      </c>
      <c r="O39" s="12">
        <f>CFStat!O39/CFStat!O$28</f>
        <v>0</v>
      </c>
      <c r="P39" s="12">
        <f>CFStat!P39/CFStat!P$28</f>
        <v>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21" t="s">
        <v>107</v>
      </c>
      <c r="B40" s="55"/>
      <c r="C40" s="88">
        <f>CFStat!C40/CFStat!C$28</f>
        <v>0.4257975035</v>
      </c>
      <c r="D40" s="88">
        <f>CFStat!D40/CFStat!D$28</f>
        <v>0.506899724</v>
      </c>
      <c r="E40" s="88">
        <f>CFStat!E40/CFStat!E$28</f>
        <v>0</v>
      </c>
      <c r="F40" s="88">
        <f>CFStat!F40/CFStat!F$28</f>
        <v>0</v>
      </c>
      <c r="G40" s="88">
        <f>CFStat!G40/CFStat!G$28</f>
        <v>0</v>
      </c>
      <c r="H40" s="12">
        <f>CFStat!H40/CFStat!H$28</f>
        <v>0</v>
      </c>
      <c r="I40" s="12">
        <f>CFStat!I40/CFStat!I$28</f>
        <v>0</v>
      </c>
      <c r="J40" s="12">
        <f>CFStat!J40/CFStat!J$28</f>
        <v>0</v>
      </c>
      <c r="K40" s="12">
        <f>CFStat!K40/CFStat!K$28</f>
        <v>0</v>
      </c>
      <c r="L40" s="12">
        <f>CFStat!L40/CFStat!L$28</f>
        <v>0</v>
      </c>
      <c r="M40" s="12">
        <f>CFStat!M40/CFStat!M$28</f>
        <v>0</v>
      </c>
      <c r="N40" s="12">
        <f>CFStat!N40/CFStat!N$28</f>
        <v>0</v>
      </c>
      <c r="O40" s="12">
        <f>CFStat!O40/CFStat!O$28</f>
        <v>0</v>
      </c>
      <c r="P40" s="12">
        <f>CFStat!P40/CFStat!P$28</f>
        <v>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21" t="s">
        <v>108</v>
      </c>
      <c r="B41" s="55"/>
      <c r="C41" s="88">
        <f>CFStat!C41/CFStat!C$28</f>
        <v>0</v>
      </c>
      <c r="D41" s="88">
        <f>CFStat!D41/CFStat!D$28</f>
        <v>0</v>
      </c>
      <c r="E41" s="88">
        <f>CFStat!E41/CFStat!E$28</f>
        <v>0.2486077633</v>
      </c>
      <c r="F41" s="88">
        <f>CFStat!F41/CFStat!F$28</f>
        <v>0.2658383188</v>
      </c>
      <c r="G41" s="88">
        <f>CFStat!G41/CFStat!G$28</f>
        <v>0.2492166436</v>
      </c>
      <c r="H41" s="12">
        <f>CFStat!H41/CFStat!H$28</f>
        <v>0</v>
      </c>
      <c r="I41" s="12">
        <f>CFStat!I41/CFStat!I$28</f>
        <v>0</v>
      </c>
      <c r="J41" s="12">
        <f>CFStat!J41/CFStat!J$28</f>
        <v>0</v>
      </c>
      <c r="K41" s="12">
        <f>CFStat!K41/CFStat!K$28</f>
        <v>0</v>
      </c>
      <c r="L41" s="12">
        <f>CFStat!L41/CFStat!L$28</f>
        <v>0</v>
      </c>
      <c r="M41" s="12">
        <f>CFStat!M41/CFStat!M$28</f>
        <v>0</v>
      </c>
      <c r="N41" s="12">
        <f>CFStat!N41/CFStat!N$28</f>
        <v>0</v>
      </c>
      <c r="O41" s="12">
        <f>CFStat!O41/CFStat!O$28</f>
        <v>0</v>
      </c>
      <c r="P41" s="12">
        <f>CFStat!P41/CFStat!P$28</f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21" t="s">
        <v>109</v>
      </c>
      <c r="B42" s="55"/>
      <c r="C42" s="88">
        <f>CFStat!C42/CFStat!C$28</f>
        <v>0.006401365625</v>
      </c>
      <c r="D42" s="88">
        <f>CFStat!D42/CFStat!D$28</f>
        <v>0.03679852806</v>
      </c>
      <c r="E42" s="88">
        <f>CFStat!E42/CFStat!E$28</f>
        <v>0.07065081872</v>
      </c>
      <c r="F42" s="88">
        <f>CFStat!F42/CFStat!F$28</f>
        <v>-0.01687375364</v>
      </c>
      <c r="G42" s="88">
        <f>CFStat!G42/CFStat!G$28</f>
        <v>-0.02659768272</v>
      </c>
      <c r="H42" s="12">
        <f>CFStat!H42/CFStat!H$28</f>
        <v>0</v>
      </c>
      <c r="I42" s="12">
        <f>CFStat!I42/CFStat!I$28</f>
        <v>0</v>
      </c>
      <c r="J42" s="12">
        <f>CFStat!J42/CFStat!J$28</f>
        <v>0</v>
      </c>
      <c r="K42" s="12">
        <f>CFStat!K42/CFStat!K$28</f>
        <v>0</v>
      </c>
      <c r="L42" s="12">
        <f>CFStat!L42/CFStat!L$28</f>
        <v>0</v>
      </c>
      <c r="M42" s="12">
        <f>CFStat!M42/CFStat!M$28</f>
        <v>0</v>
      </c>
      <c r="N42" s="12">
        <f>CFStat!N42/CFStat!N$28</f>
        <v>0</v>
      </c>
      <c r="O42" s="12">
        <f>CFStat!O42/CFStat!O$28</f>
        <v>0</v>
      </c>
      <c r="P42" s="12">
        <f>CFStat!P42/CFStat!P$28</f>
        <v>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21" t="s">
        <v>110</v>
      </c>
      <c r="B43" s="55"/>
      <c r="C43" s="88">
        <f>CFStat!C43/CFStat!C$28</f>
        <v>0.02432518937</v>
      </c>
      <c r="D43" s="88">
        <f>CFStat!D43/CFStat!D$28</f>
        <v>0.0222835531</v>
      </c>
      <c r="E43" s="88">
        <f>CFStat!E43/CFStat!E$28</f>
        <v>0.02119524562</v>
      </c>
      <c r="F43" s="88">
        <f>CFStat!F43/CFStat!F$28</f>
        <v>0.01810093573</v>
      </c>
      <c r="G43" s="88">
        <f>CFStat!G43/CFStat!G$28</f>
        <v>0.02040370181</v>
      </c>
      <c r="H43" s="12">
        <f>CFStat!H43/CFStat!H$28</f>
        <v>0</v>
      </c>
      <c r="I43" s="12">
        <f>CFStat!I43/CFStat!I$28</f>
        <v>0</v>
      </c>
      <c r="J43" s="12">
        <f>CFStat!J43/CFStat!J$28</f>
        <v>0</v>
      </c>
      <c r="K43" s="12">
        <f>CFStat!K43/CFStat!K$28</f>
        <v>0</v>
      </c>
      <c r="L43" s="12">
        <f>CFStat!L43/CFStat!L$28</f>
        <v>0</v>
      </c>
      <c r="M43" s="12">
        <f>CFStat!M43/CFStat!M$28</f>
        <v>0</v>
      </c>
      <c r="N43" s="12">
        <f>CFStat!N43/CFStat!N$28</f>
        <v>0</v>
      </c>
      <c r="O43" s="12">
        <f>CFStat!O43/CFStat!O$28</f>
        <v>0</v>
      </c>
      <c r="P43" s="12">
        <f>CFStat!P43/CFStat!P$28</f>
        <v>0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21" t="s">
        <v>111</v>
      </c>
      <c r="B44" s="55"/>
      <c r="C44" s="88">
        <f>CFStat!C44/CFStat!C$28</f>
        <v>-0.7468259895</v>
      </c>
      <c r="D44" s="88">
        <f>CFStat!D44/CFStat!D$28</f>
        <v>-0.7032607585</v>
      </c>
      <c r="E44" s="88">
        <f>CFStat!E44/CFStat!E$28</f>
        <v>-0.6649488821</v>
      </c>
      <c r="F44" s="88">
        <f>CFStat!F44/CFStat!F$28</f>
        <v>-0.7641509434</v>
      </c>
      <c r="G44" s="88">
        <f>CFStat!G44/CFStat!G$28</f>
        <v>-0.5075420826</v>
      </c>
      <c r="H44" s="12">
        <f>CFStat!H44/CFStat!H$28</f>
        <v>0</v>
      </c>
      <c r="I44" s="12">
        <f>CFStat!I44/CFStat!I$28</f>
        <v>0</v>
      </c>
      <c r="J44" s="12">
        <f>CFStat!J44/CFStat!J$28</f>
        <v>0</v>
      </c>
      <c r="K44" s="12">
        <f>CFStat!K44/CFStat!K$28</f>
        <v>0</v>
      </c>
      <c r="L44" s="12">
        <f>CFStat!L44/CFStat!L$28</f>
        <v>0</v>
      </c>
      <c r="M44" s="12">
        <f>CFStat!M44/CFStat!M$28</f>
        <v>0</v>
      </c>
      <c r="N44" s="12">
        <f>CFStat!N44/CFStat!N$28</f>
        <v>0</v>
      </c>
      <c r="O44" s="12">
        <f>CFStat!O44/CFStat!O$28</f>
        <v>0</v>
      </c>
      <c r="P44" s="12">
        <f>CFStat!P44/CFStat!P$28</f>
        <v>0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21" t="s">
        <v>112</v>
      </c>
      <c r="B45" s="55"/>
      <c r="C45" s="88">
        <f>CFStat!C45/CFStat!C$28</f>
        <v>-0.3233756535</v>
      </c>
      <c r="D45" s="88">
        <f>CFStat!D45/CFStat!D$28</f>
        <v>-0.3479505264</v>
      </c>
      <c r="E45" s="88">
        <f>CFStat!E45/CFStat!E$28</f>
        <v>-0.3500955864</v>
      </c>
      <c r="F45" s="88">
        <f>CFStat!F45/CFStat!F$28</f>
        <v>-0.3607915324</v>
      </c>
      <c r="G45" s="88">
        <f>CFStat!G45/CFStat!G$28</f>
        <v>-0.4341616265</v>
      </c>
      <c r="H45" s="12">
        <f>CFStat!H45/CFStat!H$28</f>
        <v>0</v>
      </c>
      <c r="I45" s="12">
        <f>CFStat!I45/CFStat!I$28</f>
        <v>0</v>
      </c>
      <c r="J45" s="12">
        <f>CFStat!J45/CFStat!J$28</f>
        <v>0</v>
      </c>
      <c r="K45" s="12">
        <f>CFStat!K45/CFStat!K$28</f>
        <v>0</v>
      </c>
      <c r="L45" s="12">
        <f>CFStat!L45/CFStat!L$28</f>
        <v>0</v>
      </c>
      <c r="M45" s="12">
        <f>CFStat!M45/CFStat!M$28</f>
        <v>0</v>
      </c>
      <c r="N45" s="12">
        <f>CFStat!N45/CFStat!N$28</f>
        <v>0</v>
      </c>
      <c r="O45" s="12">
        <f>CFStat!O45/CFStat!O$28</f>
        <v>0</v>
      </c>
      <c r="P45" s="12">
        <f>CFStat!P45/CFStat!P$28</f>
        <v>0</v>
      </c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21" t="s">
        <v>113</v>
      </c>
      <c r="B46" s="55"/>
      <c r="C46" s="88">
        <f>CFStat!C46/CFStat!C$28</f>
        <v>0.0004267577083</v>
      </c>
      <c r="D46" s="88">
        <f>CFStat!D46/CFStat!D$28</f>
        <v>-0.007973014413</v>
      </c>
      <c r="E46" s="88">
        <f>CFStat!E46/CFStat!E$28</f>
        <v>-0.01753802676</v>
      </c>
      <c r="F46" s="88">
        <f>CFStat!F46/CFStat!F$28</f>
        <v>-0.001994170885</v>
      </c>
      <c r="G46" s="88">
        <f>CFStat!G46/CFStat!G$28</f>
        <v>-0.012825184</v>
      </c>
      <c r="H46" s="12">
        <f>CFStat!H46/CFStat!H$28</f>
        <v>0</v>
      </c>
      <c r="I46" s="12">
        <f>CFStat!I46/CFStat!I$28</f>
        <v>0</v>
      </c>
      <c r="J46" s="12">
        <f>CFStat!J46/CFStat!J$28</f>
        <v>0</v>
      </c>
      <c r="K46" s="12">
        <f>CFStat!K46/CFStat!K$28</f>
        <v>0</v>
      </c>
      <c r="L46" s="12">
        <f>CFStat!L46/CFStat!L$28</f>
        <v>0</v>
      </c>
      <c r="M46" s="12">
        <f>CFStat!M46/CFStat!M$28</f>
        <v>0</v>
      </c>
      <c r="N46" s="12">
        <f>CFStat!N46/CFStat!N$28</f>
        <v>0</v>
      </c>
      <c r="O46" s="12">
        <f>CFStat!O46/CFStat!O$28</f>
        <v>0</v>
      </c>
      <c r="P46" s="12">
        <f>CFStat!P46/CFStat!P$28</f>
        <v>0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21" t="s">
        <v>196</v>
      </c>
      <c r="B47" s="55"/>
      <c r="C47" s="88">
        <f>CFStat!C47/CFStat!C$28</f>
        <v>0</v>
      </c>
      <c r="D47" s="88">
        <f>CFStat!D47/CFStat!D$28</f>
        <v>0</v>
      </c>
      <c r="E47" s="88">
        <f>CFStat!E47/CFStat!E$28</f>
        <v>0</v>
      </c>
      <c r="F47" s="88">
        <f>CFStat!F47/CFStat!F$28</f>
        <v>0</v>
      </c>
      <c r="G47" s="88">
        <f>CFStat!G47/CFStat!G$28</f>
        <v>0</v>
      </c>
      <c r="H47" s="12">
        <f>CFStat!H47/CFStat!H$28</f>
        <v>0</v>
      </c>
      <c r="I47" s="12">
        <f>CFStat!I47/CFStat!I$28</f>
        <v>0</v>
      </c>
      <c r="J47" s="12">
        <f>CFStat!J47/CFStat!J$28</f>
        <v>0</v>
      </c>
      <c r="K47" s="12">
        <f>CFStat!K47/CFStat!K$28</f>
        <v>0</v>
      </c>
      <c r="L47" s="12">
        <f>CFStat!L47/CFStat!L$28</f>
        <v>0</v>
      </c>
      <c r="M47" s="12">
        <f>CFStat!M47/CFStat!M$28</f>
        <v>0</v>
      </c>
      <c r="N47" s="12">
        <f>CFStat!N47/CFStat!N$28</f>
        <v>0</v>
      </c>
      <c r="O47" s="12">
        <f>CFStat!O47/CFStat!O$28</f>
        <v>0</v>
      </c>
      <c r="P47" s="12">
        <f>CFStat!P47/CFStat!P$28</f>
        <v>0</v>
      </c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21" t="s">
        <v>197</v>
      </c>
      <c r="B48" s="55"/>
      <c r="C48" s="90">
        <f>CFStat!C48/CFStat!C$28</f>
        <v>0</v>
      </c>
      <c r="D48" s="90">
        <f>CFStat!D48/CFStat!D$28</f>
        <v>0</v>
      </c>
      <c r="E48" s="90">
        <f>CFStat!E48/CFStat!E$28</f>
        <v>0</v>
      </c>
      <c r="F48" s="90">
        <f>CFStat!F48/CFStat!F$28</f>
        <v>0</v>
      </c>
      <c r="G48" s="90">
        <f>CFStat!G48/CFStat!G$28</f>
        <v>0</v>
      </c>
      <c r="H48" s="91">
        <f>CFStat!H48/CFStat!H$28</f>
        <v>-0.5545906399</v>
      </c>
      <c r="I48" s="91">
        <f>CFStat!I48/CFStat!I$28</f>
        <v>-0.7627551892</v>
      </c>
      <c r="J48" s="91">
        <f>CFStat!J48/CFStat!J$28</f>
        <v>-0.7623181805</v>
      </c>
      <c r="K48" s="91">
        <f>CFStat!K48/CFStat!K$28</f>
        <v>-0.7646046234</v>
      </c>
      <c r="L48" s="91">
        <f>CFStat!L48/CFStat!L$28</f>
        <v>-0.7634883156</v>
      </c>
      <c r="M48" s="91">
        <f>CFStat!M48/CFStat!M$28</f>
        <v>-0.7610295979</v>
      </c>
      <c r="N48" s="91">
        <f>CFStat!N48/CFStat!N$28</f>
        <v>-0.7585678518</v>
      </c>
      <c r="O48" s="91">
        <f>CFStat!O48/CFStat!O$28</f>
        <v>-0.7546049907</v>
      </c>
      <c r="P48" s="91">
        <f>CFStat!P48/CFStat!P$28</f>
        <v>-0.7493503134</v>
      </c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30" t="s">
        <v>198</v>
      </c>
      <c r="B49" s="60"/>
      <c r="C49" s="92">
        <f>CFStat!C49/CFStat!C$28</f>
        <v>-0.6174117145</v>
      </c>
      <c r="D49" s="92">
        <f>CFStat!D49/CFStat!D$28</f>
        <v>-0.8044567106</v>
      </c>
      <c r="E49" s="92">
        <f>CFStat!E49/CFStat!E$28</f>
        <v>-0.737262073</v>
      </c>
      <c r="F49" s="92">
        <f>CFStat!F49/CFStat!F$28</f>
        <v>-0.952600092</v>
      </c>
      <c r="G49" s="92">
        <f>CFStat!G49/CFStat!G$28</f>
        <v>-0.7894775195</v>
      </c>
      <c r="H49" s="93">
        <f>CFStat!H49/CFStat!H$28</f>
        <v>-0.5545906399</v>
      </c>
      <c r="I49" s="93">
        <f>CFStat!I49/CFStat!I$28</f>
        <v>-0.7627551892</v>
      </c>
      <c r="J49" s="93">
        <f>CFStat!J49/CFStat!J$28</f>
        <v>-0.7623181805</v>
      </c>
      <c r="K49" s="93">
        <f>CFStat!K49/CFStat!K$28</f>
        <v>-0.7646046234</v>
      </c>
      <c r="L49" s="93">
        <f>CFStat!L49/CFStat!L$28</f>
        <v>-0.7634883156</v>
      </c>
      <c r="M49" s="93">
        <f>CFStat!M49/CFStat!M$28</f>
        <v>-0.7610295979</v>
      </c>
      <c r="N49" s="93">
        <f>CFStat!N49/CFStat!N$28</f>
        <v>-0.7585678518</v>
      </c>
      <c r="O49" s="93">
        <f>CFStat!O49/CFStat!O$28</f>
        <v>-0.7546049907</v>
      </c>
      <c r="P49" s="93">
        <f>CFStat!P49/CFStat!P$28</f>
        <v>-0.7493503134</v>
      </c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 t="s">
        <v>114</v>
      </c>
      <c r="B51" s="1"/>
      <c r="C51" s="12">
        <f>CFStat!C51/CFStat!C$28</f>
        <v>-0.01184252641</v>
      </c>
      <c r="D51" s="12">
        <f>CFStat!D51/CFStat!D$28</f>
        <v>-0.000817745068</v>
      </c>
      <c r="E51" s="12">
        <f>CFStat!E51/CFStat!E$28</f>
        <v>0.01030670767</v>
      </c>
      <c r="F51" s="12">
        <f>CFStat!F51/CFStat!F$28</f>
        <v>-0.001457278724</v>
      </c>
      <c r="G51" s="12">
        <f>CFStat!G51/CFStat!G$28</f>
        <v>0.008671573271</v>
      </c>
      <c r="H51" s="12">
        <f>CFStat!H51/CFStat!H$28</f>
        <v>0</v>
      </c>
      <c r="I51" s="12">
        <f>CFStat!I51/CFStat!I$28</f>
        <v>0</v>
      </c>
      <c r="J51" s="12">
        <f>CFStat!J51/CFStat!J$28</f>
        <v>0</v>
      </c>
      <c r="K51" s="12">
        <f>CFStat!K51/CFStat!K$28</f>
        <v>0</v>
      </c>
      <c r="L51" s="12">
        <f>CFStat!L51/CFStat!L$28</f>
        <v>0</v>
      </c>
      <c r="M51" s="12">
        <f>CFStat!M51/CFStat!M$28</f>
        <v>0</v>
      </c>
      <c r="N51" s="12">
        <f>CFStat!N51/CFStat!N$28</f>
        <v>0</v>
      </c>
      <c r="O51" s="12">
        <f>CFStat!O51/CFStat!O$28</f>
        <v>0</v>
      </c>
      <c r="P51" s="12">
        <f>CFStat!P51/CFStat!P$28</f>
        <v>0</v>
      </c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3" t="s">
        <v>199</v>
      </c>
      <c r="B52" s="1"/>
      <c r="C52" s="95">
        <f>CFStat!C52/CFStat!C$28</f>
        <v>0.05259788755</v>
      </c>
      <c r="D52" s="95">
        <f>CFStat!D52/CFStat!D$28</f>
        <v>0.03291423899</v>
      </c>
      <c r="E52" s="95">
        <f>CFStat!E52/CFStat!E$28</f>
        <v>0.08785637104</v>
      </c>
      <c r="F52" s="95">
        <f>CFStat!F52/CFStat!F$28</f>
        <v>-0.1393618653</v>
      </c>
      <c r="G52" s="95">
        <f>CFStat!G52/CFStat!G$28</f>
        <v>0.02586897909</v>
      </c>
      <c r="H52" s="95">
        <f>CFStat!H52/CFStat!H$28</f>
        <v>0.02542769087</v>
      </c>
      <c r="I52" s="95">
        <f>CFStat!I52/CFStat!I$28</f>
        <v>0.005255385928</v>
      </c>
      <c r="J52" s="95">
        <f>CFStat!J52/CFStat!J$28</f>
        <v>0.005471578509</v>
      </c>
      <c r="K52" s="95">
        <f>CFStat!K52/CFStat!K$28</f>
        <v>0.005176567739</v>
      </c>
      <c r="L52" s="95">
        <f>CFStat!L52/CFStat!L$28</f>
        <v>0.005072307288</v>
      </c>
      <c r="M52" s="95">
        <f>CFStat!M52/CFStat!M$28</f>
        <v>0.004998961389</v>
      </c>
      <c r="N52" s="95">
        <f>CFStat!N52/CFStat!N$28</f>
        <v>0.004927026706</v>
      </c>
      <c r="O52" s="95">
        <f>CFStat!O52/CFStat!O$28</f>
        <v>0.004886286518</v>
      </c>
      <c r="P52" s="95">
        <f>CFStat!P52/CFStat!P$28</f>
        <v>0.004870470072</v>
      </c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3.43"/>
    <col customWidth="1" min="2" max="2" width="8.86"/>
    <col customWidth="1" min="3" max="4" width="9.43"/>
    <col customWidth="1" min="5" max="7" width="9.71"/>
    <col customWidth="1" min="8" max="8" width="9.43"/>
    <col customWidth="1" min="9" max="16" width="9.0"/>
    <col customWidth="1" min="17" max="26" width="8.86"/>
  </cols>
  <sheetData>
    <row r="1" ht="13.5" customHeight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115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118</v>
      </c>
      <c r="B7" s="30"/>
      <c r="C7" s="78">
        <f>IncStat!C7/IncStat!$C7</f>
        <v>1</v>
      </c>
      <c r="D7" s="78">
        <f>IncStat!D7/IncStat!$C7</f>
        <v>1.068640631</v>
      </c>
      <c r="E7" s="78">
        <f>IncStat!E7/IncStat!$C7</f>
        <v>1.139913465</v>
      </c>
      <c r="F7" s="78">
        <f>IncStat!F7/IncStat!$C7</f>
        <v>1.222370339</v>
      </c>
      <c r="G7" s="78">
        <f>IncStat!G7/IncStat!$C7</f>
        <v>1.245212892</v>
      </c>
      <c r="H7" s="78">
        <f>IncStat!H7/IncStat!$C7</f>
        <v>1.417367826</v>
      </c>
      <c r="I7" s="78">
        <f>IncStat!I7/IncStat!$C7</f>
        <v>1.463392594</v>
      </c>
      <c r="J7" s="78">
        <f>IncStat!J7/IncStat!$C7</f>
        <v>1.515312593</v>
      </c>
      <c r="K7" s="78">
        <f>IncStat!K7/IncStat!$C7</f>
        <v>1.567555722</v>
      </c>
      <c r="L7" s="78">
        <f>IncStat!L7/IncStat!$C7</f>
        <v>1.621600027</v>
      </c>
      <c r="M7" s="78">
        <f>IncStat!M7/IncStat!$C7</f>
        <v>1.677507607</v>
      </c>
      <c r="N7" s="78">
        <f>IncStat!N7/IncStat!$C7</f>
        <v>1.735342701</v>
      </c>
      <c r="O7" s="78">
        <f>IncStat!O7/IncStat!$C7</f>
        <v>1.795171765</v>
      </c>
      <c r="P7" s="78">
        <f>IncStat!P7/IncStat!$C7</f>
        <v>1.857063542</v>
      </c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8"/>
      <c r="B8" s="35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3.5" customHeight="1">
      <c r="A9" s="21"/>
      <c r="B9" s="21"/>
      <c r="C9" s="21"/>
      <c r="D9" s="21"/>
      <c r="E9" s="21"/>
      <c r="F9" s="21"/>
      <c r="G9" s="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 t="s">
        <v>120</v>
      </c>
      <c r="B10" s="21"/>
      <c r="C10" s="79">
        <f>IncStat!C10/IncStat!$C10</f>
        <v>1</v>
      </c>
      <c r="D10" s="79">
        <f>IncStat!D10/IncStat!$C10</f>
        <v>1.069145466</v>
      </c>
      <c r="E10" s="79">
        <f>IncStat!E10/IncStat!$C10</f>
        <v>1.142376489</v>
      </c>
      <c r="F10" s="79">
        <f>IncStat!F10/IncStat!$C10</f>
        <v>1.219538572</v>
      </c>
      <c r="G10" s="79">
        <f>IncStat!G10/IncStat!$C10</f>
        <v>1.24717616</v>
      </c>
      <c r="H10" s="80">
        <f>IncStat!H10/IncStat!$C10</f>
        <v>1.419314803</v>
      </c>
      <c r="I10" s="80">
        <f>IncStat!I10/IncStat!$C10</f>
        <v>1.469850146</v>
      </c>
      <c r="J10" s="80">
        <f>IncStat!J10/IncStat!$C10</f>
        <v>1.519696683</v>
      </c>
      <c r="K10" s="80">
        <f>IncStat!K10/IncStat!$C10</f>
        <v>1.56732705</v>
      </c>
      <c r="L10" s="80">
        <f>IncStat!L10/IncStat!$C10</f>
        <v>1.618899393</v>
      </c>
      <c r="M10" s="80">
        <f>IncStat!M10/IncStat!$C10</f>
        <v>1.672164831</v>
      </c>
      <c r="N10" s="80">
        <f>IncStat!N10/IncStat!$C10</f>
        <v>1.72717881</v>
      </c>
      <c r="O10" s="80">
        <f>IncStat!O10/IncStat!$C10</f>
        <v>1.786726408</v>
      </c>
      <c r="P10" s="80">
        <f>IncStat!P10/IncStat!$C10</f>
        <v>1.848327017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3" t="s">
        <v>121</v>
      </c>
      <c r="B11" s="21"/>
      <c r="C11" s="81">
        <f>IncStat!C11/IncStat!$C11</f>
        <v>1</v>
      </c>
      <c r="D11" s="81">
        <f>IncStat!D11/IncStat!$C11</f>
        <v>1.067668925</v>
      </c>
      <c r="E11" s="81">
        <f>IncStat!E11/IncStat!$C11</f>
        <v>1.135172642</v>
      </c>
      <c r="F11" s="81">
        <f>IncStat!F11/IncStat!$C11</f>
        <v>1.227820915</v>
      </c>
      <c r="G11" s="81">
        <f>IncStat!G11/IncStat!$C11</f>
        <v>1.241434</v>
      </c>
      <c r="H11" s="81">
        <f>IncStat!H11/IncStat!$C11</f>
        <v>1.41362029</v>
      </c>
      <c r="I11" s="81">
        <f>IncStat!I11/IncStat!$C11</f>
        <v>1.450963114</v>
      </c>
      <c r="J11" s="81">
        <f>IncStat!J11/IncStat!$C11</f>
        <v>1.506874107</v>
      </c>
      <c r="K11" s="81">
        <f>IncStat!K11/IncStat!$C11</f>
        <v>1.56799587</v>
      </c>
      <c r="L11" s="81">
        <f>IncStat!L11/IncStat!$C11</f>
        <v>1.626798202</v>
      </c>
      <c r="M11" s="81">
        <f>IncStat!M11/IncStat!$C11</f>
        <v>1.687791369</v>
      </c>
      <c r="N11" s="81">
        <f>IncStat!N11/IncStat!$C11</f>
        <v>1.751056541</v>
      </c>
      <c r="O11" s="81">
        <f>IncStat!O11/IncStat!$C11</f>
        <v>1.811427367</v>
      </c>
      <c r="P11" s="81">
        <f>IncStat!P11/IncStat!$C11</f>
        <v>1.873879586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8"/>
      <c r="B12" s="35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3.5" customHeight="1">
      <c r="A13" s="21"/>
      <c r="B13" s="21"/>
      <c r="C13" s="21"/>
      <c r="D13" s="21"/>
      <c r="E13" s="21"/>
      <c r="F13" s="21"/>
      <c r="G13" s="2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 t="s">
        <v>123</v>
      </c>
      <c r="B14" s="21"/>
      <c r="C14" s="21"/>
      <c r="D14" s="21"/>
      <c r="E14" s="21"/>
      <c r="F14" s="21"/>
      <c r="G14" s="2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21" t="s">
        <v>124</v>
      </c>
      <c r="B15" s="21"/>
      <c r="C15" s="78">
        <f>IncStat!C15/IncStat!$C15</f>
        <v>1</v>
      </c>
      <c r="D15" s="78">
        <f>IncStat!D15/IncStat!$C15</f>
        <v>1.019701208</v>
      </c>
      <c r="E15" s="78">
        <f>IncStat!E15/IncStat!$C15</f>
        <v>1.063270043</v>
      </c>
      <c r="F15" s="78">
        <f>IncStat!F15/IncStat!$C15</f>
        <v>1.161418963</v>
      </c>
      <c r="G15" s="78">
        <f>IncStat!G15/IncStat!$C15</f>
        <v>1.174930064</v>
      </c>
      <c r="H15" s="82">
        <f>IncStat!H15/IncStat!$C15</f>
        <v>1.379770552</v>
      </c>
      <c r="I15" s="82">
        <f>IncStat!I15/IncStat!$C15</f>
        <v>1.395535199</v>
      </c>
      <c r="J15" s="82">
        <f>IncStat!J15/IncStat!$C15</f>
        <v>1.413112916</v>
      </c>
      <c r="K15" s="82">
        <f>IncStat!K15/IncStat!$C15</f>
        <v>1.445314646</v>
      </c>
      <c r="L15" s="82">
        <f>IncStat!L15/IncStat!$C15</f>
        <v>1.478057105</v>
      </c>
      <c r="M15" s="82">
        <f>IncStat!M15/IncStat!$C15</f>
        <v>1.520177542</v>
      </c>
      <c r="N15" s="82">
        <f>IncStat!N15/IncStat!$C15</f>
        <v>1.563445444</v>
      </c>
      <c r="O15" s="82">
        <f>IncStat!O15/IncStat!$C15</f>
        <v>1.607889864</v>
      </c>
      <c r="P15" s="82">
        <f>IncStat!P15/IncStat!$C15</f>
        <v>1.663324761</v>
      </c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125</v>
      </c>
      <c r="B16" s="21"/>
      <c r="C16" s="78">
        <f>IncStat!C16/IncStat!$C16</f>
        <v>1</v>
      </c>
      <c r="D16" s="78">
        <f>IncStat!D16/IncStat!$C16</f>
        <v>1.037869822</v>
      </c>
      <c r="E16" s="78">
        <f>IncStat!E16/IncStat!$C16</f>
        <v>1.071597633</v>
      </c>
      <c r="F16" s="78">
        <f>IncStat!F16/IncStat!$C16</f>
        <v>1.106508876</v>
      </c>
      <c r="G16" s="78">
        <f>IncStat!G16/IncStat!$C16</f>
        <v>1.176923077</v>
      </c>
      <c r="H16" s="82">
        <f>IncStat!H16/IncStat!$C16</f>
        <v>1.234952378</v>
      </c>
      <c r="I16" s="82">
        <f>IncStat!I16/IncStat!$C16</f>
        <v>1.393719469</v>
      </c>
      <c r="J16" s="82">
        <f>IncStat!J16/IncStat!$C16</f>
        <v>1.491615569</v>
      </c>
      <c r="K16" s="82">
        <f>IncStat!K16/IncStat!$C16</f>
        <v>1.597739618</v>
      </c>
      <c r="L16" s="82">
        <f>IncStat!L16/IncStat!$C16</f>
        <v>1.709702796</v>
      </c>
      <c r="M16" s="82">
        <f>IncStat!M16/IncStat!$C16</f>
        <v>1.828567722</v>
      </c>
      <c r="N16" s="82">
        <f>IncStat!N16/IncStat!$C16</f>
        <v>1.954735001</v>
      </c>
      <c r="O16" s="82">
        <f>IncStat!O16/IncStat!$C16</f>
        <v>2.088627745</v>
      </c>
      <c r="P16" s="82">
        <f>IncStat!P16/IncStat!$C16</f>
        <v>2.230692818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126</v>
      </c>
      <c r="B17" s="21"/>
      <c r="C17" s="83" t="str">
        <f>IncStat!C17/IncStat!$C17</f>
        <v>#DIV/0!</v>
      </c>
      <c r="D17" s="83" t="str">
        <f>IncStat!D17/IncStat!$C17</f>
        <v>#DIV/0!</v>
      </c>
      <c r="E17" s="83" t="str">
        <f>IncStat!E17/IncStat!$C17</f>
        <v>#DIV/0!</v>
      </c>
      <c r="F17" s="83" t="str">
        <f>IncStat!F17/IncStat!$C17</f>
        <v>#DIV/0!</v>
      </c>
      <c r="G17" s="83" t="str">
        <f>IncStat!G17/IncStat!$C17</f>
        <v>#DIV/0!</v>
      </c>
      <c r="H17" s="80" t="str">
        <f>IncStat!H17/IncStat!$C17</f>
        <v>#DIV/0!</v>
      </c>
      <c r="I17" s="80" t="str">
        <f>IncStat!I17/IncStat!$C17</f>
        <v>#DIV/0!</v>
      </c>
      <c r="J17" s="80" t="str">
        <f>IncStat!J17/IncStat!$C17</f>
        <v>#DIV/0!</v>
      </c>
      <c r="K17" s="80" t="str">
        <f>IncStat!K17/IncStat!$C17</f>
        <v>#DIV/0!</v>
      </c>
      <c r="L17" s="80" t="str">
        <f>IncStat!L17/IncStat!$C17</f>
        <v>#DIV/0!</v>
      </c>
      <c r="M17" s="80" t="str">
        <f>IncStat!M17/IncStat!$C17</f>
        <v>#DIV/0!</v>
      </c>
      <c r="N17" s="80" t="str">
        <f>IncStat!N17/IncStat!$C17</f>
        <v>#DIV/0!</v>
      </c>
      <c r="O17" s="80" t="str">
        <f>IncStat!O17/IncStat!$C17</f>
        <v>#DIV/0!</v>
      </c>
      <c r="P17" s="80" t="str">
        <f>IncStat!P17/IncStat!$C17</f>
        <v>#DIV/0!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 t="s">
        <v>127</v>
      </c>
      <c r="B18" s="21"/>
      <c r="C18" s="81">
        <f>IncStat!C18/IncStat!$C18</f>
        <v>1</v>
      </c>
      <c r="D18" s="81">
        <f>IncStat!D18/IncStat!$C18</f>
        <v>1.021361744</v>
      </c>
      <c r="E18" s="81">
        <f>IncStat!E18/IncStat!$C18</f>
        <v>1.06403115</v>
      </c>
      <c r="F18" s="81">
        <f>IncStat!F18/IncStat!$C18</f>
        <v>1.169758261</v>
      </c>
      <c r="G18" s="81">
        <f>IncStat!G18/IncStat!$C18</f>
        <v>1.175112217</v>
      </c>
      <c r="H18" s="81">
        <f>IncStat!H18/IncStat!$C18</f>
        <v>1.366534777</v>
      </c>
      <c r="I18" s="81">
        <f>IncStat!I18/IncStat!$C18</f>
        <v>1.395369249</v>
      </c>
      <c r="J18" s="81">
        <f>IncStat!J18/IncStat!$C18</f>
        <v>1.42028773</v>
      </c>
      <c r="K18" s="81">
        <f>IncStat!K18/IncStat!$C18</f>
        <v>1.459245651</v>
      </c>
      <c r="L18" s="81">
        <f>IncStat!L18/IncStat!$C18</f>
        <v>1.499228551</v>
      </c>
      <c r="M18" s="81">
        <f>IncStat!M18/IncStat!$C18</f>
        <v>1.548363114</v>
      </c>
      <c r="N18" s="81">
        <f>IncStat!N18/IncStat!$C18</f>
        <v>1.599207671</v>
      </c>
      <c r="O18" s="81">
        <f>IncStat!O18/IncStat!$C18</f>
        <v>1.651827294</v>
      </c>
      <c r="P18" s="81">
        <f>IncStat!P18/IncStat!$C18</f>
        <v>1.715179827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8"/>
      <c r="B19" s="35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3.5" customHeight="1">
      <c r="A20" s="1"/>
      <c r="B20" s="2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3" t="s">
        <v>129</v>
      </c>
      <c r="B21" s="21"/>
      <c r="C21" s="81">
        <f>IncStat!C21/IncStat!$C21</f>
        <v>1</v>
      </c>
      <c r="D21" s="81">
        <f>IncStat!D21/IncStat!$C21</f>
        <v>1.140394089</v>
      </c>
      <c r="E21" s="81">
        <f>IncStat!E21/IncStat!$C21</f>
        <v>1.246899949</v>
      </c>
      <c r="F21" s="81">
        <f>IncStat!F21/IncStat!$C21</f>
        <v>1.319007984</v>
      </c>
      <c r="G21" s="81">
        <f>IncStat!G21/IncStat!$C21</f>
        <v>1.345591982</v>
      </c>
      <c r="H21" s="81">
        <f>IncStat!H21/IncStat!$C21</f>
        <v>1.48756782</v>
      </c>
      <c r="I21" s="81">
        <f>IncStat!I21/IncStat!$C21</f>
        <v>1.538272962</v>
      </c>
      <c r="J21" s="81">
        <f>IncStat!J21/IncStat!$C21</f>
        <v>1.642857518</v>
      </c>
      <c r="K21" s="81">
        <f>IncStat!K21/IncStat!$C21</f>
        <v>1.738787472</v>
      </c>
      <c r="L21" s="81">
        <f>IncStat!L21/IncStat!$C21</f>
        <v>1.827145613</v>
      </c>
      <c r="M21" s="81">
        <f>IncStat!M21/IncStat!$C21</f>
        <v>1.90676265</v>
      </c>
      <c r="N21" s="81">
        <f>IncStat!N21/IncStat!$C21</f>
        <v>1.989534326</v>
      </c>
      <c r="O21" s="81">
        <f>IncStat!O21/IncStat!$C21</f>
        <v>2.062078373</v>
      </c>
      <c r="P21" s="81">
        <f>IncStat!P21/IncStat!$C21</f>
        <v>2.123116654</v>
      </c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35"/>
      <c r="B22" s="35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3.5" customHeight="1">
      <c r="A23" s="21"/>
      <c r="B23" s="21"/>
      <c r="C23" s="21"/>
      <c r="D23" s="21"/>
      <c r="E23" s="21"/>
      <c r="F23" s="21"/>
      <c r="G23" s="2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130</v>
      </c>
      <c r="B24" s="21"/>
      <c r="C24" s="81">
        <f>IncStat!C24/IncStat!$C24</f>
        <v>1</v>
      </c>
      <c r="D24" s="81">
        <f>IncStat!D24/IncStat!$C24</f>
        <v>1.057671382</v>
      </c>
      <c r="E24" s="81">
        <f>IncStat!E24/IncStat!$C24</f>
        <v>1.150163221</v>
      </c>
      <c r="F24" s="81">
        <f>IncStat!F24/IncStat!$C24</f>
        <v>1.143634385</v>
      </c>
      <c r="G24" s="81">
        <f>IncStat!G24/IncStat!$C24</f>
        <v>1.306855277</v>
      </c>
      <c r="H24" s="82">
        <f>IncStat!H24/IncStat!$C24</f>
        <v>1.199026115</v>
      </c>
      <c r="I24" s="82">
        <f>IncStat!I24/IncStat!$C24</f>
        <v>1.199026115</v>
      </c>
      <c r="J24" s="82">
        <f>IncStat!J24/IncStat!$C24</f>
        <v>1.199026115</v>
      </c>
      <c r="K24" s="82">
        <f>IncStat!K24/IncStat!$C24</f>
        <v>1.199026115</v>
      </c>
      <c r="L24" s="82">
        <f>IncStat!L24/IncStat!$C24</f>
        <v>1.199026115</v>
      </c>
      <c r="M24" s="82">
        <f>IncStat!M24/IncStat!$C24</f>
        <v>1.199026115</v>
      </c>
      <c r="N24" s="82">
        <f>IncStat!N24/IncStat!$C24</f>
        <v>1.199026115</v>
      </c>
      <c r="O24" s="82">
        <f>IncStat!O24/IncStat!$C24</f>
        <v>1.199026115</v>
      </c>
      <c r="P24" s="82">
        <f>IncStat!P24/IncStat!$C24</f>
        <v>1.199026115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131</v>
      </c>
      <c r="B25" s="21"/>
      <c r="C25" s="81">
        <f>IncStat!C25/IncStat!$C25</f>
        <v>1</v>
      </c>
      <c r="D25" s="81">
        <f>IncStat!D25/IncStat!$C25</f>
        <v>0.2168674699</v>
      </c>
      <c r="E25" s="81">
        <f>IncStat!E25/IncStat!$C25</f>
        <v>0.4457831325</v>
      </c>
      <c r="F25" s="81">
        <f>IncStat!F25/IncStat!$C25</f>
        <v>0.5602409639</v>
      </c>
      <c r="G25" s="81">
        <f>IncStat!G25/IncStat!$C25</f>
        <v>0.4397590361</v>
      </c>
      <c r="H25" s="82">
        <f>IncStat!H25/IncStat!$C25</f>
        <v>0.09787939026</v>
      </c>
      <c r="I25" s="82">
        <f>IncStat!I25/IncStat!$C25</f>
        <v>0.1075309772</v>
      </c>
      <c r="J25" s="82">
        <f>IncStat!J25/IncStat!$C25</f>
        <v>0.1111869898</v>
      </c>
      <c r="K25" s="82">
        <f>IncStat!K25/IncStat!$C25</f>
        <v>0.115075117</v>
      </c>
      <c r="L25" s="82">
        <f>IncStat!L25/IncStat!$C25</f>
        <v>0.1190425388</v>
      </c>
      <c r="M25" s="82">
        <f>IncStat!M25/IncStat!$C25</f>
        <v>0.1231467446</v>
      </c>
      <c r="N25" s="82">
        <f>IncStat!N25/IncStat!$C25</f>
        <v>0.1273924503</v>
      </c>
      <c r="O25" s="82">
        <f>IncStat!O25/IncStat!$C25</f>
        <v>0.1317845343</v>
      </c>
      <c r="P25" s="82">
        <f>IncStat!P25/IncStat!$C25</f>
        <v>0.1363280434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48</v>
      </c>
      <c r="B26" s="21"/>
      <c r="C26" s="79" t="str">
        <f>IncStat!C26/IncStat!$C26</f>
        <v>#DIV/0!</v>
      </c>
      <c r="D26" s="79" t="str">
        <f>IncStat!D26/IncStat!$C26</f>
        <v>#DIV/0!</v>
      </c>
      <c r="E26" s="79" t="str">
        <f>IncStat!E26/IncStat!$C26</f>
        <v>#DIV/0!</v>
      </c>
      <c r="F26" s="79" t="str">
        <f>IncStat!F26/IncStat!$C26</f>
        <v>#DIV/0!</v>
      </c>
      <c r="G26" s="79" t="str">
        <f>IncStat!G26/IncStat!$C26</f>
        <v>#DIV/0!</v>
      </c>
      <c r="H26" s="80" t="str">
        <f>IncStat!H26/IncStat!$C26</f>
        <v>#DIV/0!</v>
      </c>
      <c r="I26" s="80" t="str">
        <f>IncStat!I26/IncStat!$C26</f>
        <v>#DIV/0!</v>
      </c>
      <c r="J26" s="80" t="str">
        <f>IncStat!J26/IncStat!$C26</f>
        <v>#DIV/0!</v>
      </c>
      <c r="K26" s="80" t="str">
        <f>IncStat!K26/IncStat!$C26</f>
        <v>#DIV/0!</v>
      </c>
      <c r="L26" s="80" t="str">
        <f>IncStat!L26/IncStat!$C26</f>
        <v>#DIV/0!</v>
      </c>
      <c r="M26" s="80" t="str">
        <f>IncStat!M26/IncStat!$C26</f>
        <v>#DIV/0!</v>
      </c>
      <c r="N26" s="80" t="str">
        <f>IncStat!N26/IncStat!$C26</f>
        <v>#DIV/0!</v>
      </c>
      <c r="O26" s="80" t="str">
        <f>IncStat!O26/IncStat!$C26</f>
        <v>#DIV/0!</v>
      </c>
      <c r="P26" s="80" t="str">
        <f>IncStat!P26/IncStat!$C26</f>
        <v>#DIV/0!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21" t="s">
        <v>132</v>
      </c>
      <c r="B27" s="21"/>
      <c r="C27" s="81">
        <f>IncStat!C27/IncStat!$C27</f>
        <v>1</v>
      </c>
      <c r="D27" s="81">
        <f>IncStat!D27/IncStat!$C27</f>
        <v>1.243027888</v>
      </c>
      <c r="E27" s="81">
        <f>IncStat!E27/IncStat!$C27</f>
        <v>1.305444887</v>
      </c>
      <c r="F27" s="81">
        <f>IncStat!F27/IncStat!$C27</f>
        <v>1.293492696</v>
      </c>
      <c r="G27" s="81">
        <f>IncStat!G27/IncStat!$C27</f>
        <v>1.498007968</v>
      </c>
      <c r="H27" s="81">
        <f>IncStat!H27/IncStat!$C27</f>
        <v>1.441775593</v>
      </c>
      <c r="I27" s="81">
        <f>IncStat!I27/IncStat!$C27</f>
        <v>1.439647886</v>
      </c>
      <c r="J27" s="81">
        <f>IncStat!J27/IncStat!$C27</f>
        <v>1.438841912</v>
      </c>
      <c r="K27" s="81">
        <f>IncStat!K27/IncStat!$C27</f>
        <v>1.437984768</v>
      </c>
      <c r="L27" s="81">
        <f>IncStat!L27/IncStat!$C27</f>
        <v>1.437110144</v>
      </c>
      <c r="M27" s="81">
        <f>IncStat!M27/IncStat!$C27</f>
        <v>1.436205366</v>
      </c>
      <c r="N27" s="81">
        <f>IncStat!N27/IncStat!$C27</f>
        <v>1.435269393</v>
      </c>
      <c r="O27" s="81">
        <f>IncStat!O27/IncStat!$C27</f>
        <v>1.434301152</v>
      </c>
      <c r="P27" s="81">
        <f>IncStat!P27/IncStat!$C27</f>
        <v>1.433299528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21"/>
      <c r="B28" s="21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21" t="s">
        <v>133</v>
      </c>
      <c r="B29" s="21"/>
      <c r="C29" s="81">
        <f>IncStat!C29/IncStat!$C29</f>
        <v>1</v>
      </c>
      <c r="D29" s="81">
        <f>IncStat!D29/IncStat!$C29</f>
        <v>1.133381726</v>
      </c>
      <c r="E29" s="81">
        <f>IncStat!E29/IncStat!$C29</f>
        <v>1.242899918</v>
      </c>
      <c r="F29" s="81">
        <f>IncStat!F29/IncStat!$C29</f>
        <v>1.320751293</v>
      </c>
      <c r="G29" s="81">
        <f>IncStat!G29/IncStat!$C29</f>
        <v>1.335178296</v>
      </c>
      <c r="H29" s="81">
        <f>IncStat!H29/IncStat!$C29</f>
        <v>1.490696533</v>
      </c>
      <c r="I29" s="81">
        <f>IncStat!I29/IncStat!$C29</f>
        <v>1.545011432</v>
      </c>
      <c r="J29" s="81">
        <f>IncStat!J29/IncStat!$C29</f>
        <v>1.656796703</v>
      </c>
      <c r="K29" s="81">
        <f>IncStat!K29/IncStat!$C29</f>
        <v>1.759339549</v>
      </c>
      <c r="L29" s="81">
        <f>IncStat!L29/IncStat!$C29</f>
        <v>1.853794439</v>
      </c>
      <c r="M29" s="81">
        <f>IncStat!M29/IncStat!$C29</f>
        <v>1.938913057</v>
      </c>
      <c r="N29" s="81">
        <f>IncStat!N29/IncStat!$C29</f>
        <v>2.027403983</v>
      </c>
      <c r="O29" s="81">
        <f>IncStat!O29/IncStat!$C29</f>
        <v>2.104970692</v>
      </c>
      <c r="P29" s="81">
        <f>IncStat!P29/IncStat!$C29</f>
        <v>2.170247795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21"/>
      <c r="B30" s="21"/>
      <c r="C30" s="48"/>
      <c r="D30" s="48"/>
      <c r="E30" s="48"/>
      <c r="F30" s="48"/>
      <c r="G30" s="48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21" t="s">
        <v>134</v>
      </c>
      <c r="B31" s="21"/>
      <c r="C31" s="81">
        <f>IncStat!C31/IncStat!$C31</f>
        <v>1</v>
      </c>
      <c r="D31" s="81">
        <f>IncStat!D31/IncStat!$C31</f>
        <v>1.130109671</v>
      </c>
      <c r="E31" s="81">
        <f>IncStat!E31/IncStat!$C31</f>
        <v>1.263210369</v>
      </c>
      <c r="F31" s="81">
        <f>IncStat!F31/IncStat!$C31</f>
        <v>0.8561814556</v>
      </c>
      <c r="G31" s="81">
        <f>IncStat!G31/IncStat!$C31</f>
        <v>0.8656530409</v>
      </c>
      <c r="H31" s="82">
        <f>IncStat!H31/IncStat!$C31</f>
        <v>1.040119015</v>
      </c>
      <c r="I31" s="82">
        <f>IncStat!I31/IncStat!$C31</f>
        <v>1.078016708</v>
      </c>
      <c r="J31" s="82">
        <f>IncStat!J31/IncStat!$C31</f>
        <v>1.156013794</v>
      </c>
      <c r="K31" s="82">
        <f>IncStat!K31/IncStat!$C31</f>
        <v>1.227562068</v>
      </c>
      <c r="L31" s="82">
        <f>IncStat!L31/IncStat!$C31</f>
        <v>1.29346705</v>
      </c>
      <c r="M31" s="82">
        <f>IncStat!M31/IncStat!$C31</f>
        <v>1.352857737</v>
      </c>
      <c r="N31" s="82">
        <f>IncStat!N31/IncStat!$C31</f>
        <v>1.414601421</v>
      </c>
      <c r="O31" s="82">
        <f>IncStat!O31/IncStat!$C31</f>
        <v>1.468722838</v>
      </c>
      <c r="P31" s="82">
        <f>IncStat!P31/IncStat!$C31</f>
        <v>1.514269302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35"/>
      <c r="B32" s="35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3.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30" t="s">
        <v>136</v>
      </c>
      <c r="B34" s="21"/>
      <c r="C34" s="84">
        <f>IncStat!C34/IncStat!$C34</f>
        <v>1</v>
      </c>
      <c r="D34" s="84">
        <f>IncStat!D34/IncStat!$C34</f>
        <v>1.135254673</v>
      </c>
      <c r="E34" s="84">
        <f>IncStat!E34/IncStat!$C34</f>
        <v>1.231274076</v>
      </c>
      <c r="F34" s="84">
        <f>IncStat!F34/IncStat!$C34</f>
        <v>1.586674276</v>
      </c>
      <c r="G34" s="84">
        <f>IncStat!G34/IncStat!$C34</f>
        <v>1.603937794</v>
      </c>
      <c r="H34" s="84">
        <f>IncStat!H34/IncStat!$C34</f>
        <v>1.748610216</v>
      </c>
      <c r="I34" s="84">
        <f>IncStat!I34/IncStat!$C34</f>
        <v>1.812322437</v>
      </c>
      <c r="J34" s="84">
        <f>IncStat!J34/IncStat!$C34</f>
        <v>1.943448298</v>
      </c>
      <c r="K34" s="84">
        <f>IncStat!K34/IncStat!$C34</f>
        <v>2.063732651</v>
      </c>
      <c r="L34" s="84">
        <f>IncStat!L34/IncStat!$C34</f>
        <v>2.174529706</v>
      </c>
      <c r="M34" s="84">
        <f>IncStat!M34/IncStat!$C34</f>
        <v>2.274375168</v>
      </c>
      <c r="N34" s="84">
        <f>IncStat!N34/IncStat!$C34</f>
        <v>2.378176401</v>
      </c>
      <c r="O34" s="84">
        <f>IncStat!O34/IncStat!$C34</f>
        <v>2.469163357</v>
      </c>
      <c r="P34" s="84">
        <f>IncStat!P34/IncStat!$C34</f>
        <v>2.545734413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35"/>
      <c r="B35" s="35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3.5" customHeight="1">
      <c r="A36" s="21"/>
      <c r="B36" s="21"/>
      <c r="C36" s="21"/>
      <c r="D36" s="21"/>
      <c r="E36" s="21"/>
      <c r="F36" s="21"/>
      <c r="G36" s="2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3.43"/>
    <col customWidth="1" min="2" max="2" width="8.86"/>
    <col customWidth="1" min="3" max="16" width="9.0"/>
    <col customWidth="1" min="17" max="26" width="8.86"/>
  </cols>
  <sheetData>
    <row r="1" ht="13.5" customHeight="1">
      <c r="A1" s="7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</v>
      </c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3" t="s">
        <v>138</v>
      </c>
      <c r="B7" s="1"/>
      <c r="C7" s="51"/>
      <c r="D7" s="51"/>
      <c r="E7" s="5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30" t="s">
        <v>139</v>
      </c>
      <c r="B8" s="21"/>
      <c r="C8" s="21"/>
      <c r="D8" s="21"/>
      <c r="E8" s="21"/>
      <c r="F8" s="21"/>
      <c r="G8" s="2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21" t="s">
        <v>140</v>
      </c>
      <c r="B9" s="55"/>
      <c r="C9" s="85">
        <f>BalSht!C9/BalSht!$C9</f>
        <v>1</v>
      </c>
      <c r="D9" s="85">
        <f>BalSht!D9/BalSht!$C9</f>
        <v>1.145306859</v>
      </c>
      <c r="E9" s="85">
        <f>BalSht!E9/BalSht!$C9</f>
        <v>1.622292419</v>
      </c>
      <c r="F9" s="85">
        <f>BalSht!F9/BalSht!$C9</f>
        <v>0.8023465704</v>
      </c>
      <c r="G9" s="85">
        <f>BalSht!G9/BalSht!$C9</f>
        <v>0.9625451264</v>
      </c>
      <c r="H9" s="85">
        <f>BalSht!H9/BalSht!$C9</f>
        <v>1.132346414</v>
      </c>
      <c r="I9" s="85">
        <f>BalSht!I9/BalSht!$C9</f>
        <v>1.169115966</v>
      </c>
      <c r="J9" s="85">
        <f>BalSht!J9/BalSht!$C9</f>
        <v>1.210595265</v>
      </c>
      <c r="K9" s="85">
        <f>BalSht!K9/BalSht!$C9</f>
        <v>1.252332716</v>
      </c>
      <c r="L9" s="85">
        <f>BalSht!L9/BalSht!$C9</f>
        <v>1.295509141</v>
      </c>
      <c r="M9" s="85">
        <f>BalSht!M9/BalSht!$C9</f>
        <v>1.34017415</v>
      </c>
      <c r="N9" s="85">
        <f>BalSht!N9/BalSht!$C9</f>
        <v>1.386379067</v>
      </c>
      <c r="O9" s="85">
        <f>BalSht!O9/BalSht!$C9</f>
        <v>1.43417698</v>
      </c>
      <c r="P9" s="85">
        <f>BalSht!P9/BalSht!$C9</f>
        <v>1.483622813</v>
      </c>
      <c r="Q9" s="1"/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21" t="s">
        <v>141</v>
      </c>
      <c r="B10" s="55"/>
      <c r="C10" s="85">
        <f>BalSht!C10/BalSht!$C10</f>
        <v>1</v>
      </c>
      <c r="D10" s="85">
        <f>BalSht!D10/BalSht!$C10</f>
        <v>1.073544974</v>
      </c>
      <c r="E10" s="85">
        <f>BalSht!E10/BalSht!$C10</f>
        <v>1.032804233</v>
      </c>
      <c r="F10" s="85">
        <f>BalSht!F10/BalSht!$C10</f>
        <v>1.024338624</v>
      </c>
      <c r="G10" s="85">
        <f>BalSht!G10/BalSht!$C10</f>
        <v>1.114285714</v>
      </c>
      <c r="H10" s="85">
        <f>BalSht!H10/BalSht!$C10</f>
        <v>1.273099773</v>
      </c>
      <c r="I10" s="85">
        <f>BalSht!I10/BalSht!$C10</f>
        <v>1.314439869</v>
      </c>
      <c r="J10" s="85">
        <f>BalSht!J10/BalSht!$C10</f>
        <v>1.361075144</v>
      </c>
      <c r="K10" s="85">
        <f>BalSht!K10/BalSht!$C10</f>
        <v>1.408000659</v>
      </c>
      <c r="L10" s="85">
        <f>BalSht!L10/BalSht!$C10</f>
        <v>1.456544016</v>
      </c>
      <c r="M10" s="85">
        <f>BalSht!M10/BalSht!$C10</f>
        <v>1.506760993</v>
      </c>
      <c r="N10" s="85">
        <f>BalSht!N10/BalSht!$C10</f>
        <v>1.558709291</v>
      </c>
      <c r="O10" s="85">
        <f>BalSht!O10/BalSht!$C10</f>
        <v>1.612448599</v>
      </c>
      <c r="P10" s="85">
        <f>BalSht!P10/BalSht!$C10</f>
        <v>1.668040667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21" t="s">
        <v>142</v>
      </c>
      <c r="B11" s="55"/>
      <c r="C11" s="85">
        <f>BalSht!C11/BalSht!$C11</f>
        <v>1</v>
      </c>
      <c r="D11" s="85">
        <f>BalSht!D11/BalSht!$C11</f>
        <v>1.06266407</v>
      </c>
      <c r="E11" s="85">
        <f>BalSht!E11/BalSht!$C11</f>
        <v>1.079515624</v>
      </c>
      <c r="F11" s="85">
        <f>BalSht!F11/BalSht!$C11</f>
        <v>1.179185367</v>
      </c>
      <c r="G11" s="85">
        <f>BalSht!G11/BalSht!$C11</f>
        <v>1.230502159</v>
      </c>
      <c r="H11" s="85">
        <f>BalSht!H11/BalSht!$C11</f>
        <v>1.400300865</v>
      </c>
      <c r="I11" s="85">
        <f>BalSht!I11/BalSht!$C11</f>
        <v>1.450159208</v>
      </c>
      <c r="J11" s="85">
        <f>BalSht!J11/BalSht!$C11</f>
        <v>1.499337972</v>
      </c>
      <c r="K11" s="85">
        <f>BalSht!K11/BalSht!$C11</f>
        <v>1.546330256</v>
      </c>
      <c r="L11" s="85">
        <f>BalSht!L11/BalSht!$C11</f>
        <v>1.597211707</v>
      </c>
      <c r="M11" s="85">
        <f>BalSht!M11/BalSht!$C11</f>
        <v>1.649763572</v>
      </c>
      <c r="N11" s="85">
        <f>BalSht!N11/BalSht!$C11</f>
        <v>1.704040552</v>
      </c>
      <c r="O11" s="85">
        <f>BalSht!O11/BalSht!$C11</f>
        <v>1.762790417</v>
      </c>
      <c r="P11" s="85">
        <f>BalSht!P11/BalSht!$C11</f>
        <v>1.82356579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21" t="s">
        <v>143</v>
      </c>
      <c r="B12" s="55"/>
      <c r="C12" s="86">
        <f>BalSht!C12/BalSht!$C12</f>
        <v>1</v>
      </c>
      <c r="D12" s="86">
        <f>BalSht!D12/BalSht!$C12</f>
        <v>1.068541301</v>
      </c>
      <c r="E12" s="86">
        <f>BalSht!E12/BalSht!$C12</f>
        <v>1.121265378</v>
      </c>
      <c r="F12" s="86">
        <f>BalSht!F12/BalSht!$C12</f>
        <v>1.564147627</v>
      </c>
      <c r="G12" s="86">
        <f>BalSht!G12/BalSht!$C12</f>
        <v>1.827768014</v>
      </c>
      <c r="H12" s="86">
        <f>BalSht!H12/BalSht!$C12</f>
        <v>1.763992726</v>
      </c>
      <c r="I12" s="86">
        <f>BalSht!I12/BalSht!$C12</f>
        <v>1.821273098</v>
      </c>
      <c r="J12" s="86">
        <f>BalSht!J12/BalSht!$C12</f>
        <v>1.88589041</v>
      </c>
      <c r="K12" s="86">
        <f>BalSht!K12/BalSht!$C12</f>
        <v>1.950909877</v>
      </c>
      <c r="L12" s="86">
        <f>BalSht!L12/BalSht!$C12</f>
        <v>2.018171006</v>
      </c>
      <c r="M12" s="86">
        <f>BalSht!M12/BalSht!$C12</f>
        <v>2.087751084</v>
      </c>
      <c r="N12" s="86">
        <f>BalSht!N12/BalSht!$C12</f>
        <v>2.159730061</v>
      </c>
      <c r="O12" s="86">
        <f>BalSht!O12/BalSht!$C12</f>
        <v>2.234190642</v>
      </c>
      <c r="P12" s="86">
        <f>BalSht!P12/BalSht!$C12</f>
        <v>2.311218386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30" t="s">
        <v>144</v>
      </c>
      <c r="B13" s="60"/>
      <c r="C13" s="85">
        <f>BalSht!C13/BalSht!$C13</f>
        <v>1</v>
      </c>
      <c r="D13" s="85">
        <f>BalSht!D13/BalSht!$C13</f>
        <v>1.07522446</v>
      </c>
      <c r="E13" s="85">
        <f>BalSht!E13/BalSht!$C13</f>
        <v>1.148568309</v>
      </c>
      <c r="F13" s="85">
        <f>BalSht!F13/BalSht!$C13</f>
        <v>1.124059694</v>
      </c>
      <c r="G13" s="85">
        <f>BalSht!G13/BalSht!$C13</f>
        <v>1.201771415</v>
      </c>
      <c r="H13" s="85">
        <f>BalSht!H13/BalSht!$C13</f>
        <v>1.362248422</v>
      </c>
      <c r="I13" s="85">
        <f>BalSht!I13/BalSht!$C13</f>
        <v>1.409626718</v>
      </c>
      <c r="J13" s="85">
        <f>BalSht!J13/BalSht!$C13</f>
        <v>1.458011702</v>
      </c>
      <c r="K13" s="85">
        <f>BalSht!K13/BalSht!$C13</f>
        <v>1.504912173</v>
      </c>
      <c r="L13" s="85">
        <f>BalSht!L13/BalSht!$C13</f>
        <v>1.555055132</v>
      </c>
      <c r="M13" s="85">
        <f>BalSht!M13/BalSht!$C13</f>
        <v>1.606866815</v>
      </c>
      <c r="N13" s="85">
        <f>BalSht!N13/BalSht!$C13</f>
        <v>1.660402684</v>
      </c>
      <c r="O13" s="85">
        <f>BalSht!O13/BalSht!$C13</f>
        <v>1.717648056</v>
      </c>
      <c r="P13" s="85">
        <f>BalSht!P13/BalSht!$C13</f>
        <v>1.776867064</v>
      </c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21"/>
      <c r="B14" s="21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30" t="s">
        <v>145</v>
      </c>
      <c r="B15" s="21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21" t="s">
        <v>146</v>
      </c>
      <c r="B16" s="55"/>
      <c r="C16" s="85" t="str">
        <f>BalSht!C16/BalSht!$C16</f>
        <v>#DIV/0!</v>
      </c>
      <c r="D16" s="85" t="str">
        <f>BalSht!D16/BalSht!$C16</f>
        <v>#DIV/0!</v>
      </c>
      <c r="E16" s="85" t="str">
        <f>BalSht!E16/BalSht!$C16</f>
        <v>#DIV/0!</v>
      </c>
      <c r="F16" s="85" t="str">
        <f>BalSht!F16/BalSht!$C16</f>
        <v>#DIV/0!</v>
      </c>
      <c r="G16" s="85" t="str">
        <f>BalSht!G16/BalSht!$C16</f>
        <v>#DIV/0!</v>
      </c>
      <c r="H16" s="85" t="str">
        <f>BalSht!H16/BalSht!$C16</f>
        <v>#DIV/0!</v>
      </c>
      <c r="I16" s="85" t="str">
        <f>BalSht!I16/BalSht!$C16</f>
        <v>#DIV/0!</v>
      </c>
      <c r="J16" s="85" t="str">
        <f>BalSht!J16/BalSht!$C16</f>
        <v>#DIV/0!</v>
      </c>
      <c r="K16" s="85" t="str">
        <f>BalSht!K16/BalSht!$C16</f>
        <v>#DIV/0!</v>
      </c>
      <c r="L16" s="85" t="str">
        <f>BalSht!L16/BalSht!$C16</f>
        <v>#DIV/0!</v>
      </c>
      <c r="M16" s="85" t="str">
        <f>BalSht!M16/BalSht!$C16</f>
        <v>#DIV/0!</v>
      </c>
      <c r="N16" s="85" t="str">
        <f>BalSht!N16/BalSht!$C16</f>
        <v>#DIV/0!</v>
      </c>
      <c r="O16" s="85" t="str">
        <f>BalSht!O16/BalSht!$C16</f>
        <v>#DIV/0!</v>
      </c>
      <c r="P16" s="85" t="str">
        <f>BalSht!P16/BalSht!$C16</f>
        <v>#DIV/0!</v>
      </c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21" t="s">
        <v>147</v>
      </c>
      <c r="B17" s="55"/>
      <c r="C17" s="85">
        <f>BalSht!C17/BalSht!$C17</f>
        <v>1</v>
      </c>
      <c r="D17" s="85">
        <f>BalSht!D17/BalSht!$C17</f>
        <v>0.987517462</v>
      </c>
      <c r="E17" s="85">
        <f>BalSht!E17/BalSht!$C17</f>
        <v>0.9947726556</v>
      </c>
      <c r="F17" s="85">
        <f>BalSht!F17/BalSht!$C17</f>
        <v>1.00829165</v>
      </c>
      <c r="G17" s="85">
        <f>BalSht!G17/BalSht!$C17</f>
        <v>1.026091659</v>
      </c>
      <c r="H17" s="85">
        <f>BalSht!H17/BalSht!$C17</f>
        <v>1.177879758</v>
      </c>
      <c r="I17" s="85">
        <f>BalSht!I17/BalSht!$C17</f>
        <v>1.21612787</v>
      </c>
      <c r="J17" s="85">
        <f>BalSht!J17/BalSht!$C17</f>
        <v>1.259275114</v>
      </c>
      <c r="K17" s="85">
        <f>BalSht!K17/BalSht!$C17</f>
        <v>1.30269089</v>
      </c>
      <c r="L17" s="85">
        <f>BalSht!L17/BalSht!$C17</f>
        <v>1.347603503</v>
      </c>
      <c r="M17" s="85">
        <f>BalSht!M17/BalSht!$C17</f>
        <v>1.394064559</v>
      </c>
      <c r="N17" s="85">
        <f>BalSht!N17/BalSht!$C17</f>
        <v>1.442127444</v>
      </c>
      <c r="O17" s="85">
        <f>BalSht!O17/BalSht!$C17</f>
        <v>1.491847384</v>
      </c>
      <c r="P17" s="85">
        <f>BalSht!P17/BalSht!$C17</f>
        <v>1.543281508</v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21" t="s">
        <v>148</v>
      </c>
      <c r="B18" s="55"/>
      <c r="C18" s="85">
        <f>BalSht!C18/BalSht!$C18</f>
        <v>1</v>
      </c>
      <c r="D18" s="85">
        <f>BalSht!D18/BalSht!$C18</f>
        <v>0.9957183635</v>
      </c>
      <c r="E18" s="85">
        <f>BalSht!E18/BalSht!$C18</f>
        <v>1.082302569</v>
      </c>
      <c r="F18" s="85">
        <f>BalSht!F18/BalSht!$C18</f>
        <v>1.071360609</v>
      </c>
      <c r="G18" s="85">
        <f>BalSht!G18/BalSht!$C18</f>
        <v>1.072312084</v>
      </c>
      <c r="H18" s="85">
        <f>BalSht!H18/BalSht!$C18</f>
        <v>1.072312084</v>
      </c>
      <c r="I18" s="85">
        <f>BalSht!I18/BalSht!$C18</f>
        <v>1.072312084</v>
      </c>
      <c r="J18" s="85">
        <f>BalSht!J18/BalSht!$C18</f>
        <v>1.072312084</v>
      </c>
      <c r="K18" s="85">
        <f>BalSht!K18/BalSht!$C18</f>
        <v>1.072312084</v>
      </c>
      <c r="L18" s="85">
        <f>BalSht!L18/BalSht!$C18</f>
        <v>1.072312084</v>
      </c>
      <c r="M18" s="85">
        <f>BalSht!M18/BalSht!$C18</f>
        <v>1.072312084</v>
      </c>
      <c r="N18" s="85">
        <f>BalSht!N18/BalSht!$C18</f>
        <v>1.072312084</v>
      </c>
      <c r="O18" s="85">
        <f>BalSht!O18/BalSht!$C18</f>
        <v>1.072312084</v>
      </c>
      <c r="P18" s="85">
        <f>BalSht!P18/BalSht!$C18</f>
        <v>1.072312084</v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21" t="s">
        <v>149</v>
      </c>
      <c r="B19" s="55"/>
      <c r="C19" s="85">
        <f>BalSht!C19/BalSht!$C19</f>
        <v>1</v>
      </c>
      <c r="D19" s="85">
        <f>BalSht!D19/BalSht!$C19</f>
        <v>1.032608696</v>
      </c>
      <c r="E19" s="85">
        <f>BalSht!E19/BalSht!$C19</f>
        <v>1.04180602</v>
      </c>
      <c r="F19" s="85">
        <f>BalSht!F19/BalSht!$C19</f>
        <v>0.7081939799</v>
      </c>
      <c r="G19" s="85">
        <f>BalSht!G19/BalSht!$C19</f>
        <v>0.6747491639</v>
      </c>
      <c r="H19" s="85">
        <f>BalSht!H19/BalSht!$C19</f>
        <v>1.049029955</v>
      </c>
      <c r="I19" s="85">
        <f>BalSht!I19/BalSht!$C19</f>
        <v>1.083094056</v>
      </c>
      <c r="J19" s="85">
        <f>BalSht!J19/BalSht!$C19</f>
        <v>1.121521366</v>
      </c>
      <c r="K19" s="85">
        <f>BalSht!K19/BalSht!$C19</f>
        <v>1.160187834</v>
      </c>
      <c r="L19" s="85">
        <f>BalSht!L19/BalSht!$C19</f>
        <v>1.200187398</v>
      </c>
      <c r="M19" s="85">
        <f>BalSht!M19/BalSht!$C19</f>
        <v>1.241566019</v>
      </c>
      <c r="N19" s="85">
        <f>BalSht!N19/BalSht!$C19</f>
        <v>1.284371242</v>
      </c>
      <c r="O19" s="85">
        <f>BalSht!O19/BalSht!$C19</f>
        <v>1.328652253</v>
      </c>
      <c r="P19" s="85">
        <f>BalSht!P19/BalSht!$C19</f>
        <v>1.374459931</v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30" t="s">
        <v>150</v>
      </c>
      <c r="B20" s="60"/>
      <c r="C20" s="87">
        <f>BalSht!C20/BalSht!$C20</f>
        <v>1</v>
      </c>
      <c r="D20" s="87">
        <f>BalSht!D20/BalSht!$C20</f>
        <v>1.023658066</v>
      </c>
      <c r="E20" s="87">
        <f>BalSht!E20/BalSht!$C20</f>
        <v>1.06089629</v>
      </c>
      <c r="F20" s="87">
        <f>BalSht!F20/BalSht!$C20</f>
        <v>1.048364425</v>
      </c>
      <c r="G20" s="87">
        <f>BalSht!G20/BalSht!$C20</f>
        <v>1.220689491</v>
      </c>
      <c r="H20" s="87">
        <f>BalSht!H20/BalSht!$C20</f>
        <v>1.397868153</v>
      </c>
      <c r="I20" s="87">
        <f>BalSht!I20/BalSht!$C20</f>
        <v>1.439455825</v>
      </c>
      <c r="J20" s="87">
        <f>BalSht!J20/BalSht!$C20</f>
        <v>1.484359035</v>
      </c>
      <c r="K20" s="87">
        <f>BalSht!K20/BalSht!$C20</f>
        <v>1.530487168</v>
      </c>
      <c r="L20" s="87">
        <f>BalSht!L20/BalSht!$C20</f>
        <v>1.578779426</v>
      </c>
      <c r="M20" s="87">
        <f>BalSht!M20/BalSht!$C20</f>
        <v>1.629648957</v>
      </c>
      <c r="N20" s="87">
        <f>BalSht!N20/BalSht!$C20</f>
        <v>1.682213342</v>
      </c>
      <c r="O20" s="87">
        <f>BalSht!O20/BalSht!$C20</f>
        <v>1.737286166</v>
      </c>
      <c r="P20" s="87">
        <f>BalSht!P20/BalSht!$C20</f>
        <v>1.795330789</v>
      </c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21"/>
      <c r="B21" s="21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3" t="s">
        <v>151</v>
      </c>
      <c r="B22" s="21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30" t="s">
        <v>152</v>
      </c>
      <c r="B23" s="21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21" t="s">
        <v>153</v>
      </c>
      <c r="B24" s="55"/>
      <c r="C24" s="85">
        <f>BalSht!C24/BalSht!$C24</f>
        <v>1</v>
      </c>
      <c r="D24" s="85">
        <f>BalSht!D24/BalSht!$C24</f>
        <v>1.066260472</v>
      </c>
      <c r="E24" s="85">
        <f>BalSht!E24/BalSht!$C24</f>
        <v>1.103427266</v>
      </c>
      <c r="F24" s="85">
        <f>BalSht!F24/BalSht!$C24</f>
        <v>1.18126428</v>
      </c>
      <c r="G24" s="85">
        <f>BalSht!G24/BalSht!$C24</f>
        <v>1.186138614</v>
      </c>
      <c r="H24" s="85">
        <f>BalSht!H24/BalSht!$C24</f>
        <v>1.378314132</v>
      </c>
      <c r="I24" s="85">
        <f>BalSht!I24/BalSht!$C24</f>
        <v>1.403175276</v>
      </c>
      <c r="J24" s="85">
        <f>BalSht!J24/BalSht!$C24</f>
        <v>1.450305101</v>
      </c>
      <c r="K24" s="85">
        <f>BalSht!K24/BalSht!$C24</f>
        <v>1.495044109</v>
      </c>
      <c r="L24" s="85">
        <f>BalSht!L24/BalSht!$C24</f>
        <v>1.54468831</v>
      </c>
      <c r="M24" s="85">
        <f>BalSht!M24/BalSht!$C24</f>
        <v>1.595511326</v>
      </c>
      <c r="N24" s="85">
        <f>BalSht!N24/BalSht!$C24</f>
        <v>1.648002678</v>
      </c>
      <c r="O24" s="85">
        <f>BalSht!O24/BalSht!$C24</f>
        <v>1.705320559</v>
      </c>
      <c r="P24" s="85">
        <f>BalSht!P24/BalSht!$C24</f>
        <v>1.764114555</v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21" t="s">
        <v>154</v>
      </c>
      <c r="B25" s="55"/>
      <c r="C25" s="85">
        <f>BalSht!C25/BalSht!$C25</f>
        <v>1</v>
      </c>
      <c r="D25" s="85">
        <f>BalSht!D25/BalSht!$C25</f>
        <v>1.130860381</v>
      </c>
      <c r="E25" s="85">
        <f>BalSht!E25/BalSht!$C25</f>
        <v>1.117980422</v>
      </c>
      <c r="F25" s="85">
        <f>BalSht!F25/BalSht!$C25</f>
        <v>1.345182895</v>
      </c>
      <c r="G25" s="85">
        <f>BalSht!G25/BalSht!$C25</f>
        <v>1.379185987</v>
      </c>
      <c r="H25" s="85">
        <f>BalSht!H25/BalSht!$C25</f>
        <v>1.486693251</v>
      </c>
      <c r="I25" s="85">
        <f>BalSht!I25/BalSht!$C25</f>
        <v>1.534969154</v>
      </c>
      <c r="J25" s="85">
        <f>BalSht!J25/BalSht!$C25</f>
        <v>1.589428632</v>
      </c>
      <c r="K25" s="85">
        <f>BalSht!K25/BalSht!$C25</f>
        <v>1.644227045</v>
      </c>
      <c r="L25" s="85">
        <f>BalSht!L25/BalSht!$C25</f>
        <v>1.700914732</v>
      </c>
      <c r="M25" s="85">
        <f>BalSht!M25/BalSht!$C25</f>
        <v>1.759556829</v>
      </c>
      <c r="N25" s="85">
        <f>BalSht!N25/BalSht!$C25</f>
        <v>1.820220718</v>
      </c>
      <c r="O25" s="85">
        <f>BalSht!O25/BalSht!$C25</f>
        <v>1.882976103</v>
      </c>
      <c r="P25" s="85">
        <f>BalSht!P25/BalSht!$C25</f>
        <v>1.947895094</v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21" t="s">
        <v>155</v>
      </c>
      <c r="B26" s="55"/>
      <c r="C26" s="85">
        <f>BalSht!C26/BalSht!$C26</f>
        <v>1</v>
      </c>
      <c r="D26" s="85">
        <f>BalSht!D26/BalSht!$C26</f>
        <v>0.9795379538</v>
      </c>
      <c r="E26" s="85">
        <f>BalSht!E26/BalSht!$C26</f>
        <v>1.082508251</v>
      </c>
      <c r="F26" s="85">
        <f>BalSht!F26/BalSht!$C26</f>
        <v>0.9940594059</v>
      </c>
      <c r="G26" s="85">
        <f>BalSht!G26/BalSht!$C26</f>
        <v>0.9861386139</v>
      </c>
      <c r="H26" s="85">
        <f>BalSht!H26/BalSht!$C26</f>
        <v>1.15940314</v>
      </c>
      <c r="I26" s="85">
        <f>BalSht!I26/BalSht!$C26</f>
        <v>1.197051278</v>
      </c>
      <c r="J26" s="85">
        <f>BalSht!J26/BalSht!$C26</f>
        <v>1.2395217</v>
      </c>
      <c r="K26" s="85">
        <f>BalSht!K26/BalSht!$C26</f>
        <v>1.282256442</v>
      </c>
      <c r="L26" s="85">
        <f>BalSht!L26/BalSht!$C26</f>
        <v>1.326464541</v>
      </c>
      <c r="M26" s="85">
        <f>BalSht!M26/BalSht!$C26</f>
        <v>1.372196794</v>
      </c>
      <c r="N26" s="85">
        <f>BalSht!N26/BalSht!$C26</f>
        <v>1.419505748</v>
      </c>
      <c r="O26" s="85">
        <f>BalSht!O26/BalSht!$C26</f>
        <v>1.468445764</v>
      </c>
      <c r="P26" s="85">
        <f>BalSht!P26/BalSht!$C26</f>
        <v>1.519073075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21" t="s">
        <v>156</v>
      </c>
      <c r="B27" s="55"/>
      <c r="C27" s="85">
        <f>BalSht!C27/BalSht!$C27</f>
        <v>1</v>
      </c>
      <c r="D27" s="85">
        <f>BalSht!D27/BalSht!$C27</f>
        <v>1.067226891</v>
      </c>
      <c r="E27" s="85">
        <f>BalSht!E27/BalSht!$C27</f>
        <v>1.092436975</v>
      </c>
      <c r="F27" s="85">
        <f>BalSht!F27/BalSht!$C27</f>
        <v>1.378151261</v>
      </c>
      <c r="G27" s="85">
        <f>BalSht!G27/BalSht!$C27</f>
        <v>1.271008403</v>
      </c>
      <c r="H27" s="85">
        <f>BalSht!H27/BalSht!$C27</f>
        <v>1.317898977</v>
      </c>
      <c r="I27" s="85">
        <f>BalSht!I27/BalSht!$C27</f>
        <v>1.360693793</v>
      </c>
      <c r="J27" s="85">
        <f>BalSht!J27/BalSht!$C27</f>
        <v>1.40897012</v>
      </c>
      <c r="K27" s="85">
        <f>BalSht!K27/BalSht!$C27</f>
        <v>1.457546901</v>
      </c>
      <c r="L27" s="85">
        <f>BalSht!L27/BalSht!$C27</f>
        <v>1.507798454</v>
      </c>
      <c r="M27" s="85">
        <f>BalSht!M27/BalSht!$C27</f>
        <v>1.55978252</v>
      </c>
      <c r="N27" s="85">
        <f>BalSht!N27/BalSht!$C27</f>
        <v>1.61355883</v>
      </c>
      <c r="O27" s="85">
        <f>BalSht!O27/BalSht!$C27</f>
        <v>1.669189175</v>
      </c>
      <c r="P27" s="85">
        <f>BalSht!P27/BalSht!$C27</f>
        <v>1.726737476</v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21" t="s">
        <v>157</v>
      </c>
      <c r="B28" s="55"/>
      <c r="C28" s="85">
        <f>BalSht!C28/BalSht!$C28</f>
        <v>1</v>
      </c>
      <c r="D28" s="85">
        <f>BalSht!D28/BalSht!$C28</f>
        <v>2.028571429</v>
      </c>
      <c r="E28" s="85">
        <f>BalSht!E28/BalSht!$C28</f>
        <v>4.454285714</v>
      </c>
      <c r="F28" s="85">
        <f>BalSht!F28/BalSht!$C28</f>
        <v>3.825714286</v>
      </c>
      <c r="G28" s="85">
        <f>BalSht!G28/BalSht!$C28</f>
        <v>2.782857143</v>
      </c>
      <c r="H28" s="85">
        <f>BalSht!H28/BalSht!$C28</f>
        <v>2.782857143</v>
      </c>
      <c r="I28" s="85">
        <f>BalSht!I28/BalSht!$C28</f>
        <v>2.782857143</v>
      </c>
      <c r="J28" s="85">
        <f>BalSht!J28/BalSht!$C28</f>
        <v>2.782857143</v>
      </c>
      <c r="K28" s="85">
        <f>BalSht!K28/BalSht!$C28</f>
        <v>2.782857143</v>
      </c>
      <c r="L28" s="85">
        <f>BalSht!L28/BalSht!$C28</f>
        <v>2.782857143</v>
      </c>
      <c r="M28" s="85">
        <f>BalSht!M28/BalSht!$C28</f>
        <v>2.782857143</v>
      </c>
      <c r="N28" s="85">
        <f>BalSht!N28/BalSht!$C28</f>
        <v>2.782857143</v>
      </c>
      <c r="O28" s="85">
        <f>BalSht!O28/BalSht!$C28</f>
        <v>2.782857143</v>
      </c>
      <c r="P28" s="85">
        <f>BalSht!P28/BalSht!$C28</f>
        <v>2.782857143</v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21" t="s">
        <v>158</v>
      </c>
      <c r="B29" s="55"/>
      <c r="C29" s="85">
        <f>BalSht!C29/BalSht!$C29</f>
        <v>1</v>
      </c>
      <c r="D29" s="85">
        <f>BalSht!D29/BalSht!$C29</f>
        <v>7.038961039</v>
      </c>
      <c r="E29" s="85">
        <f>BalSht!E29/BalSht!$C29</f>
        <v>15.61038961</v>
      </c>
      <c r="F29" s="85">
        <f>BalSht!F29/BalSht!$C29</f>
        <v>13.71428571</v>
      </c>
      <c r="G29" s="85">
        <f>BalSht!G29/BalSht!$C29</f>
        <v>23.88311688</v>
      </c>
      <c r="H29" s="85">
        <f>BalSht!H29/BalSht!$C29</f>
        <v>23.88311688</v>
      </c>
      <c r="I29" s="85">
        <f>BalSht!I29/BalSht!$C29</f>
        <v>23.88311688</v>
      </c>
      <c r="J29" s="85">
        <f>BalSht!J29/BalSht!$C29</f>
        <v>23.88311688</v>
      </c>
      <c r="K29" s="85">
        <f>BalSht!K29/BalSht!$C29</f>
        <v>23.88311688</v>
      </c>
      <c r="L29" s="85">
        <f>BalSht!L29/BalSht!$C29</f>
        <v>23.88311688</v>
      </c>
      <c r="M29" s="85">
        <f>BalSht!M29/BalSht!$C29</f>
        <v>23.88311688</v>
      </c>
      <c r="N29" s="85">
        <f>BalSht!N29/BalSht!$C29</f>
        <v>23.88311688</v>
      </c>
      <c r="O29" s="85">
        <f>BalSht!O29/BalSht!$C29</f>
        <v>23.88311688</v>
      </c>
      <c r="P29" s="85">
        <f>BalSht!P29/BalSht!$C29</f>
        <v>23.88311688</v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21" t="s">
        <v>159</v>
      </c>
      <c r="B30" s="55"/>
      <c r="C30" s="85" t="str">
        <f>BalSht!C30/BalSht!$C30</f>
        <v>#DIV/0!</v>
      </c>
      <c r="D30" s="85" t="str">
        <f>BalSht!D30/BalSht!$C30</f>
        <v>#DIV/0!</v>
      </c>
      <c r="E30" s="85" t="str">
        <f>BalSht!E30/BalSht!$C30</f>
        <v>#DIV/0!</v>
      </c>
      <c r="F30" s="85" t="str">
        <f>BalSht!F30/BalSht!$C30</f>
        <v>#DIV/0!</v>
      </c>
      <c r="G30" s="85" t="str">
        <f>BalSht!G30/BalSht!$C30</f>
        <v>#DIV/0!</v>
      </c>
      <c r="H30" s="85" t="str">
        <f>BalSht!H30/BalSht!$C30</f>
        <v>#DIV/0!</v>
      </c>
      <c r="I30" s="85" t="str">
        <f>BalSht!I30/BalSht!$C30</f>
        <v>#DIV/0!</v>
      </c>
      <c r="J30" s="85" t="str">
        <f>BalSht!J30/BalSht!$C30</f>
        <v>#DIV/0!</v>
      </c>
      <c r="K30" s="85" t="str">
        <f>BalSht!K30/BalSht!$C30</f>
        <v>#DIV/0!</v>
      </c>
      <c r="L30" s="85" t="str">
        <f>BalSht!L30/BalSht!$C30</f>
        <v>#DIV/0!</v>
      </c>
      <c r="M30" s="85" t="str">
        <f>BalSht!M30/BalSht!$C30</f>
        <v>#DIV/0!</v>
      </c>
      <c r="N30" s="85" t="str">
        <f>BalSht!N30/BalSht!$C30</f>
        <v>#DIV/0!</v>
      </c>
      <c r="O30" s="85" t="str">
        <f>BalSht!O30/BalSht!$C30</f>
        <v>#DIV/0!</v>
      </c>
      <c r="P30" s="85" t="str">
        <f>BalSht!P30/BalSht!$C30</f>
        <v>#DIV/0!</v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21" t="s">
        <v>160</v>
      </c>
      <c r="B31" s="55"/>
      <c r="C31" s="85">
        <f>BalSht!C31/BalSht!$C31</f>
        <v>1</v>
      </c>
      <c r="D31" s="85">
        <f>BalSht!D31/BalSht!$C31</f>
        <v>0.7352941176</v>
      </c>
      <c r="E31" s="85">
        <f>BalSht!E31/BalSht!$C31</f>
        <v>1.588235294</v>
      </c>
      <c r="F31" s="85">
        <f>BalSht!F31/BalSht!$C31</f>
        <v>0.3235294118</v>
      </c>
      <c r="G31" s="85">
        <f>BalSht!G31/BalSht!$C31</f>
        <v>1.617647059</v>
      </c>
      <c r="H31" s="85">
        <f>BalSht!H31/BalSht!$C31</f>
        <v>0</v>
      </c>
      <c r="I31" s="85">
        <f>BalSht!I31/BalSht!$C31</f>
        <v>0</v>
      </c>
      <c r="J31" s="85">
        <f>BalSht!J31/BalSht!$C31</f>
        <v>0</v>
      </c>
      <c r="K31" s="85">
        <f>BalSht!K31/BalSht!$C31</f>
        <v>0</v>
      </c>
      <c r="L31" s="85">
        <f>BalSht!L31/BalSht!$C31</f>
        <v>0</v>
      </c>
      <c r="M31" s="85">
        <f>BalSht!M31/BalSht!$C31</f>
        <v>0</v>
      </c>
      <c r="N31" s="85">
        <f>BalSht!N31/BalSht!$C31</f>
        <v>0</v>
      </c>
      <c r="O31" s="85">
        <f>BalSht!O31/BalSht!$C31</f>
        <v>0</v>
      </c>
      <c r="P31" s="85">
        <f>BalSht!P31/BalSht!$C31</f>
        <v>0</v>
      </c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21" t="s">
        <v>161</v>
      </c>
      <c r="B32" s="55"/>
      <c r="C32" s="86">
        <f>BalSht!C32/BalSht!$C32</f>
        <v>1</v>
      </c>
      <c r="D32" s="86">
        <f>BalSht!D32/BalSht!$C32</f>
        <v>1.065772669</v>
      </c>
      <c r="E32" s="86">
        <f>BalSht!E32/BalSht!$C32</f>
        <v>1.152618135</v>
      </c>
      <c r="F32" s="86">
        <f>BalSht!F32/BalSht!$C32</f>
        <v>1.137931034</v>
      </c>
      <c r="G32" s="86">
        <f>BalSht!G32/BalSht!$C32</f>
        <v>1.351213282</v>
      </c>
      <c r="H32" s="86">
        <f>BalSht!H32/BalSht!$C32</f>
        <v>1.442114743</v>
      </c>
      <c r="I32" s="86">
        <f>BalSht!I32/BalSht!$C32</f>
        <v>1.488943093</v>
      </c>
      <c r="J32" s="86">
        <f>BalSht!J32/BalSht!$C32</f>
        <v>1.541769602</v>
      </c>
      <c r="K32" s="86">
        <f>BalSht!K32/BalSht!$C32</f>
        <v>1.594924885</v>
      </c>
      <c r="L32" s="86">
        <f>BalSht!L32/BalSht!$C32</f>
        <v>1.649912791</v>
      </c>
      <c r="M32" s="86">
        <f>BalSht!M32/BalSht!$C32</f>
        <v>1.706796504</v>
      </c>
      <c r="N32" s="86">
        <f>BalSht!N32/BalSht!$C32</f>
        <v>1.765641386</v>
      </c>
      <c r="O32" s="86">
        <f>BalSht!O32/BalSht!$C32</f>
        <v>1.826515051</v>
      </c>
      <c r="P32" s="86">
        <f>BalSht!P32/BalSht!$C32</f>
        <v>1.889487445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30" t="s">
        <v>162</v>
      </c>
      <c r="B33" s="60"/>
      <c r="C33" s="85">
        <f>BalSht!C33/BalSht!$C33</f>
        <v>1</v>
      </c>
      <c r="D33" s="85">
        <f>BalSht!D33/BalSht!$C33</f>
        <v>1.128473331</v>
      </c>
      <c r="E33" s="85">
        <f>BalSht!E33/BalSht!$C33</f>
        <v>1.293037368</v>
      </c>
      <c r="F33" s="85">
        <f>BalSht!F33/BalSht!$C33</f>
        <v>1.334717343</v>
      </c>
      <c r="G33" s="85">
        <f>BalSht!G33/BalSht!$C33</f>
        <v>1.467183009</v>
      </c>
      <c r="H33" s="85">
        <f>BalSht!H33/BalSht!$C33</f>
        <v>1.625239851</v>
      </c>
      <c r="I33" s="85">
        <f>BalSht!I33/BalSht!$C33</f>
        <v>1.658632019</v>
      </c>
      <c r="J33" s="85">
        <f>BalSht!J33/BalSht!$C33</f>
        <v>1.706294163</v>
      </c>
      <c r="K33" s="85">
        <f>BalSht!K33/BalSht!$C33</f>
        <v>1.753621234</v>
      </c>
      <c r="L33" s="85">
        <f>BalSht!L33/BalSht!$C33</f>
        <v>1.804312295</v>
      </c>
      <c r="M33" s="85">
        <f>BalSht!M33/BalSht!$C33</f>
        <v>1.856912383</v>
      </c>
      <c r="N33" s="85">
        <f>BalSht!N33/BalSht!$C33</f>
        <v>1.911265708</v>
      </c>
      <c r="O33" s="85">
        <f>BalSht!O33/BalSht!$C33</f>
        <v>1.969057509</v>
      </c>
      <c r="P33" s="85">
        <f>BalSht!P33/BalSht!$C33</f>
        <v>2.029084889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21"/>
      <c r="B34" s="21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30" t="s">
        <v>163</v>
      </c>
      <c r="B35" s="21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21" t="s">
        <v>164</v>
      </c>
      <c r="B36" s="55"/>
      <c r="C36" s="85">
        <f>BalSht!C36/BalSht!$C36</f>
        <v>1</v>
      </c>
      <c r="D36" s="85">
        <f>BalSht!D36/BalSht!$C36</f>
        <v>1.075039684</v>
      </c>
      <c r="E36" s="85">
        <f>BalSht!E36/BalSht!$C36</f>
        <v>1.167300014</v>
      </c>
      <c r="F36" s="85">
        <f>BalSht!F36/BalSht!$C36</f>
        <v>1.289480013</v>
      </c>
      <c r="G36" s="85">
        <f>BalSht!G36/BalSht!$C36</f>
        <v>1.379094714</v>
      </c>
      <c r="H36" s="85">
        <f>BalSht!H36/BalSht!$C36</f>
        <v>1.379094714</v>
      </c>
      <c r="I36" s="85">
        <f>BalSht!I36/BalSht!$C36</f>
        <v>1.379094714</v>
      </c>
      <c r="J36" s="85">
        <f>BalSht!J36/BalSht!$C36</f>
        <v>1.379094714</v>
      </c>
      <c r="K36" s="85">
        <f>BalSht!K36/BalSht!$C36</f>
        <v>1.379094714</v>
      </c>
      <c r="L36" s="85">
        <f>BalSht!L36/BalSht!$C36</f>
        <v>1.379094714</v>
      </c>
      <c r="M36" s="85">
        <f>BalSht!M36/BalSht!$C36</f>
        <v>1.379094714</v>
      </c>
      <c r="N36" s="85">
        <f>BalSht!N36/BalSht!$C36</f>
        <v>1.379094714</v>
      </c>
      <c r="O36" s="85">
        <f>BalSht!O36/BalSht!$C36</f>
        <v>1.379094714</v>
      </c>
      <c r="P36" s="85">
        <f>BalSht!P36/BalSht!$C36</f>
        <v>1.379094714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21" t="s">
        <v>165</v>
      </c>
      <c r="B37" s="55"/>
      <c r="C37" s="85" t="str">
        <f>BalSht!C37/BalSht!$C37</f>
        <v>#DIV/0!</v>
      </c>
      <c r="D37" s="85" t="str">
        <f>BalSht!D37/BalSht!$C37</f>
        <v>#DIV/0!</v>
      </c>
      <c r="E37" s="85" t="str">
        <f>BalSht!E37/BalSht!$C37</f>
        <v>#DIV/0!</v>
      </c>
      <c r="F37" s="85" t="str">
        <f>BalSht!F37/BalSht!$C37</f>
        <v>#DIV/0!</v>
      </c>
      <c r="G37" s="85" t="str">
        <f>BalSht!G37/BalSht!$C37</f>
        <v>#DIV/0!</v>
      </c>
      <c r="H37" s="85" t="str">
        <f>BalSht!H37/BalSht!$C37</f>
        <v>#DIV/0!</v>
      </c>
      <c r="I37" s="85" t="str">
        <f>BalSht!I37/BalSht!$C37</f>
        <v>#DIV/0!</v>
      </c>
      <c r="J37" s="85" t="str">
        <f>BalSht!J37/BalSht!$C37</f>
        <v>#DIV/0!</v>
      </c>
      <c r="K37" s="85" t="str">
        <f>BalSht!K37/BalSht!$C37</f>
        <v>#DIV/0!</v>
      </c>
      <c r="L37" s="85" t="str">
        <f>BalSht!L37/BalSht!$C37</f>
        <v>#DIV/0!</v>
      </c>
      <c r="M37" s="85" t="str">
        <f>BalSht!M37/BalSht!$C37</f>
        <v>#DIV/0!</v>
      </c>
      <c r="N37" s="85" t="str">
        <f>BalSht!N37/BalSht!$C37</f>
        <v>#DIV/0!</v>
      </c>
      <c r="O37" s="85" t="str">
        <f>BalSht!O37/BalSht!$C37</f>
        <v>#DIV/0!</v>
      </c>
      <c r="P37" s="85" t="str">
        <f>BalSht!P37/BalSht!$C37</f>
        <v>#DIV/0!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21" t="s">
        <v>166</v>
      </c>
      <c r="B38" s="55"/>
      <c r="C38" s="85">
        <f>BalSht!C38/BalSht!$C38</f>
        <v>1</v>
      </c>
      <c r="D38" s="85">
        <f>BalSht!D38/BalSht!$C38</f>
        <v>0.7810026385</v>
      </c>
      <c r="E38" s="85">
        <f>BalSht!E38/BalSht!$C38</f>
        <v>1.160949868</v>
      </c>
      <c r="F38" s="85">
        <f>BalSht!F38/BalSht!$C38</f>
        <v>1.295514512</v>
      </c>
      <c r="G38" s="85">
        <f>BalSht!G38/BalSht!$C38</f>
        <v>1.862796834</v>
      </c>
      <c r="H38" s="85">
        <f>BalSht!H38/BalSht!$C38</f>
        <v>1.65519766</v>
      </c>
      <c r="I38" s="85">
        <f>BalSht!I38/BalSht!$C38</f>
        <v>1.708945238</v>
      </c>
      <c r="J38" s="85">
        <f>BalSht!J38/BalSht!$C38</f>
        <v>1.769577248</v>
      </c>
      <c r="K38" s="85">
        <f>BalSht!K38/BalSht!$C38</f>
        <v>1.830586609</v>
      </c>
      <c r="L38" s="85">
        <f>BalSht!L38/BalSht!$C38</f>
        <v>1.893699377</v>
      </c>
      <c r="M38" s="85">
        <f>BalSht!M38/BalSht!$C38</f>
        <v>1.958988072</v>
      </c>
      <c r="N38" s="85">
        <f>BalSht!N38/BalSht!$C38</f>
        <v>2.026527712</v>
      </c>
      <c r="O38" s="85">
        <f>BalSht!O38/BalSht!$C38</f>
        <v>2.096395903</v>
      </c>
      <c r="P38" s="85">
        <f>BalSht!P38/BalSht!$C38</f>
        <v>2.168672925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21" t="s">
        <v>167</v>
      </c>
      <c r="B39" s="55"/>
      <c r="C39" s="86">
        <f>BalSht!C39/BalSht!$C39</f>
        <v>1</v>
      </c>
      <c r="D39" s="86">
        <f>BalSht!D39/BalSht!$C39</f>
        <v>0.9440203562</v>
      </c>
      <c r="E39" s="86">
        <f>BalSht!E39/BalSht!$C39</f>
        <v>1.106361323</v>
      </c>
      <c r="F39" s="86">
        <f>BalSht!F39/BalSht!$C39</f>
        <v>0.9501272265</v>
      </c>
      <c r="G39" s="86">
        <f>BalSht!G39/BalSht!$C39</f>
        <v>0.7811704835</v>
      </c>
      <c r="H39" s="86">
        <f>BalSht!H39/BalSht!$C39</f>
        <v>0.9577403253</v>
      </c>
      <c r="I39" s="86">
        <f>BalSht!I39/BalSht!$C39</f>
        <v>0.9888400692</v>
      </c>
      <c r="J39" s="86">
        <f>BalSht!J39/BalSht!$C39</f>
        <v>1.023923324</v>
      </c>
      <c r="K39" s="86">
        <f>BalSht!K39/BalSht!$C39</f>
        <v>1.059224923</v>
      </c>
      <c r="L39" s="86">
        <f>BalSht!L39/BalSht!$C39</f>
        <v>1.095743609</v>
      </c>
      <c r="M39" s="86">
        <f>BalSht!M39/BalSht!$C39</f>
        <v>1.133521343</v>
      </c>
      <c r="N39" s="86">
        <f>BalSht!N39/BalSht!$C39</f>
        <v>1.172601531</v>
      </c>
      <c r="O39" s="86">
        <f>BalSht!O39/BalSht!$C39</f>
        <v>1.21302908</v>
      </c>
      <c r="P39" s="86">
        <f>BalSht!P39/BalSht!$C39</f>
        <v>1.254850441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30" t="s">
        <v>168</v>
      </c>
      <c r="B40" s="55"/>
      <c r="C40" s="85">
        <f>BalSht!C40/BalSht!$C40</f>
        <v>1</v>
      </c>
      <c r="D40" s="85">
        <f>BalSht!D40/BalSht!$C40</f>
        <v>1.059093071</v>
      </c>
      <c r="E40" s="85">
        <f>BalSht!E40/BalSht!$C40</f>
        <v>1.162019626</v>
      </c>
      <c r="F40" s="85">
        <f>BalSht!F40/BalSht!$C40</f>
        <v>1.260753037</v>
      </c>
      <c r="G40" s="85">
        <f>BalSht!G40/BalSht!$C40</f>
        <v>1.555224139</v>
      </c>
      <c r="H40" s="85">
        <f>BalSht!H40/BalSht!$C40</f>
        <v>1.603064645</v>
      </c>
      <c r="I40" s="85">
        <f>BalSht!I40/BalSht!$C40</f>
        <v>1.609376245</v>
      </c>
      <c r="J40" s="85">
        <f>BalSht!J40/BalSht!$C40</f>
        <v>1.616459803</v>
      </c>
      <c r="K40" s="85">
        <f>BalSht!K40/BalSht!$C40</f>
        <v>1.626155575</v>
      </c>
      <c r="L40" s="85">
        <f>BalSht!L40/BalSht!$C40</f>
        <v>1.636084865</v>
      </c>
      <c r="M40" s="85">
        <f>BalSht!M40/BalSht!$C40</f>
        <v>1.647816036</v>
      </c>
      <c r="N40" s="85">
        <f>BalSht!N40/BalSht!$C40</f>
        <v>1.659897745</v>
      </c>
      <c r="O40" s="85">
        <f>BalSht!O40/BalSht!$C40</f>
        <v>1.672340219</v>
      </c>
      <c r="P40" s="85">
        <f>BalSht!P40/BalSht!$C40</f>
        <v>1.686885143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21"/>
      <c r="B41" s="55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30" t="s">
        <v>169</v>
      </c>
      <c r="B42" s="55"/>
      <c r="C42" s="85">
        <f>BalSht!C42/BalSht!$C42</f>
        <v>1</v>
      </c>
      <c r="D42" s="85">
        <f>BalSht!D42/BalSht!$C42</f>
        <v>1.083461873</v>
      </c>
      <c r="E42" s="85">
        <f>BalSht!E42/BalSht!$C42</f>
        <v>1.208037692</v>
      </c>
      <c r="F42" s="85">
        <f>BalSht!F42/BalSht!$C42</f>
        <v>1.286731918</v>
      </c>
      <c r="G42" s="85">
        <f>BalSht!G42/BalSht!$C42</f>
        <v>1.524300979</v>
      </c>
      <c r="H42" s="85">
        <f>BalSht!H42/BalSht!$C42</f>
        <v>1.610853362</v>
      </c>
      <c r="I42" s="85">
        <f>BalSht!I42/BalSht!$C42</f>
        <v>1.626676616</v>
      </c>
      <c r="J42" s="85">
        <f>BalSht!J42/BalSht!$C42</f>
        <v>1.648012809</v>
      </c>
      <c r="K42" s="85">
        <f>BalSht!K42/BalSht!$C42</f>
        <v>1.670926024</v>
      </c>
      <c r="L42" s="85">
        <f>BalSht!L42/BalSht!$C42</f>
        <v>1.695172291</v>
      </c>
      <c r="M42" s="85">
        <f>BalSht!M42/BalSht!$C42</f>
        <v>1.721258071</v>
      </c>
      <c r="N42" s="85">
        <f>BalSht!N42/BalSht!$C42</f>
        <v>1.748187067</v>
      </c>
      <c r="O42" s="85">
        <f>BalSht!O42/BalSht!$C42</f>
        <v>1.77655783</v>
      </c>
      <c r="P42" s="85">
        <f>BalSht!P42/BalSht!$C42</f>
        <v>1.807077801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21"/>
      <c r="B43" s="21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30" t="s">
        <v>170</v>
      </c>
      <c r="B44" s="21"/>
      <c r="C44" s="85">
        <f>BalSht!C44/BalSht!$C44</f>
        <v>1</v>
      </c>
      <c r="D44" s="85">
        <f>BalSht!D44/BalSht!$C44</f>
        <v>0.6860354655</v>
      </c>
      <c r="E44" s="85">
        <f>BalSht!E44/BalSht!$C44</f>
        <v>0.230208993</v>
      </c>
      <c r="F44" s="85">
        <f>BalSht!F44/BalSht!$C44</f>
        <v>-0.2973400887</v>
      </c>
      <c r="G44" s="85">
        <f>BalSht!G44/BalSht!$C44</f>
        <v>-0.4933502217</v>
      </c>
      <c r="H44" s="85">
        <f>BalSht!H44/BalSht!$C44</f>
        <v>0.195459412</v>
      </c>
      <c r="I44" s="85">
        <f>BalSht!I44/BalSht!$C44</f>
        <v>0.3825001967</v>
      </c>
      <c r="J44" s="85">
        <f>BalSht!J44/BalSht!$C44</f>
        <v>0.5604510866</v>
      </c>
      <c r="K44" s="85">
        <f>BalSht!K44/BalSht!$C44</f>
        <v>0.7376391171</v>
      </c>
      <c r="L44" s="85">
        <f>BalSht!L44/BalSht!$C44</f>
        <v>0.9216831024</v>
      </c>
      <c r="M44" s="85">
        <f>BalSht!M44/BalSht!$C44</f>
        <v>1.112469388</v>
      </c>
      <c r="N44" s="85">
        <f>BalSht!N44/BalSht!$C44</f>
        <v>1.309758446</v>
      </c>
      <c r="O44" s="85">
        <f>BalSht!O44/BalSht!$C44</f>
        <v>1.515577853</v>
      </c>
      <c r="P44" s="85">
        <f>BalSht!P44/BalSht!$C44</f>
        <v>1.729012989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30"/>
      <c r="B45" s="60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30" t="s">
        <v>171</v>
      </c>
      <c r="B46" s="60"/>
      <c r="C46" s="87">
        <f>BalSht!C46/BalSht!$C46</f>
        <v>1</v>
      </c>
      <c r="D46" s="87">
        <f>BalSht!D46/BalSht!$C46</f>
        <v>1.023658066</v>
      </c>
      <c r="E46" s="87">
        <f>BalSht!E46/BalSht!$C46</f>
        <v>1.06089629</v>
      </c>
      <c r="F46" s="87">
        <f>BalSht!F46/BalSht!$C46</f>
        <v>1.048364425</v>
      </c>
      <c r="G46" s="87">
        <f>BalSht!G46/BalSht!$C46</f>
        <v>1.220689491</v>
      </c>
      <c r="H46" s="87">
        <f>BalSht!H46/BalSht!$C46</f>
        <v>1.397868153</v>
      </c>
      <c r="I46" s="87">
        <f>BalSht!I46/BalSht!$C46</f>
        <v>1.439455825</v>
      </c>
      <c r="J46" s="87">
        <f>BalSht!J46/BalSht!$C46</f>
        <v>1.484359035</v>
      </c>
      <c r="K46" s="87">
        <f>BalSht!K46/BalSht!$C46</f>
        <v>1.530487168</v>
      </c>
      <c r="L46" s="87">
        <f>BalSht!L46/BalSht!$C46</f>
        <v>1.578779426</v>
      </c>
      <c r="M46" s="87">
        <f>BalSht!M46/BalSht!$C46</f>
        <v>1.629648957</v>
      </c>
      <c r="N46" s="87">
        <f>BalSht!N46/BalSht!$C46</f>
        <v>1.682213342</v>
      </c>
      <c r="O46" s="87">
        <f>BalSht!O46/BalSht!$C46</f>
        <v>1.737286166</v>
      </c>
      <c r="P46" s="87">
        <f>BalSht!P46/BalSht!$C46</f>
        <v>1.795330789</v>
      </c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65"/>
      <c r="B47" s="1"/>
      <c r="C47" s="66"/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4.43" defaultRowHeight="15.0"/>
  <cols>
    <col customWidth="1" min="1" max="1" width="2.14"/>
    <col customWidth="1" min="2" max="2" width="27.86"/>
    <col customWidth="1" min="3" max="3" width="9.14"/>
    <col customWidth="1" min="4" max="26" width="8.86"/>
  </cols>
  <sheetData>
    <row r="1" ht="13.5" customHeight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204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 t="s">
        <v>117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1"/>
      <c r="B5" s="1"/>
      <c r="C5" s="9">
        <f>'IS Assumptions'!C5</f>
        <v>2015</v>
      </c>
      <c r="D5" s="9">
        <f>'IS Assumptions'!D5</f>
        <v>2016</v>
      </c>
      <c r="E5" s="9">
        <f>'IS Assumptions'!E5</f>
        <v>2017</v>
      </c>
      <c r="F5" s="9">
        <f>'IS Assumptions'!F5</f>
        <v>2018</v>
      </c>
      <c r="G5" s="9">
        <f>'IS Assumptions'!G5</f>
        <v>2019</v>
      </c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9">
        <f>'IS Assumptions'!Q5</f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3" t="s">
        <v>205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1"/>
      <c r="B7" s="1" t="s">
        <v>206</v>
      </c>
      <c r="C7" s="27">
        <f>BalSht!C20-BalSht!C9</f>
        <v>39757</v>
      </c>
      <c r="D7" s="27">
        <f>BalSht!D20-BalSht!D9</f>
        <v>40428</v>
      </c>
      <c r="E7" s="27">
        <f>BalSht!E20-BalSht!E9</f>
        <v>40934</v>
      </c>
      <c r="F7" s="27">
        <f>BalSht!F20-BalSht!F9</f>
        <v>42225</v>
      </c>
      <c r="G7" s="27">
        <f>BalSht!G20-BalSht!G9</f>
        <v>49103</v>
      </c>
      <c r="H7" s="27">
        <f>BalSht!H20-BalSht!H9</f>
        <v>56163.44033</v>
      </c>
      <c r="I7" s="27">
        <f>BalSht!I20-BalSht!I9</f>
        <v>57827.51835</v>
      </c>
      <c r="J7" s="27">
        <f>BalSht!J20-BalSht!J9</f>
        <v>59620.32268</v>
      </c>
      <c r="K7" s="27">
        <f>BalSht!K20-BalSht!K9</f>
        <v>61463.96862</v>
      </c>
      <c r="L7" s="27">
        <f>BalSht!L20-BalSht!L9</f>
        <v>63395.26059</v>
      </c>
      <c r="M7" s="27">
        <f>BalSht!M20-BalSht!M9</f>
        <v>65431.42977</v>
      </c>
      <c r="N7" s="27">
        <f>BalSht!N20-BalSht!N9</f>
        <v>67535.3246</v>
      </c>
      <c r="O7" s="27">
        <f>BalSht!O20-BalSht!O9</f>
        <v>69740.97607</v>
      </c>
      <c r="P7" s="27">
        <f>BalSht!P20-BalSht!P9</f>
        <v>72067.71105</v>
      </c>
      <c r="Q7" s="27">
        <f>BalSht!Q20-BalSht!Q9</f>
        <v>74481.46652</v>
      </c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"/>
      <c r="B8" s="1" t="s">
        <v>207</v>
      </c>
      <c r="C8" s="27">
        <f>BalSht!C42-BalSht!C36-BalSht!C29-BalSht!C28</f>
        <v>14441</v>
      </c>
      <c r="D8" s="27">
        <f>BalSht!D42-BalSht!D36-BalSht!D29-BalSht!D28</f>
        <v>15032</v>
      </c>
      <c r="E8" s="27">
        <f>BalSht!E42-BalSht!E36-BalSht!E29-BalSht!E28</f>
        <v>16047</v>
      </c>
      <c r="F8" s="27">
        <f>BalSht!F42-BalSht!F36-BalSht!F29-BalSht!F28</f>
        <v>16679</v>
      </c>
      <c r="G8" s="27">
        <f>BalSht!G42-BalSht!G36-BalSht!G29-BalSht!G28</f>
        <v>22869</v>
      </c>
      <c r="H8" s="27">
        <f>BalSht!H42-BalSht!H36-BalSht!H29-BalSht!H28</f>
        <v>25955.19833</v>
      </c>
      <c r="I8" s="27">
        <f>BalSht!I42-BalSht!I36-BalSht!I29-BalSht!I28</f>
        <v>26519.40808</v>
      </c>
      <c r="J8" s="27">
        <f>BalSht!J42-BalSht!J36-BalSht!J29-BalSht!J28</f>
        <v>27280.19273</v>
      </c>
      <c r="K8" s="27">
        <f>BalSht!K42-BalSht!K36-BalSht!K29-BalSht!K28</f>
        <v>28097.20925</v>
      </c>
      <c r="L8" s="27">
        <f>BalSht!L42-BalSht!L36-BalSht!L29-BalSht!L28</f>
        <v>28961.75838</v>
      </c>
      <c r="M8" s="27">
        <f>BalSht!M42-BalSht!M36-BalSht!M29-BalSht!M28</f>
        <v>29891.89903</v>
      </c>
      <c r="N8" s="27">
        <f>BalSht!N42-BalSht!N36-BalSht!N29-BalSht!N28</f>
        <v>30852.10626</v>
      </c>
      <c r="O8" s="27">
        <f>BalSht!O42-BalSht!O36-BalSht!O29-BalSht!O28</f>
        <v>31863.72254</v>
      </c>
      <c r="P8" s="27">
        <f>BalSht!P42-BalSht!P36-BalSht!P29-BalSht!P28</f>
        <v>32951.97317</v>
      </c>
      <c r="Q8" s="27">
        <f>BalSht!Q42-BalSht!Q36-BalSht!Q29-BalSht!Q28</f>
        <v>34082.104</v>
      </c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1"/>
      <c r="B9" s="1" t="s">
        <v>208</v>
      </c>
      <c r="C9" s="96">
        <f t="shared" ref="C9:Q9" si="1">C7-C8</f>
        <v>25316</v>
      </c>
      <c r="D9" s="96">
        <f t="shared" si="1"/>
        <v>25396</v>
      </c>
      <c r="E9" s="96">
        <f t="shared" si="1"/>
        <v>24887</v>
      </c>
      <c r="F9" s="96">
        <f t="shared" si="1"/>
        <v>25546</v>
      </c>
      <c r="G9" s="96">
        <f t="shared" si="1"/>
        <v>26234</v>
      </c>
      <c r="H9" s="96">
        <f t="shared" si="1"/>
        <v>30208.24199</v>
      </c>
      <c r="I9" s="96">
        <f t="shared" si="1"/>
        <v>31308.11026</v>
      </c>
      <c r="J9" s="96">
        <f t="shared" si="1"/>
        <v>32340.12995</v>
      </c>
      <c r="K9" s="96">
        <f t="shared" si="1"/>
        <v>33366.75936</v>
      </c>
      <c r="L9" s="96">
        <f t="shared" si="1"/>
        <v>34433.50222</v>
      </c>
      <c r="M9" s="96">
        <f t="shared" si="1"/>
        <v>35539.53073</v>
      </c>
      <c r="N9" s="96">
        <f t="shared" si="1"/>
        <v>36683.21834</v>
      </c>
      <c r="O9" s="96">
        <f t="shared" si="1"/>
        <v>37877.25353</v>
      </c>
      <c r="P9" s="96">
        <f t="shared" si="1"/>
        <v>39115.73788</v>
      </c>
      <c r="Q9" s="96">
        <f t="shared" si="1"/>
        <v>40399.36252</v>
      </c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3" t="s">
        <v>209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9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"/>
      <c r="B12" s="1" t="s">
        <v>210</v>
      </c>
      <c r="C12" s="27">
        <f>IncStat!C7</f>
        <v>88519</v>
      </c>
      <c r="D12" s="27">
        <f>IncStat!D7</f>
        <v>94595</v>
      </c>
      <c r="E12" s="27">
        <f>IncStat!E7</f>
        <v>100904</v>
      </c>
      <c r="F12" s="27">
        <f>IncStat!F7</f>
        <v>108203</v>
      </c>
      <c r="G12" s="27">
        <f>IncStat!G7</f>
        <v>110225</v>
      </c>
      <c r="H12" s="27">
        <f>IncStat!H7</f>
        <v>125463.9826</v>
      </c>
      <c r="I12" s="27">
        <f>IncStat!I7</f>
        <v>129538.0491</v>
      </c>
      <c r="J12" s="27">
        <f>IncStat!J7</f>
        <v>134133.9554</v>
      </c>
      <c r="K12" s="27">
        <f>IncStat!K7</f>
        <v>138758.465</v>
      </c>
      <c r="L12" s="27">
        <f>IncStat!L7</f>
        <v>143542.4128</v>
      </c>
      <c r="M12" s="27">
        <f>IncStat!M7</f>
        <v>148491.2959</v>
      </c>
      <c r="N12" s="27">
        <f>IncStat!N7</f>
        <v>153610.8006</v>
      </c>
      <c r="O12" s="27">
        <f>IncStat!O7</f>
        <v>158906.8094</v>
      </c>
      <c r="P12" s="27">
        <f>IncStat!P7</f>
        <v>164385.4077</v>
      </c>
      <c r="Q12" s="27">
        <f>IncStat!Q7</f>
        <v>170052.8905</v>
      </c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"/>
      <c r="B13" s="1" t="s">
        <v>211</v>
      </c>
      <c r="C13" s="97">
        <f>IncStat!C10</f>
        <v>58254</v>
      </c>
      <c r="D13" s="97">
        <f>IncStat!D10</f>
        <v>62282</v>
      </c>
      <c r="E13" s="97">
        <f>IncStat!E10</f>
        <v>66548</v>
      </c>
      <c r="F13" s="97">
        <f>IncStat!F10</f>
        <v>71043</v>
      </c>
      <c r="G13" s="97">
        <f>IncStat!G10</f>
        <v>72653</v>
      </c>
      <c r="H13" s="97">
        <f>IncStat!H10</f>
        <v>82680.76455</v>
      </c>
      <c r="I13" s="97">
        <f>IncStat!I10</f>
        <v>85624.65043</v>
      </c>
      <c r="J13" s="97">
        <f>IncStat!J10</f>
        <v>88528.41057</v>
      </c>
      <c r="K13" s="97">
        <f>IncStat!K10</f>
        <v>91303.06995</v>
      </c>
      <c r="L13" s="97">
        <f>IncStat!L10</f>
        <v>94307.36522</v>
      </c>
      <c r="M13" s="97">
        <f>IncStat!M10</f>
        <v>97410.29009</v>
      </c>
      <c r="N13" s="97">
        <f>IncStat!N10</f>
        <v>100615.0744</v>
      </c>
      <c r="O13" s="97">
        <f>IncStat!O10</f>
        <v>104083.9602</v>
      </c>
      <c r="P13" s="97">
        <f>IncStat!P10</f>
        <v>107672.4421</v>
      </c>
      <c r="Q13" s="97">
        <f>IncStat!Q10</f>
        <v>111418.6539</v>
      </c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/>
      <c r="B14" s="1" t="s">
        <v>212</v>
      </c>
      <c r="C14" s="10">
        <f t="shared" ref="C14:Q14" si="2">C12-C13</f>
        <v>30265</v>
      </c>
      <c r="D14" s="10">
        <f t="shared" si="2"/>
        <v>32313</v>
      </c>
      <c r="E14" s="10">
        <f t="shared" si="2"/>
        <v>34356</v>
      </c>
      <c r="F14" s="10">
        <f t="shared" si="2"/>
        <v>37160</v>
      </c>
      <c r="G14" s="10">
        <f t="shared" si="2"/>
        <v>37572</v>
      </c>
      <c r="H14" s="10">
        <f t="shared" si="2"/>
        <v>42783.21807</v>
      </c>
      <c r="I14" s="10">
        <f t="shared" si="2"/>
        <v>43913.39863</v>
      </c>
      <c r="J14" s="10">
        <f t="shared" si="2"/>
        <v>45605.54484</v>
      </c>
      <c r="K14" s="10">
        <f t="shared" si="2"/>
        <v>47455.39502</v>
      </c>
      <c r="L14" s="10">
        <f t="shared" si="2"/>
        <v>49235.04759</v>
      </c>
      <c r="M14" s="10">
        <f t="shared" si="2"/>
        <v>51081.00578</v>
      </c>
      <c r="N14" s="10">
        <f t="shared" si="2"/>
        <v>52995.7262</v>
      </c>
      <c r="O14" s="10">
        <f t="shared" si="2"/>
        <v>54822.84925</v>
      </c>
      <c r="P14" s="10">
        <f t="shared" si="2"/>
        <v>56712.96566</v>
      </c>
      <c r="Q14" s="10">
        <f t="shared" si="2"/>
        <v>58634.23666</v>
      </c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/>
      <c r="B15" s="1" t="s">
        <v>213</v>
      </c>
      <c r="C15" s="97">
        <f>IncStat!C18</f>
        <v>18491</v>
      </c>
      <c r="D15" s="97">
        <f>IncStat!D18</f>
        <v>18886</v>
      </c>
      <c r="E15" s="97">
        <f>IncStat!E18</f>
        <v>19675</v>
      </c>
      <c r="F15" s="97">
        <f>IncStat!F18</f>
        <v>21630</v>
      </c>
      <c r="G15" s="97">
        <f>IncStat!G18</f>
        <v>21729</v>
      </c>
      <c r="H15" s="97">
        <f>IncStat!H18</f>
        <v>25268.59456</v>
      </c>
      <c r="I15" s="97">
        <f>IncStat!I18</f>
        <v>25801.77278</v>
      </c>
      <c r="J15" s="97">
        <f>IncStat!J18</f>
        <v>26262.54042</v>
      </c>
      <c r="K15" s="97">
        <f>IncStat!K18</f>
        <v>26982.91132</v>
      </c>
      <c r="L15" s="97">
        <f>IncStat!L18</f>
        <v>27722.23514</v>
      </c>
      <c r="M15" s="97">
        <f>IncStat!M18</f>
        <v>28630.78234</v>
      </c>
      <c r="N15" s="97">
        <f>IncStat!N18</f>
        <v>29570.94905</v>
      </c>
      <c r="O15" s="97">
        <f>IncStat!O18</f>
        <v>30543.93849</v>
      </c>
      <c r="P15" s="97">
        <f>IncStat!P18</f>
        <v>31715.39017</v>
      </c>
      <c r="Q15" s="97">
        <f>IncStat!Q18</f>
        <v>32933.56101</v>
      </c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/>
      <c r="B16" s="1" t="s">
        <v>214</v>
      </c>
      <c r="C16" s="10">
        <f t="shared" ref="C16:Q16" si="3">C14-C15</f>
        <v>11774</v>
      </c>
      <c r="D16" s="10">
        <f t="shared" si="3"/>
        <v>13427</v>
      </c>
      <c r="E16" s="10">
        <f t="shared" si="3"/>
        <v>14681</v>
      </c>
      <c r="F16" s="10">
        <f t="shared" si="3"/>
        <v>15530</v>
      </c>
      <c r="G16" s="10">
        <f t="shared" si="3"/>
        <v>15843</v>
      </c>
      <c r="H16" s="10">
        <f t="shared" si="3"/>
        <v>17514.62351</v>
      </c>
      <c r="I16" s="10">
        <f t="shared" si="3"/>
        <v>18111.62585</v>
      </c>
      <c r="J16" s="10">
        <f t="shared" si="3"/>
        <v>19343.00442</v>
      </c>
      <c r="K16" s="10">
        <f t="shared" si="3"/>
        <v>20472.48369</v>
      </c>
      <c r="L16" s="10">
        <f t="shared" si="3"/>
        <v>21512.81245</v>
      </c>
      <c r="M16" s="10">
        <f t="shared" si="3"/>
        <v>22450.22344</v>
      </c>
      <c r="N16" s="10">
        <f t="shared" si="3"/>
        <v>23424.77715</v>
      </c>
      <c r="O16" s="10">
        <f t="shared" si="3"/>
        <v>24278.91076</v>
      </c>
      <c r="P16" s="10">
        <f t="shared" si="3"/>
        <v>24997.57549</v>
      </c>
      <c r="Q16" s="10">
        <f t="shared" si="3"/>
        <v>25700.67565</v>
      </c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/>
      <c r="B17" s="1" t="s">
        <v>215</v>
      </c>
      <c r="C17" s="27">
        <f>C16*'IS Assumptions'!C45</f>
        <v>4286.116323</v>
      </c>
      <c r="D17" s="27">
        <f>D16*'IS Assumptions'!D45</f>
        <v>4873.75054</v>
      </c>
      <c r="E17" s="27">
        <f>E16*'IS Assumptions'!E45</f>
        <v>5431.691342</v>
      </c>
      <c r="F17" s="27">
        <f>F16*'IS Assumptions'!F45</f>
        <v>3664.849547</v>
      </c>
      <c r="G17" s="27">
        <f>G16*'IS Assumptions'!G45</f>
        <v>3739.227931</v>
      </c>
      <c r="H17" s="27">
        <f>H16*'IS Assumptions'!H45</f>
        <v>4448.714373</v>
      </c>
      <c r="I17" s="27">
        <f>I16*'IS Assumptions'!I45</f>
        <v>4600.352966</v>
      </c>
      <c r="J17" s="27">
        <f>J16*'IS Assumptions'!J45</f>
        <v>4913.123123</v>
      </c>
      <c r="K17" s="27">
        <f>K16*'IS Assumptions'!K45</f>
        <v>5200.010859</v>
      </c>
      <c r="L17" s="27">
        <f>L16*'IS Assumptions'!L45</f>
        <v>5464.254363</v>
      </c>
      <c r="M17" s="27">
        <f>M16*'IS Assumptions'!M45</f>
        <v>5702.356753</v>
      </c>
      <c r="N17" s="27">
        <f>N16*'IS Assumptions'!N45</f>
        <v>5949.893396</v>
      </c>
      <c r="O17" s="27">
        <f>O16*'IS Assumptions'!O45</f>
        <v>6166.843333</v>
      </c>
      <c r="P17" s="27">
        <f>P16*'IS Assumptions'!P45</f>
        <v>6349.384174</v>
      </c>
      <c r="Q17" s="27">
        <f>Q16*'IS Assumptions'!Q45</f>
        <v>6527.971614</v>
      </c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/>
      <c r="B18" s="1" t="s">
        <v>216</v>
      </c>
      <c r="C18" s="96">
        <f t="shared" ref="C18:Q18" si="4">C16-C17</f>
        <v>7487.883677</v>
      </c>
      <c r="D18" s="96">
        <f t="shared" si="4"/>
        <v>8553.24946</v>
      </c>
      <c r="E18" s="96">
        <f t="shared" si="4"/>
        <v>9249.308658</v>
      </c>
      <c r="F18" s="96">
        <f t="shared" si="4"/>
        <v>11865.15045</v>
      </c>
      <c r="G18" s="96">
        <f t="shared" si="4"/>
        <v>12103.77207</v>
      </c>
      <c r="H18" s="96">
        <f t="shared" si="4"/>
        <v>13065.90914</v>
      </c>
      <c r="I18" s="96">
        <f t="shared" si="4"/>
        <v>13511.27288</v>
      </c>
      <c r="J18" s="96">
        <f t="shared" si="4"/>
        <v>14429.8813</v>
      </c>
      <c r="K18" s="96">
        <f t="shared" si="4"/>
        <v>15272.47284</v>
      </c>
      <c r="L18" s="96">
        <f t="shared" si="4"/>
        <v>16048.55809</v>
      </c>
      <c r="M18" s="96">
        <f t="shared" si="4"/>
        <v>16747.86669</v>
      </c>
      <c r="N18" s="96">
        <f t="shared" si="4"/>
        <v>17474.88375</v>
      </c>
      <c r="O18" s="96">
        <f t="shared" si="4"/>
        <v>18112.06743</v>
      </c>
      <c r="P18" s="96">
        <f t="shared" si="4"/>
        <v>18648.19131</v>
      </c>
      <c r="Q18" s="96">
        <f t="shared" si="4"/>
        <v>19172.70403</v>
      </c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3.5" customHeight="1">
      <c r="A20" s="1" t="s">
        <v>217</v>
      </c>
      <c r="B20" s="1"/>
      <c r="C20" s="1"/>
      <c r="D20" s="10">
        <f t="shared" ref="D20:Q20" si="5">D9-C9</f>
        <v>80</v>
      </c>
      <c r="E20" s="10">
        <f t="shared" si="5"/>
        <v>-509</v>
      </c>
      <c r="F20" s="10">
        <f t="shared" si="5"/>
        <v>659</v>
      </c>
      <c r="G20" s="10">
        <f t="shared" si="5"/>
        <v>688</v>
      </c>
      <c r="H20" s="10">
        <f t="shared" si="5"/>
        <v>3974.241994</v>
      </c>
      <c r="I20" s="10">
        <f t="shared" si="5"/>
        <v>1099.868267</v>
      </c>
      <c r="J20" s="10">
        <f t="shared" si="5"/>
        <v>1032.019693</v>
      </c>
      <c r="K20" s="10">
        <f t="shared" si="5"/>
        <v>1026.629409</v>
      </c>
      <c r="L20" s="10">
        <f t="shared" si="5"/>
        <v>1066.742854</v>
      </c>
      <c r="M20" s="10">
        <f t="shared" si="5"/>
        <v>1106.028516</v>
      </c>
      <c r="N20" s="10">
        <f t="shared" si="5"/>
        <v>1143.687601</v>
      </c>
      <c r="O20" s="10">
        <f t="shared" si="5"/>
        <v>1194.035196</v>
      </c>
      <c r="P20" s="10">
        <f t="shared" si="5"/>
        <v>1238.484351</v>
      </c>
      <c r="Q20" s="10">
        <f t="shared" si="5"/>
        <v>1283.624635</v>
      </c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 t="s">
        <v>218</v>
      </c>
      <c r="B21" s="1"/>
      <c r="C21" s="1"/>
      <c r="D21" s="12">
        <f t="shared" ref="D21:Q21" si="6">D18/(AVERAGE(C9:D9))</f>
        <v>0.3373264497</v>
      </c>
      <c r="E21" s="12">
        <f t="shared" si="6"/>
        <v>0.3678900884</v>
      </c>
      <c r="F21" s="12">
        <f t="shared" si="6"/>
        <v>0.4705312178</v>
      </c>
      <c r="G21" s="12">
        <f t="shared" si="6"/>
        <v>0.4675076118</v>
      </c>
      <c r="H21" s="12">
        <f t="shared" si="6"/>
        <v>0.4629833501</v>
      </c>
      <c r="I21" s="12">
        <f t="shared" si="6"/>
        <v>0.4392741893</v>
      </c>
      <c r="J21" s="12">
        <f t="shared" si="6"/>
        <v>0.4534259313</v>
      </c>
      <c r="K21" s="12">
        <f t="shared" si="6"/>
        <v>0.4648667132</v>
      </c>
      <c r="L21" s="12">
        <f t="shared" si="6"/>
        <v>0.4734069667</v>
      </c>
      <c r="M21" s="12">
        <f t="shared" si="6"/>
        <v>0.4786948908</v>
      </c>
      <c r="N21" s="12">
        <f t="shared" si="6"/>
        <v>0.4839163277</v>
      </c>
      <c r="O21" s="12">
        <f t="shared" si="6"/>
        <v>0.4858356439</v>
      </c>
      <c r="P21" s="12">
        <f t="shared" si="6"/>
        <v>0.4844126971</v>
      </c>
      <c r="Q21" s="12">
        <f t="shared" si="6"/>
        <v>0.4822405791</v>
      </c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 t="s">
        <v>219</v>
      </c>
      <c r="B22" s="1"/>
      <c r="C22" s="1"/>
      <c r="D22" s="1"/>
      <c r="E22" s="12">
        <f t="shared" ref="E22:Q22" si="7">(E18-D18)/(D20)</f>
        <v>8.700739982</v>
      </c>
      <c r="F22" s="12">
        <f t="shared" si="7"/>
        <v>-5.13917838</v>
      </c>
      <c r="G22" s="12">
        <f t="shared" si="7"/>
        <v>0.362096534</v>
      </c>
      <c r="H22" s="12">
        <f t="shared" si="7"/>
        <v>1.398455047</v>
      </c>
      <c r="I22" s="12">
        <f t="shared" si="7"/>
        <v>0.1120625625</v>
      </c>
      <c r="J22" s="12">
        <f t="shared" si="7"/>
        <v>0.8351985794</v>
      </c>
      <c r="K22" s="12">
        <f t="shared" si="7"/>
        <v>0.8164490885</v>
      </c>
      <c r="L22" s="12">
        <f t="shared" si="7"/>
        <v>0.7559546281</v>
      </c>
      <c r="M22" s="12">
        <f t="shared" si="7"/>
        <v>0.6555549847</v>
      </c>
      <c r="N22" s="12">
        <f t="shared" si="7"/>
        <v>0.6573221732</v>
      </c>
      <c r="O22" s="12">
        <f t="shared" si="7"/>
        <v>0.5571308758</v>
      </c>
      <c r="P22" s="12">
        <f t="shared" si="7"/>
        <v>0.449001745</v>
      </c>
      <c r="Q22" s="12">
        <f t="shared" si="7"/>
        <v>0.4235117842</v>
      </c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 t="s">
        <v>220</v>
      </c>
      <c r="B23" s="1"/>
      <c r="C23" s="1"/>
      <c r="D23" s="12">
        <f t="shared" ref="D23:Q23" si="8">D12/C12-1</f>
        <v>0.06864063083</v>
      </c>
      <c r="E23" s="12">
        <f t="shared" si="8"/>
        <v>0.06669485702</v>
      </c>
      <c r="F23" s="12">
        <f t="shared" si="8"/>
        <v>0.07233608182</v>
      </c>
      <c r="G23" s="12">
        <f t="shared" si="8"/>
        <v>0.0186870974</v>
      </c>
      <c r="H23" s="12">
        <f t="shared" si="8"/>
        <v>0.1382534146</v>
      </c>
      <c r="I23" s="12">
        <f t="shared" si="8"/>
        <v>0.032472</v>
      </c>
      <c r="J23" s="12">
        <f t="shared" si="8"/>
        <v>0.0354792</v>
      </c>
      <c r="K23" s="12">
        <f t="shared" si="8"/>
        <v>0.0344768</v>
      </c>
      <c r="L23" s="12">
        <f t="shared" si="8"/>
        <v>0.0344768</v>
      </c>
      <c r="M23" s="12">
        <f t="shared" si="8"/>
        <v>0.0344768</v>
      </c>
      <c r="N23" s="12">
        <f t="shared" si="8"/>
        <v>0.0344768</v>
      </c>
      <c r="O23" s="12">
        <f t="shared" si="8"/>
        <v>0.0344768</v>
      </c>
      <c r="P23" s="12">
        <f t="shared" si="8"/>
        <v>0.0344768</v>
      </c>
      <c r="Q23" s="12">
        <f t="shared" si="8"/>
        <v>0.0344768</v>
      </c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1" t="s">
        <v>221</v>
      </c>
      <c r="B24" s="1"/>
      <c r="C24" s="1"/>
      <c r="D24" s="12">
        <f t="shared" ref="D24:Q24" si="9">D18/C18-1</f>
        <v>0.1422786236</v>
      </c>
      <c r="E24" s="12">
        <f t="shared" si="9"/>
        <v>0.081379504</v>
      </c>
      <c r="F24" s="12">
        <f t="shared" si="9"/>
        <v>0.2828148451</v>
      </c>
      <c r="G24" s="12">
        <f t="shared" si="9"/>
        <v>0.02011113275</v>
      </c>
      <c r="H24" s="12">
        <f t="shared" si="9"/>
        <v>0.07949068003</v>
      </c>
      <c r="I24" s="12">
        <f t="shared" si="9"/>
        <v>0.03408593594</v>
      </c>
      <c r="J24" s="12">
        <f t="shared" si="9"/>
        <v>0.06798829557</v>
      </c>
      <c r="K24" s="12">
        <f t="shared" si="9"/>
        <v>0.05839213231</v>
      </c>
      <c r="L24" s="12">
        <f t="shared" si="9"/>
        <v>0.05081595245</v>
      </c>
      <c r="M24" s="12">
        <f t="shared" si="9"/>
        <v>0.04357454368</v>
      </c>
      <c r="N24" s="12">
        <f t="shared" si="9"/>
        <v>0.04340953278</v>
      </c>
      <c r="O24" s="12">
        <f t="shared" si="9"/>
        <v>0.03646282767</v>
      </c>
      <c r="P24" s="12">
        <f t="shared" si="9"/>
        <v>0.02960036941</v>
      </c>
      <c r="Q24" s="12">
        <f t="shared" si="9"/>
        <v>0.02812673402</v>
      </c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4.43" defaultRowHeight="15.0"/>
  <cols>
    <col customWidth="1" min="1" max="1" width="59.43"/>
    <col customWidth="1" min="2" max="2" width="8.86"/>
    <col customWidth="1" hidden="1" min="3" max="5" width="8.86"/>
    <col customWidth="1" min="6" max="6" width="8.86"/>
    <col customWidth="1" hidden="1" min="7" max="7" width="8.86"/>
    <col customWidth="1" min="8" max="9" width="8.86"/>
    <col customWidth="1" min="10" max="10" width="9.29"/>
    <col customWidth="1" min="11" max="26" width="8.86"/>
  </cols>
  <sheetData>
    <row r="1" ht="13.5" customHeight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3" t="s">
        <v>222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3.5" customHeight="1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3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3.5" customHeight="1">
      <c r="A5" s="8" t="s">
        <v>223</v>
      </c>
      <c r="B5" s="1"/>
      <c r="C5" s="9"/>
      <c r="D5" s="9"/>
      <c r="E5" s="9"/>
      <c r="F5" s="9"/>
      <c r="G5" s="9"/>
      <c r="H5" s="9">
        <f>'IS Assumptions'!H5</f>
        <v>2020</v>
      </c>
      <c r="I5" s="9">
        <f>'IS Assumptions'!I5</f>
        <v>2021</v>
      </c>
      <c r="J5" s="9">
        <f>'IS Assumptions'!J5</f>
        <v>2022</v>
      </c>
      <c r="K5" s="9">
        <f>'IS Assumptions'!K5</f>
        <v>2023</v>
      </c>
      <c r="L5" s="9">
        <f>'IS Assumptions'!L5</f>
        <v>2024</v>
      </c>
      <c r="M5" s="9">
        <f>'IS Assumptions'!M5</f>
        <v>2025</v>
      </c>
      <c r="N5" s="9">
        <f>'IS Assumptions'!N5</f>
        <v>2026</v>
      </c>
      <c r="O5" s="9">
        <f>'IS Assumptions'!O5</f>
        <v>2027</v>
      </c>
      <c r="P5" s="9">
        <f>'IS Assumptions'!P5</f>
        <v>2028</v>
      </c>
      <c r="Q5" s="9">
        <f>'IS Assumptions'!Q5</f>
        <v>2029</v>
      </c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 t="s">
        <v>216</v>
      </c>
      <c r="B6" s="1"/>
      <c r="C6" s="1"/>
      <c r="D6" s="1"/>
      <c r="E6" s="1"/>
      <c r="F6" s="10"/>
      <c r="G6" s="10"/>
      <c r="H6" s="27">
        <f>'NOPAT NOA'!H18</f>
        <v>13065.90914</v>
      </c>
      <c r="I6" s="27">
        <f>'NOPAT NOA'!I18</f>
        <v>13511.27288</v>
      </c>
      <c r="J6" s="27">
        <f>'NOPAT NOA'!J18</f>
        <v>14429.8813</v>
      </c>
      <c r="K6" s="27">
        <f>'NOPAT NOA'!K18</f>
        <v>15272.47284</v>
      </c>
      <c r="L6" s="27">
        <f>'NOPAT NOA'!L18</f>
        <v>16048.55809</v>
      </c>
      <c r="M6" s="27">
        <f>'NOPAT NOA'!M18</f>
        <v>16747.86669</v>
      </c>
      <c r="N6" s="27">
        <f>'NOPAT NOA'!N18</f>
        <v>17474.88375</v>
      </c>
      <c r="O6" s="27">
        <f>'NOPAT NOA'!O18</f>
        <v>18112.06743</v>
      </c>
      <c r="P6" s="27">
        <f>'NOPAT NOA'!P18</f>
        <v>18648.19131</v>
      </c>
      <c r="Q6" s="27">
        <f>'NOPAT NOA'!Q18</f>
        <v>19172.70403</v>
      </c>
      <c r="R6" s="1"/>
      <c r="S6" s="1"/>
      <c r="T6" s="1"/>
      <c r="U6" s="1"/>
      <c r="V6" s="1"/>
      <c r="W6" s="1"/>
      <c r="X6" s="1"/>
      <c r="Y6" s="1"/>
      <c r="Z6" s="1"/>
    </row>
    <row r="7" ht="13.5" customHeight="1">
      <c r="A7" s="1"/>
      <c r="B7" s="1"/>
      <c r="C7" s="1"/>
      <c r="D7" s="1"/>
      <c r="E7" s="1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" t="s">
        <v>224</v>
      </c>
      <c r="B8" s="1"/>
      <c r="C8" s="1"/>
      <c r="D8" s="1"/>
      <c r="E8" s="1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"/>
      <c r="R8" s="1"/>
      <c r="S8" s="1"/>
      <c r="T8" s="1"/>
      <c r="U8" s="1"/>
      <c r="V8" s="1"/>
      <c r="W8" s="1"/>
      <c r="X8" s="1"/>
      <c r="Y8" s="1"/>
      <c r="Z8" s="1"/>
    </row>
    <row r="9" ht="13.5" customHeight="1">
      <c r="A9" s="1" t="s">
        <v>225</v>
      </c>
      <c r="B9" s="1"/>
      <c r="C9" s="1"/>
      <c r="D9" s="1"/>
      <c r="E9" s="1"/>
      <c r="F9" s="10"/>
      <c r="G9" s="10"/>
      <c r="H9" s="27">
        <f>CFStat!H12</f>
        <v>2398.930481</v>
      </c>
      <c r="I9" s="27">
        <f>CFStat!I12</f>
        <v>2707.340117</v>
      </c>
      <c r="J9" s="27">
        <f>CFStat!J12</f>
        <v>2897.506104</v>
      </c>
      <c r="K9" s="27">
        <f>CFStat!K12</f>
        <v>3103.65512</v>
      </c>
      <c r="L9" s="27">
        <f>CFStat!L12</f>
        <v>3321.146811</v>
      </c>
      <c r="M9" s="27">
        <f>CFStat!M12</f>
        <v>3552.045346</v>
      </c>
      <c r="N9" s="27">
        <f>CFStat!N12</f>
        <v>3797.12891</v>
      </c>
      <c r="O9" s="27">
        <f>CFStat!O12</f>
        <v>4057.219412</v>
      </c>
      <c r="P9" s="27">
        <f>CFStat!P12</f>
        <v>4333.184898</v>
      </c>
      <c r="Q9" s="27">
        <f>CFStat!Q12</f>
        <v>4625.942093</v>
      </c>
      <c r="R9" s="1"/>
      <c r="S9" s="1"/>
      <c r="T9" s="1"/>
      <c r="U9" s="1"/>
      <c r="V9" s="1"/>
      <c r="W9" s="1"/>
      <c r="X9" s="1"/>
      <c r="Y9" s="1"/>
      <c r="Z9" s="1"/>
    </row>
    <row r="10" ht="13.5" customHeight="1">
      <c r="A10" s="1"/>
      <c r="B10" s="1"/>
      <c r="C10" s="1"/>
      <c r="D10" s="1"/>
      <c r="E10" s="1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"/>
      <c r="S10" s="1"/>
      <c r="T10" s="1"/>
      <c r="U10" s="1"/>
      <c r="V10" s="1"/>
      <c r="W10" s="1"/>
      <c r="X10" s="1"/>
      <c r="Y10" s="1"/>
      <c r="Z10" s="1"/>
    </row>
    <row r="11" ht="13.5" customHeight="1">
      <c r="A11" s="1" t="s">
        <v>226</v>
      </c>
      <c r="B11" s="1"/>
      <c r="C11" s="1"/>
      <c r="D11" s="1"/>
      <c r="E11" s="1"/>
      <c r="F11" s="10"/>
      <c r="G11" s="10"/>
      <c r="H11" s="10">
        <f t="shared" ref="H11:Q11" si="1">H6+H9</f>
        <v>15464.83962</v>
      </c>
      <c r="I11" s="10">
        <f t="shared" si="1"/>
        <v>16218.613</v>
      </c>
      <c r="J11" s="10">
        <f t="shared" si="1"/>
        <v>17327.3874</v>
      </c>
      <c r="K11" s="10">
        <f t="shared" si="1"/>
        <v>18376.12796</v>
      </c>
      <c r="L11" s="10">
        <f t="shared" si="1"/>
        <v>19369.7049</v>
      </c>
      <c r="M11" s="10">
        <f t="shared" si="1"/>
        <v>20299.91203</v>
      </c>
      <c r="N11" s="10">
        <f t="shared" si="1"/>
        <v>21272.01266</v>
      </c>
      <c r="O11" s="10">
        <f t="shared" si="1"/>
        <v>22169.28684</v>
      </c>
      <c r="P11" s="10">
        <f t="shared" si="1"/>
        <v>22981.37621</v>
      </c>
      <c r="Q11" s="10">
        <f t="shared" si="1"/>
        <v>23798.64612</v>
      </c>
      <c r="R11" s="1"/>
      <c r="S11" s="1"/>
      <c r="T11" s="1"/>
      <c r="U11" s="1"/>
      <c r="V11" s="1"/>
      <c r="W11" s="1"/>
      <c r="X11" s="1"/>
      <c r="Y11" s="1"/>
      <c r="Z11" s="1"/>
    </row>
    <row r="12" ht="13.5" customHeight="1">
      <c r="A12" s="1"/>
      <c r="B12" s="1"/>
      <c r="C12" s="1"/>
      <c r="D12" s="1"/>
      <c r="E12" s="1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"/>
      <c r="S12" s="1"/>
      <c r="T12" s="1"/>
      <c r="U12" s="1"/>
      <c r="V12" s="1"/>
      <c r="W12" s="1"/>
      <c r="X12" s="1"/>
      <c r="Y12" s="1"/>
      <c r="Z12" s="1"/>
    </row>
    <row r="13" ht="13.5" customHeight="1">
      <c r="A13" s="1" t="s">
        <v>227</v>
      </c>
      <c r="B13" s="1"/>
      <c r="C13" s="1"/>
      <c r="D13" s="1"/>
      <c r="E13" s="1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"/>
      <c r="S13" s="1"/>
      <c r="T13" s="1"/>
      <c r="U13" s="1"/>
      <c r="V13" s="1"/>
      <c r="W13" s="1"/>
      <c r="X13" s="1"/>
      <c r="Y13" s="1"/>
      <c r="Z13" s="1"/>
    </row>
    <row r="14" ht="13.5" customHeight="1">
      <c r="A14" s="1" t="s">
        <v>228</v>
      </c>
      <c r="B14" s="1"/>
      <c r="C14" s="1"/>
      <c r="D14" s="1"/>
      <c r="E14" s="1"/>
      <c r="F14" s="10"/>
      <c r="G14" s="10"/>
      <c r="H14" s="27">
        <f>CFStat!H20+CFStat!H21+CFStat!H27</f>
        <v>-2269.023341</v>
      </c>
      <c r="I14" s="27">
        <f>CFStat!I20+CFStat!I21+CFStat!I27</f>
        <v>-699.5024896</v>
      </c>
      <c r="J14" s="27">
        <f>CFStat!J20+CFStat!J21+CFStat!J27</f>
        <v>-705.659949</v>
      </c>
      <c r="K14" s="27">
        <f>CFStat!K20+CFStat!K21+CFStat!K27</f>
        <v>-680.6171759</v>
      </c>
      <c r="L14" s="27">
        <f>CFStat!L20+CFStat!L21+CFStat!L27</f>
        <v>-730.8775816</v>
      </c>
      <c r="M14" s="27">
        <f>CFStat!M20+CFStat!M21+CFStat!M27</f>
        <v>-755.0861252</v>
      </c>
      <c r="N14" s="27">
        <f>CFStat!N20+CFStat!N21+CFStat!N27</f>
        <v>-780.0951775</v>
      </c>
      <c r="O14" s="27">
        <f>CFStat!O20+CFStat!O21+CFStat!O27</f>
        <v>-837.7125231</v>
      </c>
      <c r="P14" s="27">
        <f>CFStat!P20+CFStat!P21+CFStat!P27</f>
        <v>-866.5941702</v>
      </c>
      <c r="Q14" s="27">
        <f>CFStat!Q20+CFStat!Q21+CFStat!Q27</f>
        <v>-903.2736797</v>
      </c>
      <c r="R14" s="1"/>
      <c r="S14" s="1"/>
      <c r="T14" s="1"/>
      <c r="U14" s="1"/>
      <c r="V14" s="1"/>
      <c r="W14" s="1"/>
      <c r="X14" s="1"/>
      <c r="Y14" s="1"/>
      <c r="Z14" s="1"/>
    </row>
    <row r="15" ht="13.5" customHeight="1">
      <c r="A15" s="1" t="s">
        <v>229</v>
      </c>
      <c r="B15" s="1"/>
      <c r="C15" s="1"/>
      <c r="D15" s="1"/>
      <c r="E15" s="1"/>
      <c r="F15" s="10"/>
      <c r="G15" s="10"/>
      <c r="H15" s="27">
        <f>CFStat!H22+CFStat!H23</f>
        <v>2047.079285</v>
      </c>
      <c r="I15" s="27">
        <f>CFStat!I22+CFStat!I23</f>
        <v>395.4352008</v>
      </c>
      <c r="J15" s="27">
        <f>CFStat!J22+CFStat!J23</f>
        <v>571.3739627</v>
      </c>
      <c r="K15" s="27">
        <f>CFStat!K22+CFStat!K23</f>
        <v>557.3086327</v>
      </c>
      <c r="L15" s="27">
        <f>CFStat!L22+CFStat!L23</f>
        <v>598.5992065</v>
      </c>
      <c r="M15" s="27">
        <f>CFStat!M22+CFStat!M23</f>
        <v>615.7394329</v>
      </c>
      <c r="N15" s="27">
        <f>CFStat!N22+CFStat!N23</f>
        <v>636.4174964</v>
      </c>
      <c r="O15" s="27">
        <f>CFStat!O22+CFStat!O23</f>
        <v>678.1643888</v>
      </c>
      <c r="P15" s="27">
        <f>CFStat!P22+CFStat!P23</f>
        <v>698.2626851</v>
      </c>
      <c r="Q15" s="27">
        <f>CFStat!Q22+CFStat!Q23</f>
        <v>726.6973564</v>
      </c>
      <c r="R15" s="1"/>
      <c r="S15" s="1"/>
      <c r="T15" s="1"/>
      <c r="U15" s="1"/>
      <c r="V15" s="1"/>
      <c r="W15" s="1"/>
      <c r="X15" s="1"/>
      <c r="Y15" s="1"/>
      <c r="Z15" s="1"/>
    </row>
    <row r="16" ht="13.5" customHeight="1">
      <c r="A16" s="1"/>
      <c r="B16" s="1"/>
      <c r="C16" s="1"/>
      <c r="D16" s="1"/>
      <c r="E16" s="1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"/>
      <c r="S16" s="1"/>
      <c r="T16" s="1"/>
      <c r="U16" s="1"/>
      <c r="V16" s="1"/>
      <c r="W16" s="1"/>
      <c r="X16" s="1"/>
      <c r="Y16" s="1"/>
      <c r="Z16" s="1"/>
    </row>
    <row r="17" ht="13.5" customHeight="1">
      <c r="A17" s="1" t="s">
        <v>230</v>
      </c>
      <c r="B17" s="1"/>
      <c r="C17" s="1"/>
      <c r="D17" s="1"/>
      <c r="E17" s="1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"/>
      <c r="S17" s="1"/>
      <c r="T17" s="1"/>
      <c r="U17" s="1"/>
      <c r="V17" s="1"/>
      <c r="W17" s="1"/>
      <c r="X17" s="1"/>
      <c r="Y17" s="1"/>
      <c r="Z17" s="1"/>
    </row>
    <row r="18" ht="13.5" customHeight="1">
      <c r="A18" s="1" t="s">
        <v>231</v>
      </c>
      <c r="B18" s="1"/>
      <c r="C18" s="1"/>
      <c r="D18" s="1"/>
      <c r="E18" s="1"/>
      <c r="F18" s="10"/>
      <c r="G18" s="10"/>
      <c r="H18" s="27">
        <f>CFStat!H31</f>
        <v>-5767.260194</v>
      </c>
      <c r="I18" s="27">
        <f>CFStat!I31</f>
        <v>-3556.10396</v>
      </c>
      <c r="J18" s="27">
        <f>CFStat!J31</f>
        <v>-3854.986594</v>
      </c>
      <c r="K18" s="27">
        <f>CFStat!K31</f>
        <v>-4067.094611</v>
      </c>
      <c r="L18" s="27">
        <f>CFStat!L31</f>
        <v>-4317.802612</v>
      </c>
      <c r="M18" s="27">
        <f>CFStat!M31</f>
        <v>-4583.06265</v>
      </c>
      <c r="N18" s="27">
        <f>CFStat!N31</f>
        <v>-4863.692391</v>
      </c>
      <c r="O18" s="27">
        <f>CFStat!O31</f>
        <v>-5160.554589</v>
      </c>
      <c r="P18" s="27">
        <f>CFStat!P31</f>
        <v>-5474.559542</v>
      </c>
      <c r="Q18" s="27">
        <f>CFStat!Q31</f>
        <v>-5806.667682</v>
      </c>
      <c r="R18" s="1"/>
      <c r="S18" s="1"/>
      <c r="T18" s="1"/>
      <c r="U18" s="1"/>
      <c r="V18" s="1"/>
      <c r="W18" s="1"/>
      <c r="X18" s="1"/>
      <c r="Y18" s="1"/>
      <c r="Z18" s="1"/>
    </row>
    <row r="19" ht="13.5" customHeight="1">
      <c r="A19" s="1" t="s">
        <v>232</v>
      </c>
      <c r="B19" s="1"/>
      <c r="C19" s="1"/>
      <c r="D19" s="1"/>
      <c r="E19" s="1"/>
      <c r="F19" s="10"/>
      <c r="G19" s="10"/>
      <c r="H19" s="27">
        <f>CFStat!H24+CFStat!H25+CFStat!H26+CFStat!H35</f>
        <v>-383.9682259</v>
      </c>
      <c r="I19" s="27">
        <f>CFStat!I24+CFStat!I25+CFStat!I26+CFStat!I35</f>
        <v>52.96286377</v>
      </c>
      <c r="J19" s="27">
        <f>CFStat!J24+CFStat!J25+CFStat!J26+CFStat!J35</f>
        <v>59.74678255</v>
      </c>
      <c r="K19" s="27">
        <f>CFStat!K24+CFStat!K25+CFStat!K26+CFStat!K35</f>
        <v>60.1186242</v>
      </c>
      <c r="L19" s="27">
        <f>CFStat!L24+CFStat!L25+CFStat!L26+CFStat!L35</f>
        <v>62.19132198</v>
      </c>
      <c r="M19" s="27">
        <f>CFStat!M24+CFStat!M25+CFStat!M26+CFStat!M35</f>
        <v>64.33547975</v>
      </c>
      <c r="N19" s="27">
        <f>CFStat!N24+CFStat!N25+CFStat!N26+CFStat!N35</f>
        <v>66.55356122</v>
      </c>
      <c r="O19" s="27">
        <f>CFStat!O24+CFStat!O25+CFStat!O26+CFStat!O35</f>
        <v>68.84811504</v>
      </c>
      <c r="P19" s="27">
        <f>CFStat!P24+CFStat!P25+CFStat!P26+CFStat!P35</f>
        <v>71.22177774</v>
      </c>
      <c r="Q19" s="27">
        <f>CFStat!Q24+CFStat!Q25+CFStat!Q26+CFStat!Q35</f>
        <v>73.67727672</v>
      </c>
      <c r="R19" s="1" t="s">
        <v>233</v>
      </c>
      <c r="S19" s="1"/>
      <c r="T19" s="1"/>
      <c r="U19" s="1"/>
      <c r="V19" s="1"/>
      <c r="W19" s="1"/>
      <c r="X19" s="1"/>
      <c r="Y19" s="1"/>
      <c r="Z19" s="1"/>
    </row>
    <row r="20" ht="13.5" customHeight="1">
      <c r="A20" s="1"/>
      <c r="B20" s="1"/>
      <c r="C20" s="1"/>
      <c r="D20" s="1"/>
      <c r="E20" s="1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"/>
      <c r="S20" s="1"/>
      <c r="T20" s="1"/>
      <c r="U20" s="1"/>
      <c r="V20" s="1"/>
      <c r="W20" s="1"/>
      <c r="X20" s="1"/>
      <c r="Y20" s="1"/>
      <c r="Z20" s="1"/>
    </row>
    <row r="21" ht="13.5" customHeight="1">
      <c r="A21" s="1" t="s">
        <v>234</v>
      </c>
      <c r="B21" s="1"/>
      <c r="C21" s="1"/>
      <c r="D21" s="1"/>
      <c r="E21" s="1"/>
      <c r="F21" s="10"/>
      <c r="G21" s="10"/>
      <c r="H21" s="96">
        <f t="shared" ref="H21:Q21" si="2">H11+H14+H15+H18+H19</f>
        <v>9091.667148</v>
      </c>
      <c r="I21" s="96">
        <f t="shared" si="2"/>
        <v>12411.40462</v>
      </c>
      <c r="J21" s="96">
        <f t="shared" si="2"/>
        <v>13397.86161</v>
      </c>
      <c r="K21" s="96">
        <f t="shared" si="2"/>
        <v>14245.84343</v>
      </c>
      <c r="L21" s="96">
        <f t="shared" si="2"/>
        <v>14981.81524</v>
      </c>
      <c r="M21" s="96">
        <f t="shared" si="2"/>
        <v>15641.83817</v>
      </c>
      <c r="N21" s="96">
        <f t="shared" si="2"/>
        <v>16331.19615</v>
      </c>
      <c r="O21" s="96">
        <f t="shared" si="2"/>
        <v>16918.03223</v>
      </c>
      <c r="P21" s="96">
        <f t="shared" si="2"/>
        <v>17409.70696</v>
      </c>
      <c r="Q21" s="96">
        <f t="shared" si="2"/>
        <v>17889.0794</v>
      </c>
      <c r="R21" s="1"/>
      <c r="S21" s="1"/>
      <c r="T21" s="1"/>
      <c r="U21" s="1"/>
      <c r="V21" s="1"/>
      <c r="W21" s="1"/>
      <c r="X21" s="1"/>
      <c r="Y21" s="1"/>
      <c r="Z21" s="1"/>
    </row>
    <row r="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3.5" customHeight="1">
      <c r="A24" s="8" t="s">
        <v>235</v>
      </c>
      <c r="B24" s="1"/>
      <c r="C24" s="1"/>
      <c r="D24" s="1"/>
      <c r="E24" s="1"/>
      <c r="F24" s="9"/>
      <c r="G24" s="9"/>
      <c r="H24" s="9">
        <f t="shared" ref="H24:Q24" si="3">H5</f>
        <v>2020</v>
      </c>
      <c r="I24" s="9">
        <f t="shared" si="3"/>
        <v>2021</v>
      </c>
      <c r="J24" s="9">
        <f t="shared" si="3"/>
        <v>2022</v>
      </c>
      <c r="K24" s="9">
        <f t="shared" si="3"/>
        <v>2023</v>
      </c>
      <c r="L24" s="9">
        <f t="shared" si="3"/>
        <v>2024</v>
      </c>
      <c r="M24" s="9">
        <f t="shared" si="3"/>
        <v>2025</v>
      </c>
      <c r="N24" s="9">
        <f t="shared" si="3"/>
        <v>2026</v>
      </c>
      <c r="O24" s="9">
        <f t="shared" si="3"/>
        <v>2027</v>
      </c>
      <c r="P24" s="9">
        <f t="shared" si="3"/>
        <v>2028</v>
      </c>
      <c r="Q24" s="9">
        <f t="shared" si="3"/>
        <v>2029</v>
      </c>
      <c r="R24" s="1"/>
      <c r="S24" s="1"/>
      <c r="T24" s="1"/>
      <c r="U24" s="1"/>
      <c r="V24" s="1"/>
      <c r="W24" s="1"/>
      <c r="X24" s="1"/>
      <c r="Y24" s="1"/>
      <c r="Z24" s="1"/>
    </row>
    <row r="25" ht="13.5" customHeight="1">
      <c r="A25" s="1" t="s">
        <v>216</v>
      </c>
      <c r="B25" s="1"/>
      <c r="C25" s="1"/>
      <c r="D25" s="1"/>
      <c r="E25" s="1"/>
      <c r="F25" s="10"/>
      <c r="G25" s="10"/>
      <c r="H25" s="27">
        <f t="shared" ref="H25:Q25" si="4">H6</f>
        <v>13065.90914</v>
      </c>
      <c r="I25" s="27">
        <f t="shared" si="4"/>
        <v>13511.27288</v>
      </c>
      <c r="J25" s="27">
        <f t="shared" si="4"/>
        <v>14429.8813</v>
      </c>
      <c r="K25" s="27">
        <f t="shared" si="4"/>
        <v>15272.47284</v>
      </c>
      <c r="L25" s="27">
        <f t="shared" si="4"/>
        <v>16048.55809</v>
      </c>
      <c r="M25" s="27">
        <f t="shared" si="4"/>
        <v>16747.86669</v>
      </c>
      <c r="N25" s="27">
        <f t="shared" si="4"/>
        <v>17474.88375</v>
      </c>
      <c r="O25" s="27">
        <f t="shared" si="4"/>
        <v>18112.06743</v>
      </c>
      <c r="P25" s="27">
        <f t="shared" si="4"/>
        <v>18648.19131</v>
      </c>
      <c r="Q25" s="27">
        <f t="shared" si="4"/>
        <v>19172.70403</v>
      </c>
      <c r="R25" s="1"/>
      <c r="S25" s="1"/>
      <c r="T25" s="1"/>
      <c r="U25" s="1"/>
      <c r="V25" s="1"/>
      <c r="W25" s="1"/>
      <c r="X25" s="1"/>
      <c r="Y25" s="1"/>
      <c r="Z25" s="1"/>
    </row>
    <row r="26" ht="13.5" customHeight="1">
      <c r="A26" s="1" t="s">
        <v>236</v>
      </c>
      <c r="B26" s="1"/>
      <c r="C26" s="1"/>
      <c r="D26" s="1"/>
      <c r="E26" s="1"/>
      <c r="F26" s="10"/>
      <c r="G26" s="10"/>
      <c r="H26" s="27">
        <f>-'NOPAT NOA'!H20</f>
        <v>-3974.241994</v>
      </c>
      <c r="I26" s="27">
        <f>-'NOPAT NOA'!I20</f>
        <v>-1099.868267</v>
      </c>
      <c r="J26" s="27">
        <f>-'NOPAT NOA'!J20</f>
        <v>-1032.019693</v>
      </c>
      <c r="K26" s="27">
        <f>-'NOPAT NOA'!K20</f>
        <v>-1026.629409</v>
      </c>
      <c r="L26" s="27">
        <f>-'NOPAT NOA'!L20</f>
        <v>-1066.742854</v>
      </c>
      <c r="M26" s="27">
        <f>-'NOPAT NOA'!M20</f>
        <v>-1106.028516</v>
      </c>
      <c r="N26" s="27">
        <f>-'NOPAT NOA'!N20</f>
        <v>-1143.687601</v>
      </c>
      <c r="O26" s="27">
        <f>-'NOPAT NOA'!O20</f>
        <v>-1194.035196</v>
      </c>
      <c r="P26" s="27">
        <f>-'NOPAT NOA'!P20</f>
        <v>-1238.484351</v>
      </c>
      <c r="Q26" s="27">
        <f>-'NOPAT NOA'!Q20</f>
        <v>-1283.624635</v>
      </c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1"/>
      <c r="D27" s="1"/>
      <c r="E27" s="1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3.5" customHeight="1">
      <c r="A28" s="1" t="s">
        <v>234</v>
      </c>
      <c r="B28" s="1"/>
      <c r="C28" s="1"/>
      <c r="D28" s="1"/>
      <c r="E28" s="1"/>
      <c r="F28" s="10"/>
      <c r="G28" s="10"/>
      <c r="H28" s="96">
        <f t="shared" ref="H28:Q28" si="5">H25+H26</f>
        <v>9091.667148</v>
      </c>
      <c r="I28" s="96">
        <f t="shared" si="5"/>
        <v>12411.40462</v>
      </c>
      <c r="J28" s="96">
        <f t="shared" si="5"/>
        <v>13397.86161</v>
      </c>
      <c r="K28" s="96">
        <f t="shared" si="5"/>
        <v>14245.84343</v>
      </c>
      <c r="L28" s="96">
        <f t="shared" si="5"/>
        <v>14981.81524</v>
      </c>
      <c r="M28" s="96">
        <f t="shared" si="5"/>
        <v>15641.83817</v>
      </c>
      <c r="N28" s="96">
        <f t="shared" si="5"/>
        <v>16331.19615</v>
      </c>
      <c r="O28" s="96">
        <f t="shared" si="5"/>
        <v>16918.03223</v>
      </c>
      <c r="P28" s="96">
        <f t="shared" si="5"/>
        <v>17409.70696</v>
      </c>
      <c r="Q28" s="96">
        <f t="shared" si="5"/>
        <v>17889.0794</v>
      </c>
      <c r="R28" s="1"/>
      <c r="S28" s="1"/>
      <c r="T28" s="1"/>
      <c r="U28" s="1"/>
      <c r="V28" s="1"/>
      <c r="W28" s="1"/>
      <c r="X28" s="1"/>
      <c r="Y28" s="1"/>
      <c r="Z28" s="1"/>
    </row>
    <row r="29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3.5" customHeight="1">
      <c r="A30" s="1" t="s">
        <v>237</v>
      </c>
      <c r="B30" s="1"/>
      <c r="C30" s="1"/>
      <c r="D30" s="1"/>
      <c r="E30" s="1"/>
      <c r="F30" s="98"/>
      <c r="G30" s="98"/>
      <c r="H30" s="98">
        <f t="shared" ref="H30:Q30" si="6">H21-H28</f>
        <v>0</v>
      </c>
      <c r="I30" s="98">
        <f t="shared" si="6"/>
        <v>0</v>
      </c>
      <c r="J30" s="98">
        <f t="shared" si="6"/>
        <v>0</v>
      </c>
      <c r="K30" s="98">
        <f t="shared" si="6"/>
        <v>0</v>
      </c>
      <c r="L30" s="98">
        <f t="shared" si="6"/>
        <v>0</v>
      </c>
      <c r="M30" s="98">
        <f t="shared" si="6"/>
        <v>0</v>
      </c>
      <c r="N30" s="98">
        <f t="shared" si="6"/>
        <v>0</v>
      </c>
      <c r="O30" s="98">
        <f t="shared" si="6"/>
        <v>0</v>
      </c>
      <c r="P30" s="98">
        <f t="shared" si="6"/>
        <v>0</v>
      </c>
      <c r="Q30" s="98">
        <f t="shared" si="6"/>
        <v>0</v>
      </c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3" t="s">
        <v>14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3.5" customHeight="1">
      <c r="A33" s="1" t="s">
        <v>238</v>
      </c>
      <c r="B33" s="1"/>
      <c r="C33" s="1"/>
      <c r="D33" s="1"/>
      <c r="E33" s="1"/>
      <c r="F33" s="10"/>
      <c r="G33" s="10"/>
      <c r="H33" s="10">
        <f t="shared" ref="H33:Q33" si="7">H28</f>
        <v>9091.667148</v>
      </c>
      <c r="I33" s="10">
        <f t="shared" si="7"/>
        <v>12411.40462</v>
      </c>
      <c r="J33" s="10">
        <f t="shared" si="7"/>
        <v>13397.86161</v>
      </c>
      <c r="K33" s="10">
        <f t="shared" si="7"/>
        <v>14245.84343</v>
      </c>
      <c r="L33" s="10">
        <f t="shared" si="7"/>
        <v>14981.81524</v>
      </c>
      <c r="M33" s="10">
        <f t="shared" si="7"/>
        <v>15641.83817</v>
      </c>
      <c r="N33" s="10">
        <f t="shared" si="7"/>
        <v>16331.19615</v>
      </c>
      <c r="O33" s="10">
        <f t="shared" si="7"/>
        <v>16918.03223</v>
      </c>
      <c r="P33" s="10">
        <f t="shared" si="7"/>
        <v>17409.70696</v>
      </c>
      <c r="Q33" s="10">
        <f t="shared" si="7"/>
        <v>17889.0794</v>
      </c>
      <c r="R33" s="1"/>
      <c r="S33" s="1"/>
      <c r="T33" s="1"/>
      <c r="U33" s="1"/>
      <c r="V33" s="1"/>
      <c r="W33" s="1"/>
      <c r="X33" s="1"/>
      <c r="Y33" s="1"/>
      <c r="Z33" s="1"/>
    </row>
    <row r="34" ht="13.5" customHeight="1">
      <c r="A34" s="1" t="s">
        <v>239</v>
      </c>
      <c r="B34" s="1"/>
      <c r="C34" s="1"/>
      <c r="D34" s="1"/>
      <c r="E34" s="1"/>
      <c r="F34" s="99"/>
      <c r="G34" s="99"/>
      <c r="H34" s="100">
        <f>1/(1+WACC)^1</f>
        <v>0.9216482241</v>
      </c>
      <c r="I34" s="100">
        <f>1/(1+WACC)^2</f>
        <v>0.849435449</v>
      </c>
      <c r="J34" s="100">
        <f>1/(1+WACC)^3</f>
        <v>0.782880673</v>
      </c>
      <c r="K34" s="100">
        <f>1/(1+WACC)^4</f>
        <v>0.7215405819</v>
      </c>
      <c r="L34" s="100">
        <f>1/(1+WACC)^5</f>
        <v>0.665006596</v>
      </c>
      <c r="M34" s="100">
        <f>1/(1+WACC)^6</f>
        <v>0.6129021482</v>
      </c>
      <c r="N34" s="100">
        <f>1/(1+WACC)^7</f>
        <v>0.5648801764</v>
      </c>
      <c r="O34" s="100">
        <f>1/(1+WACC)^8</f>
        <v>0.5206208114</v>
      </c>
      <c r="P34" s="100">
        <f>1/(1+WACC)^9</f>
        <v>0.4798292462</v>
      </c>
      <c r="Q34" s="100">
        <f>1/(1+WACC)^10</f>
        <v>0.4422337727</v>
      </c>
      <c r="R34" s="1"/>
      <c r="S34" s="1"/>
      <c r="T34" s="1"/>
      <c r="U34" s="1"/>
      <c r="V34" s="1"/>
      <c r="W34" s="1"/>
      <c r="X34" s="1"/>
      <c r="Y34" s="1"/>
      <c r="Z34" s="1"/>
    </row>
    <row r="35" ht="13.5" customHeight="1">
      <c r="A35" s="1" t="s">
        <v>240</v>
      </c>
      <c r="B35" s="1"/>
      <c r="C35" s="1"/>
      <c r="D35" s="1"/>
      <c r="E35" s="1"/>
      <c r="F35" s="10"/>
      <c r="G35" s="10"/>
      <c r="H35" s="27">
        <f t="shared" ref="H35:Q35" si="8">H33*H34</f>
        <v>8379.318881</v>
      </c>
      <c r="I35" s="27">
        <f t="shared" si="8"/>
        <v>10542.68705</v>
      </c>
      <c r="J35" s="27">
        <f t="shared" si="8"/>
        <v>10488.92691</v>
      </c>
      <c r="K35" s="27">
        <f t="shared" si="8"/>
        <v>10278.95416</v>
      </c>
      <c r="L35" s="27">
        <f t="shared" si="8"/>
        <v>9963.005951</v>
      </c>
      <c r="M35" s="27">
        <f t="shared" si="8"/>
        <v>9586.916215</v>
      </c>
      <c r="N35" s="27">
        <f t="shared" si="8"/>
        <v>9225.168963</v>
      </c>
      <c r="O35" s="27">
        <f t="shared" si="8"/>
        <v>8807.879668</v>
      </c>
      <c r="P35" s="27">
        <f t="shared" si="8"/>
        <v>8353.68657</v>
      </c>
      <c r="Q35" s="27">
        <f t="shared" si="8"/>
        <v>7911.155071</v>
      </c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3" t="s">
        <v>241</v>
      </c>
      <c r="B37" s="1"/>
      <c r="C37" s="1"/>
      <c r="D37" s="1"/>
      <c r="E37" s="1"/>
      <c r="F37" s="101">
        <f>SUM(H35:P35)</f>
        <v>85626.54437</v>
      </c>
      <c r="G37" s="1"/>
      <c r="H37" s="10"/>
      <c r="I37" s="102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0"/>
      <c r="I38" s="102"/>
      <c r="J38" s="10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3" t="s">
        <v>242</v>
      </c>
      <c r="B39" s="1"/>
      <c r="C39" s="1"/>
      <c r="D39" s="1"/>
      <c r="E39" s="1"/>
      <c r="F39" s="1"/>
      <c r="G39" s="1"/>
      <c r="H39" s="10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 t="s">
        <v>243</v>
      </c>
      <c r="B40" s="1"/>
      <c r="C40" s="1"/>
      <c r="D40" s="1"/>
      <c r="E40" s="1"/>
      <c r="F40" s="103">
        <f>(Q21/(WACC-F41))/((1+WACC)^F42)</f>
        <v>156031.3934</v>
      </c>
      <c r="G40" s="1"/>
      <c r="H40" s="10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 t="s">
        <v>244</v>
      </c>
      <c r="B41" s="1"/>
      <c r="C41" s="1"/>
      <c r="D41" s="1"/>
      <c r="E41" s="1"/>
      <c r="F41" s="12">
        <v>0.03</v>
      </c>
      <c r="G41" s="1"/>
      <c r="H41" s="10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 t="s">
        <v>245</v>
      </c>
      <c r="B42" s="1"/>
      <c r="C42" s="1"/>
      <c r="D42" s="1"/>
      <c r="E42" s="1"/>
      <c r="F42" s="14">
        <v>9.0</v>
      </c>
      <c r="G42" s="1"/>
      <c r="H42" s="10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0"/>
      <c r="G43" s="1"/>
      <c r="H43" s="104" t="s">
        <v>246</v>
      </c>
      <c r="I43" s="105"/>
      <c r="J43" s="105"/>
      <c r="K43" s="105"/>
      <c r="L43" s="105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3" t="s">
        <v>247</v>
      </c>
      <c r="B44" s="1"/>
      <c r="C44" s="1"/>
      <c r="D44" s="1"/>
      <c r="E44" s="1"/>
      <c r="F44" s="103">
        <f>F37+F40</f>
        <v>241657.9377</v>
      </c>
      <c r="G44" s="1"/>
      <c r="H44" s="1"/>
      <c r="I44" s="1"/>
      <c r="J44" s="10">
        <v>242070.0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0"/>
      <c r="G45" s="1"/>
      <c r="H45" s="1"/>
      <c r="I45" s="1"/>
      <c r="J45" s="10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3" t="s">
        <v>248</v>
      </c>
      <c r="B46" s="1"/>
      <c r="C46" s="1"/>
      <c r="D46" s="1"/>
      <c r="E46" s="1"/>
      <c r="F46" s="10"/>
      <c r="G46" s="1"/>
      <c r="H46" s="1"/>
      <c r="I46" s="1"/>
      <c r="J46" s="10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 t="s">
        <v>249</v>
      </c>
      <c r="B47" s="1"/>
      <c r="C47" s="1"/>
      <c r="D47" s="1"/>
      <c r="E47" s="1"/>
      <c r="F47" s="27">
        <f>BalSht!G9</f>
        <v>2133</v>
      </c>
      <c r="G47" s="1"/>
      <c r="H47" s="1"/>
      <c r="I47" s="1"/>
      <c r="J47" s="10">
        <v>2133.0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 t="s">
        <v>250</v>
      </c>
      <c r="B48" s="1"/>
      <c r="C48" s="1"/>
      <c r="D48" s="1"/>
      <c r="E48" s="1"/>
      <c r="F48" s="106">
        <v>0.0</v>
      </c>
      <c r="G48" s="1"/>
      <c r="H48" s="1"/>
      <c r="I48" s="1"/>
      <c r="J48" s="10">
        <v>0.0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 t="s">
        <v>251</v>
      </c>
      <c r="B49" s="1"/>
      <c r="C49" s="1"/>
      <c r="D49" s="1"/>
      <c r="E49" s="1"/>
      <c r="F49" s="107">
        <v>0.0</v>
      </c>
      <c r="G49" s="1"/>
      <c r="H49" s="1"/>
      <c r="I49" s="1"/>
      <c r="J49" s="107">
        <v>0.0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0"/>
      <c r="G50" s="1"/>
      <c r="H50" s="1"/>
      <c r="I50" s="1"/>
      <c r="J50" s="10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3" t="s">
        <v>252</v>
      </c>
      <c r="B51" s="1"/>
      <c r="C51" s="1"/>
      <c r="D51" s="1"/>
      <c r="E51" s="1"/>
      <c r="F51" s="103">
        <f>F44+F47+F48+F49</f>
        <v>243790.9377</v>
      </c>
      <c r="G51" s="1"/>
      <c r="H51" s="1"/>
      <c r="I51" s="1"/>
      <c r="J51" s="10">
        <f>J44+J47+J48+J49</f>
        <v>244203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0"/>
      <c r="G52" s="1"/>
      <c r="H52" s="1"/>
      <c r="I52" s="1"/>
      <c r="J52" s="10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3" t="s">
        <v>253</v>
      </c>
      <c r="B53" s="1"/>
      <c r="C53" s="1"/>
      <c r="D53" s="1"/>
      <c r="E53" s="1"/>
      <c r="F53" s="10"/>
      <c r="G53" s="1"/>
      <c r="H53" s="1"/>
      <c r="I53" s="1"/>
      <c r="J53" s="10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 t="s">
        <v>254</v>
      </c>
      <c r="B54" s="1"/>
      <c r="C54" s="1"/>
      <c r="D54" s="1"/>
      <c r="E54" s="1"/>
      <c r="F54" s="27">
        <f>-(BalSht!G36+BalSht!G29+BalSht!G28)</f>
        <v>-31483</v>
      </c>
      <c r="G54" s="1"/>
      <c r="H54" s="1"/>
      <c r="I54" s="1"/>
      <c r="J54" s="10">
        <v>-31483.0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 t="s">
        <v>255</v>
      </c>
      <c r="B55" s="1"/>
      <c r="C55" s="1"/>
      <c r="D55" s="1"/>
      <c r="E55" s="1"/>
      <c r="F55" s="107">
        <f>-('Stock Comp Outstanding'!B30/1000)</f>
        <v>-778.7258119</v>
      </c>
      <c r="G55" s="1"/>
      <c r="H55" s="1"/>
      <c r="I55" s="1"/>
      <c r="J55" s="107">
        <v>-621.0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0"/>
      <c r="G56" s="1"/>
      <c r="H56" s="1"/>
      <c r="I56" s="1"/>
      <c r="J56" s="10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3" t="s">
        <v>256</v>
      </c>
      <c r="B57" s="1"/>
      <c r="C57" s="1"/>
      <c r="D57" s="1"/>
      <c r="E57" s="1"/>
      <c r="F57" s="27">
        <f>F51+F54+F55</f>
        <v>211529.2119</v>
      </c>
      <c r="G57" s="1"/>
      <c r="H57" s="1"/>
      <c r="I57" s="1"/>
      <c r="J57" s="10">
        <f>J51+J54+J55</f>
        <v>212099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 t="s">
        <v>257</v>
      </c>
      <c r="B58" s="1"/>
      <c r="C58" s="1"/>
      <c r="D58" s="1"/>
      <c r="E58" s="1"/>
      <c r="F58" s="10">
        <v>1077.0</v>
      </c>
      <c r="G58" s="1"/>
      <c r="H58" s="1"/>
      <c r="I58" s="1"/>
      <c r="J58" s="10">
        <v>1095.0</v>
      </c>
      <c r="K58" s="1" t="s">
        <v>258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0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 t="s">
        <v>259</v>
      </c>
      <c r="B60" s="108">
        <v>43861.0</v>
      </c>
      <c r="C60" s="1"/>
      <c r="D60" s="1"/>
      <c r="E60" s="1"/>
      <c r="F60" s="109">
        <f>F57/F58</f>
        <v>196.4059535</v>
      </c>
      <c r="G60" s="1"/>
      <c r="H60" s="1"/>
      <c r="I60" s="1"/>
      <c r="J60" s="11">
        <f>J57/J58</f>
        <v>193.6977169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3" t="s">
        <v>260</v>
      </c>
      <c r="B61" s="108">
        <v>44063.0</v>
      </c>
      <c r="C61" s="1"/>
      <c r="D61" s="1"/>
      <c r="E61" s="1"/>
      <c r="F61" s="110">
        <f>F60*((1+'Cost of Capital'!G13)^(202/365))</f>
        <v>206.0000828</v>
      </c>
      <c r="G61" s="1"/>
      <c r="H61" s="1"/>
      <c r="I61" s="1"/>
      <c r="J61" s="11">
        <v>200.0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H43:L43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9" width="8.86"/>
    <col customWidth="1" min="10" max="10" width="10.29"/>
    <col customWidth="1" min="11" max="29" width="8.86"/>
  </cols>
  <sheetData>
    <row r="1">
      <c r="A1" s="111" t="str">
        <f>Contents!A5</f>
        <v>THE HOME DEPOT, INC.</v>
      </c>
    </row>
    <row r="2">
      <c r="A2" s="112" t="s">
        <v>261</v>
      </c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</row>
    <row r="3">
      <c r="A3" s="114" t="s">
        <v>262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</row>
    <row r="4">
      <c r="A4" s="115"/>
      <c r="B4" s="116"/>
      <c r="C4" s="116"/>
      <c r="D4" s="116"/>
      <c r="E4" s="116"/>
      <c r="F4" s="117"/>
      <c r="G4" s="118"/>
      <c r="H4" s="116"/>
      <c r="I4" s="116"/>
      <c r="J4" s="116"/>
      <c r="K4" s="116"/>
      <c r="L4" s="116"/>
      <c r="M4" s="116"/>
      <c r="N4" s="116"/>
      <c r="O4" s="116"/>
      <c r="P4" s="119" t="s">
        <v>263</v>
      </c>
      <c r="Q4" s="120"/>
      <c r="R4" s="120"/>
      <c r="S4" s="120"/>
      <c r="T4" s="120"/>
      <c r="U4" s="120"/>
      <c r="V4" s="121"/>
      <c r="W4" s="122"/>
      <c r="X4" s="122"/>
      <c r="Y4" s="122"/>
      <c r="Z4" s="122"/>
      <c r="AA4" s="122"/>
      <c r="AB4" s="122"/>
      <c r="AC4" s="122"/>
    </row>
    <row r="5">
      <c r="A5" s="115"/>
      <c r="B5" s="114"/>
      <c r="C5" s="114"/>
      <c r="D5" s="116"/>
      <c r="E5" s="116"/>
      <c r="F5" s="117"/>
      <c r="G5" s="123"/>
      <c r="H5" s="124"/>
      <c r="I5" s="124"/>
      <c r="J5" s="124"/>
      <c r="K5" s="115"/>
      <c r="L5" s="116"/>
      <c r="M5" s="116"/>
      <c r="N5" s="116"/>
      <c r="O5" s="116"/>
      <c r="P5" s="125"/>
      <c r="Q5" s="116"/>
      <c r="R5" s="116"/>
      <c r="S5" s="116"/>
      <c r="T5" s="116"/>
      <c r="U5" s="116"/>
      <c r="V5" s="126"/>
      <c r="W5" s="122"/>
      <c r="X5" s="122"/>
      <c r="Y5" s="122"/>
      <c r="Z5" s="122"/>
      <c r="AA5" s="122"/>
      <c r="AB5" s="122"/>
      <c r="AC5" s="122"/>
    </row>
    <row r="6">
      <c r="A6" s="115"/>
      <c r="B6" s="115"/>
      <c r="C6" s="115"/>
      <c r="D6" s="115"/>
      <c r="E6" s="115"/>
      <c r="F6" s="115"/>
      <c r="G6" s="127"/>
      <c r="H6" s="115"/>
      <c r="I6" s="115"/>
      <c r="J6" s="115"/>
      <c r="K6" s="115"/>
      <c r="L6" s="115"/>
      <c r="M6" s="115"/>
      <c r="N6" s="115"/>
      <c r="O6" s="115"/>
      <c r="P6" s="127" t="s">
        <v>264</v>
      </c>
      <c r="Q6" s="116"/>
      <c r="R6" s="116"/>
      <c r="S6" s="116"/>
      <c r="T6" s="116"/>
      <c r="U6" s="116"/>
      <c r="V6" s="128"/>
      <c r="W6" s="129"/>
      <c r="X6" s="129"/>
      <c r="Y6" s="129"/>
      <c r="Z6" s="129"/>
      <c r="AA6" s="129"/>
      <c r="AB6" s="129"/>
      <c r="AC6" s="129"/>
    </row>
    <row r="7">
      <c r="A7" s="115" t="s">
        <v>265</v>
      </c>
      <c r="B7" s="114"/>
      <c r="C7" s="114"/>
      <c r="D7" s="116"/>
      <c r="E7" s="116"/>
      <c r="F7" s="130"/>
      <c r="G7" s="131">
        <v>1.0</v>
      </c>
      <c r="H7" s="116"/>
      <c r="I7" s="116"/>
      <c r="J7" s="116"/>
      <c r="K7" s="116"/>
      <c r="L7" s="116"/>
      <c r="M7" s="116"/>
      <c r="N7" s="116"/>
      <c r="O7" s="116"/>
      <c r="P7" s="127" t="s">
        <v>266</v>
      </c>
      <c r="Q7" s="115"/>
      <c r="R7" s="115"/>
      <c r="S7" s="115"/>
      <c r="T7" s="115"/>
      <c r="U7" s="115"/>
      <c r="V7" s="126"/>
      <c r="W7" s="122"/>
      <c r="X7" s="122"/>
      <c r="Y7" s="122"/>
      <c r="Z7" s="122"/>
      <c r="AA7" s="122"/>
      <c r="AB7" s="122"/>
      <c r="AC7" s="122"/>
    </row>
    <row r="8">
      <c r="A8" s="115" t="s">
        <v>267</v>
      </c>
      <c r="B8" s="116"/>
      <c r="C8" s="116"/>
      <c r="D8" s="116"/>
      <c r="E8" s="116"/>
      <c r="F8" s="130"/>
      <c r="G8" s="132">
        <f>G7*BalSht!G9</f>
        <v>2133</v>
      </c>
      <c r="H8" s="116"/>
      <c r="I8" s="116"/>
      <c r="J8" s="116"/>
      <c r="K8" s="116"/>
      <c r="L8" s="116"/>
      <c r="M8" s="116"/>
      <c r="N8" s="116"/>
      <c r="O8" s="116"/>
      <c r="P8" s="125"/>
      <c r="Q8" s="116"/>
      <c r="R8" s="116"/>
      <c r="S8" s="116"/>
      <c r="T8" s="116"/>
      <c r="U8" s="116"/>
      <c r="V8" s="126"/>
      <c r="W8" s="122"/>
      <c r="X8" s="122"/>
      <c r="Y8" s="122"/>
      <c r="Z8" s="122"/>
      <c r="AA8" s="122"/>
      <c r="AB8" s="122"/>
      <c r="AC8" s="122"/>
    </row>
    <row r="9">
      <c r="A9" s="115"/>
      <c r="B9" s="115"/>
      <c r="C9" s="115"/>
      <c r="D9" s="115"/>
      <c r="E9" s="115"/>
      <c r="F9" s="129"/>
      <c r="G9" s="127"/>
      <c r="H9" s="115"/>
      <c r="I9" s="115"/>
      <c r="J9" s="115"/>
      <c r="K9" s="115"/>
      <c r="L9" s="115"/>
      <c r="M9" s="115"/>
      <c r="N9" s="115"/>
      <c r="O9" s="115"/>
      <c r="P9" s="133" t="s">
        <v>268</v>
      </c>
      <c r="Q9" s="134"/>
      <c r="R9" s="115"/>
      <c r="S9" s="115"/>
      <c r="T9" s="135" t="s">
        <v>269</v>
      </c>
      <c r="U9" s="115" t="str">
        <f>IF(P9="Less than 2.5%","Low",IF(P9="More than 10%","High","Medium"))</f>
        <v>Medium</v>
      </c>
      <c r="V9" s="128"/>
      <c r="W9" s="129"/>
      <c r="X9" s="129"/>
      <c r="Y9" s="129">
        <f>IF(U9="Low",1,IF(U9="Medium",2,3))</f>
        <v>2</v>
      </c>
      <c r="Z9" s="129" t="s">
        <v>270</v>
      </c>
      <c r="AA9" s="129"/>
      <c r="AB9" s="129"/>
      <c r="AC9" s="129"/>
    </row>
    <row r="10">
      <c r="A10" s="136" t="s">
        <v>271</v>
      </c>
      <c r="B10" s="114"/>
      <c r="C10" s="114"/>
      <c r="D10" s="116"/>
      <c r="E10" s="116"/>
      <c r="F10" s="130"/>
      <c r="G10" s="116"/>
      <c r="H10" s="116"/>
      <c r="I10" s="116"/>
      <c r="J10" s="116"/>
      <c r="K10" s="116"/>
      <c r="L10" s="119" t="s">
        <v>272</v>
      </c>
      <c r="M10" s="120"/>
      <c r="N10" s="137"/>
      <c r="O10" s="116"/>
      <c r="P10" s="127"/>
      <c r="Q10" s="115"/>
      <c r="R10" s="115"/>
      <c r="S10" s="115"/>
      <c r="T10" s="116"/>
      <c r="U10" s="115"/>
      <c r="V10" s="126"/>
      <c r="W10" s="122"/>
      <c r="X10" s="122"/>
      <c r="Y10" s="122"/>
      <c r="Z10" s="122"/>
      <c r="AA10" s="122"/>
      <c r="AB10" s="122"/>
      <c r="AC10" s="122"/>
    </row>
    <row r="11" ht="16.5" customHeight="1">
      <c r="A11" s="115" t="s">
        <v>273</v>
      </c>
      <c r="B11" s="114"/>
      <c r="C11" s="114"/>
      <c r="D11" s="116"/>
      <c r="E11" s="116"/>
      <c r="F11" s="130"/>
      <c r="G11" s="138" t="s">
        <v>274</v>
      </c>
      <c r="H11" s="134"/>
      <c r="I11" s="116"/>
      <c r="J11" s="116"/>
      <c r="K11" s="116"/>
      <c r="L11" s="127" t="s">
        <v>275</v>
      </c>
      <c r="M11" s="115"/>
      <c r="N11" s="139">
        <v>75.0</v>
      </c>
      <c r="O11" s="116"/>
      <c r="P11" s="127" t="s">
        <v>276</v>
      </c>
      <c r="Q11" s="115"/>
      <c r="R11" s="115"/>
      <c r="S11" s="115"/>
      <c r="T11" s="115"/>
      <c r="U11" s="115"/>
      <c r="V11" s="128"/>
      <c r="W11" s="129"/>
      <c r="X11" s="129"/>
      <c r="Y11" s="129"/>
      <c r="Z11" s="129"/>
      <c r="AA11" s="122"/>
      <c r="AB11" s="122"/>
      <c r="AC11" s="122"/>
    </row>
    <row r="12">
      <c r="A12" s="115" t="s">
        <v>277</v>
      </c>
      <c r="B12" s="114"/>
      <c r="C12" s="114"/>
      <c r="D12" s="116"/>
      <c r="E12" s="116"/>
      <c r="F12" s="130"/>
      <c r="G12" s="140">
        <v>0.0</v>
      </c>
      <c r="H12" s="116"/>
      <c r="I12" s="116"/>
      <c r="J12" s="116"/>
      <c r="K12" s="116"/>
      <c r="L12" s="127" t="s">
        <v>278</v>
      </c>
      <c r="M12" s="115"/>
      <c r="N12" s="139">
        <v>100.0</v>
      </c>
      <c r="O12" s="116"/>
      <c r="P12" s="125"/>
      <c r="Q12" s="116"/>
      <c r="R12" s="116"/>
      <c r="S12" s="116"/>
      <c r="T12" s="116"/>
      <c r="U12" s="116"/>
      <c r="V12" s="128"/>
      <c r="W12" s="129"/>
      <c r="X12" s="129"/>
      <c r="Y12" s="129"/>
      <c r="Z12" s="129"/>
      <c r="AA12" s="122"/>
      <c r="AB12" s="122"/>
      <c r="AC12" s="122"/>
    </row>
    <row r="13">
      <c r="A13" s="115" t="s">
        <v>279</v>
      </c>
      <c r="B13" s="116"/>
      <c r="C13" s="116"/>
      <c r="D13" s="116"/>
      <c r="E13" s="116"/>
      <c r="F13" s="130"/>
      <c r="G13" s="141">
        <f>IF(G11="Below Average",0.075,IF(G11="Average",0.09,IF(G11="Above Average",0.11,0.135)))+G12</f>
        <v>0.09</v>
      </c>
      <c r="H13" s="116"/>
      <c r="I13" s="116"/>
      <c r="J13" s="116"/>
      <c r="K13" s="116"/>
      <c r="L13" s="127" t="s">
        <v>280</v>
      </c>
      <c r="M13" s="115"/>
      <c r="N13" s="139">
        <v>130.0</v>
      </c>
      <c r="O13" s="116"/>
      <c r="P13" s="142">
        <v>0.15</v>
      </c>
      <c r="Q13" s="115"/>
      <c r="R13" s="115"/>
      <c r="S13" s="115"/>
      <c r="T13" s="115"/>
      <c r="U13" s="115"/>
      <c r="V13" s="128"/>
      <c r="W13" s="129"/>
      <c r="X13" s="129"/>
      <c r="Y13" s="129"/>
      <c r="Z13" s="129"/>
      <c r="AA13" s="122"/>
      <c r="AB13" s="122"/>
      <c r="AC13" s="122"/>
    </row>
    <row r="14">
      <c r="A14" s="115" t="s">
        <v>281</v>
      </c>
      <c r="B14" s="116"/>
      <c r="C14" s="116"/>
      <c r="D14" s="116"/>
      <c r="E14" s="116"/>
      <c r="F14" s="130"/>
      <c r="G14" s="138" t="s">
        <v>280</v>
      </c>
      <c r="H14" s="134"/>
      <c r="I14" s="116"/>
      <c r="J14" s="116"/>
      <c r="K14" s="116"/>
      <c r="L14" s="127" t="s">
        <v>282</v>
      </c>
      <c r="M14" s="115"/>
      <c r="N14" s="139">
        <v>200.0</v>
      </c>
      <c r="O14" s="116"/>
      <c r="P14" s="127"/>
      <c r="Q14" s="115"/>
      <c r="R14" s="115"/>
      <c r="S14" s="115"/>
      <c r="T14" s="115"/>
      <c r="U14" s="115"/>
      <c r="V14" s="128"/>
      <c r="W14" s="129"/>
      <c r="X14" s="129"/>
      <c r="Y14" s="129"/>
      <c r="Z14" s="129"/>
      <c r="AA14" s="122"/>
      <c r="AB14" s="122"/>
      <c r="AC14" s="122"/>
    </row>
    <row r="15">
      <c r="A15" s="115" t="s">
        <v>283</v>
      </c>
      <c r="B15" s="116"/>
      <c r="C15" s="116"/>
      <c r="D15" s="116"/>
      <c r="E15" s="116"/>
      <c r="F15" s="130"/>
      <c r="G15" s="143">
        <f>0.045+G17+VLOOKUP(G14,L11:N17,3,FALSE)/10000</f>
        <v>0.058</v>
      </c>
      <c r="H15" s="116"/>
      <c r="I15" s="116"/>
      <c r="J15" s="116"/>
      <c r="K15" s="116"/>
      <c r="L15" s="127" t="s">
        <v>284</v>
      </c>
      <c r="M15" s="115"/>
      <c r="N15" s="139">
        <v>350.0</v>
      </c>
      <c r="O15" s="116"/>
      <c r="P15" s="127" t="s">
        <v>285</v>
      </c>
      <c r="Q15" s="115"/>
      <c r="R15" s="115"/>
      <c r="S15" s="115"/>
      <c r="T15" s="115"/>
      <c r="U15" s="115"/>
      <c r="V15" s="128"/>
      <c r="W15" s="129"/>
      <c r="X15" s="129"/>
      <c r="Y15" s="129"/>
      <c r="Z15" s="129"/>
      <c r="AA15" s="122"/>
      <c r="AB15" s="122"/>
      <c r="AC15" s="122"/>
    </row>
    <row r="16">
      <c r="A16" s="115" t="s">
        <v>286</v>
      </c>
      <c r="B16" s="116"/>
      <c r="C16" s="116"/>
      <c r="D16" s="116"/>
      <c r="E16" s="116"/>
      <c r="F16" s="130"/>
      <c r="G16" s="144"/>
      <c r="H16" s="116"/>
      <c r="I16" s="116"/>
      <c r="J16" s="116"/>
      <c r="K16" s="116"/>
      <c r="L16" s="127" t="s">
        <v>287</v>
      </c>
      <c r="M16" s="115"/>
      <c r="N16" s="139">
        <v>550.0</v>
      </c>
      <c r="O16" s="116"/>
      <c r="P16" s="127" t="s">
        <v>288</v>
      </c>
      <c r="Q16" s="116"/>
      <c r="R16" s="116"/>
      <c r="S16" s="116"/>
      <c r="T16" s="116"/>
      <c r="U16" s="116"/>
      <c r="V16" s="128"/>
      <c r="W16" s="129"/>
      <c r="X16" s="129"/>
      <c r="Y16" s="129"/>
      <c r="Z16" s="129"/>
      <c r="AA16" s="122"/>
      <c r="AB16" s="122"/>
      <c r="AC16" s="122"/>
    </row>
    <row r="17">
      <c r="A17" s="115" t="s">
        <v>289</v>
      </c>
      <c r="B17" s="116"/>
      <c r="C17" s="116"/>
      <c r="D17" s="116"/>
      <c r="E17" s="116"/>
      <c r="F17" s="130"/>
      <c r="G17" s="144"/>
      <c r="H17" s="116"/>
      <c r="I17" s="116"/>
      <c r="J17" s="145" t="s">
        <v>290</v>
      </c>
      <c r="K17" s="116"/>
      <c r="L17" s="146" t="s">
        <v>291</v>
      </c>
      <c r="M17" s="147"/>
      <c r="N17" s="148">
        <v>1000.0</v>
      </c>
      <c r="O17" s="116"/>
      <c r="P17" s="125"/>
      <c r="Q17" s="116"/>
      <c r="R17" s="116"/>
      <c r="S17" s="115"/>
      <c r="T17" s="135" t="s">
        <v>292</v>
      </c>
      <c r="U17" s="135" t="str">
        <f>IF(U18&lt;2,"Low",IF(U18&gt;6,"High","Medium"))</f>
        <v>Medium</v>
      </c>
      <c r="V17" s="128"/>
      <c r="W17" s="129"/>
      <c r="X17" s="129"/>
      <c r="Y17" s="129"/>
      <c r="Z17" s="129"/>
      <c r="AA17" s="122"/>
      <c r="AB17" s="122"/>
      <c r="AC17" s="122"/>
    </row>
    <row r="18">
      <c r="A18" s="115" t="s">
        <v>293</v>
      </c>
      <c r="B18" s="116"/>
      <c r="C18" s="116"/>
      <c r="D18" s="116"/>
      <c r="E18" s="116"/>
      <c r="F18" s="130"/>
      <c r="G18" s="144">
        <f t="shared" ref="G18:G20" si="1">J18/$J$21</f>
        <v>0.893278044</v>
      </c>
      <c r="H18" s="116"/>
      <c r="I18" s="115"/>
      <c r="J18" s="149">
        <f>228.1*1077</f>
        <v>245663.7</v>
      </c>
      <c r="K18" s="116" t="s">
        <v>294</v>
      </c>
      <c r="L18" s="116"/>
      <c r="M18" s="116"/>
      <c r="N18" s="116"/>
      <c r="O18" s="116"/>
      <c r="P18" s="150">
        <v>0.6</v>
      </c>
      <c r="Q18" s="115"/>
      <c r="R18" s="115"/>
      <c r="S18" s="115"/>
      <c r="T18" s="135" t="s">
        <v>295</v>
      </c>
      <c r="U18" s="151">
        <f>P18/P13+1-P18</f>
        <v>4.4</v>
      </c>
      <c r="V18" s="128"/>
      <c r="W18" s="129"/>
      <c r="X18" s="122"/>
      <c r="Y18" s="122"/>
      <c r="Z18" s="129"/>
      <c r="AA18" s="122"/>
      <c r="AB18" s="122"/>
      <c r="AC18" s="122"/>
    </row>
    <row r="19">
      <c r="A19" s="115" t="s">
        <v>296</v>
      </c>
      <c r="B19" s="116"/>
      <c r="C19" s="116"/>
      <c r="D19" s="116"/>
      <c r="E19" s="116"/>
      <c r="F19" s="130"/>
      <c r="G19" s="144">
        <f t="shared" si="1"/>
        <v>0.106721956</v>
      </c>
      <c r="H19" s="116"/>
      <c r="I19" s="115"/>
      <c r="J19" s="149">
        <f>BalSht!G28+BalSht!G29+BalSht!G36-BalSht!G9</f>
        <v>29350</v>
      </c>
      <c r="K19" s="116" t="s">
        <v>297</v>
      </c>
      <c r="L19" s="116"/>
      <c r="M19" s="116"/>
      <c r="N19" s="116"/>
      <c r="O19" s="116"/>
      <c r="P19" s="127"/>
      <c r="Q19" s="115"/>
      <c r="R19" s="115"/>
      <c r="S19" s="116"/>
      <c r="T19" s="116"/>
      <c r="U19" s="116"/>
      <c r="V19" s="128"/>
      <c r="W19" s="122"/>
      <c r="X19" s="129"/>
      <c r="Y19" s="129">
        <f>IF(U17="Low",1,IF(U17="Medium",2,3))</f>
        <v>2</v>
      </c>
      <c r="Z19" s="129" t="s">
        <v>298</v>
      </c>
      <c r="AA19" s="122"/>
      <c r="AB19" s="122"/>
      <c r="AC19" s="122"/>
    </row>
    <row r="20">
      <c r="A20" s="115" t="s">
        <v>299</v>
      </c>
      <c r="B20" s="116"/>
      <c r="C20" s="116"/>
      <c r="D20" s="116"/>
      <c r="E20" s="116"/>
      <c r="F20" s="130"/>
      <c r="G20" s="144">
        <f t="shared" si="1"/>
        <v>0</v>
      </c>
      <c r="H20" s="116"/>
      <c r="I20" s="115"/>
      <c r="J20" s="149">
        <v>0.0</v>
      </c>
      <c r="K20" s="116" t="s">
        <v>300</v>
      </c>
      <c r="L20" s="116"/>
      <c r="M20" s="116"/>
      <c r="N20" s="116"/>
      <c r="O20" s="116"/>
      <c r="P20" s="127" t="s">
        <v>301</v>
      </c>
      <c r="Q20" s="115"/>
      <c r="R20" s="115"/>
      <c r="S20" s="115"/>
      <c r="T20" s="115"/>
      <c r="U20" s="115"/>
      <c r="V20" s="128"/>
      <c r="W20" s="129"/>
      <c r="X20" s="129"/>
      <c r="Y20" s="129"/>
      <c r="Z20" s="129"/>
      <c r="AA20" s="122"/>
      <c r="AB20" s="122"/>
      <c r="AC20" s="122"/>
    </row>
    <row r="21" ht="15.75" customHeight="1">
      <c r="A21" s="115" t="s">
        <v>302</v>
      </c>
      <c r="B21" s="116"/>
      <c r="C21" s="116"/>
      <c r="D21" s="116"/>
      <c r="E21" s="116"/>
      <c r="F21" s="130"/>
      <c r="G21" s="152">
        <f>SUM(G18:G20)</f>
        <v>1</v>
      </c>
      <c r="H21" s="116"/>
      <c r="I21" s="115"/>
      <c r="J21" s="153">
        <f>SUM(J18:J20)</f>
        <v>275013.7</v>
      </c>
      <c r="K21" s="116" t="s">
        <v>303</v>
      </c>
      <c r="L21" s="116"/>
      <c r="M21" s="116"/>
      <c r="N21" s="116"/>
      <c r="O21" s="116"/>
      <c r="P21" s="125"/>
      <c r="Q21" s="116"/>
      <c r="R21" s="116"/>
      <c r="S21" s="116"/>
      <c r="T21" s="116"/>
      <c r="U21" s="116"/>
      <c r="V21" s="128"/>
      <c r="W21" s="129"/>
      <c r="X21" s="129"/>
      <c r="Y21" s="129"/>
      <c r="Z21" s="129"/>
      <c r="AA21" s="122"/>
      <c r="AB21" s="122"/>
      <c r="AC21" s="122"/>
    </row>
    <row r="22" ht="15.75" customHeight="1">
      <c r="A22" s="115"/>
      <c r="B22" s="116"/>
      <c r="C22" s="116"/>
      <c r="D22" s="116"/>
      <c r="E22" s="116"/>
      <c r="F22" s="130"/>
      <c r="G22" s="154"/>
      <c r="H22" s="116"/>
      <c r="I22" s="116"/>
      <c r="J22" s="116"/>
      <c r="K22" s="116"/>
      <c r="L22" s="116"/>
      <c r="M22" s="116"/>
      <c r="N22" s="116"/>
      <c r="O22" s="116"/>
      <c r="P22" s="155">
        <v>1.14</v>
      </c>
      <c r="Q22" s="115"/>
      <c r="R22" s="115"/>
      <c r="S22" s="115"/>
      <c r="T22" s="135" t="s">
        <v>304</v>
      </c>
      <c r="U22" s="115" t="str">
        <f>IF(P22&lt;=1.1,"Low",IF(P22&gt;=2,"High","Medium"))</f>
        <v>Medium</v>
      </c>
      <c r="V22" s="128"/>
      <c r="W22" s="129"/>
      <c r="X22" s="129"/>
      <c r="Y22" s="129"/>
      <c r="Z22" s="129"/>
      <c r="AA22" s="122"/>
      <c r="AB22" s="122"/>
      <c r="AC22" s="122"/>
    </row>
    <row r="23" ht="15.75" customHeight="1">
      <c r="A23" s="115" t="s">
        <v>305</v>
      </c>
      <c r="B23" s="116"/>
      <c r="C23" s="116"/>
      <c r="D23" s="116"/>
      <c r="E23" s="116"/>
      <c r="F23" s="130"/>
      <c r="G23" s="140">
        <f>'IS Assumptions'!H45</f>
        <v>0.254</v>
      </c>
      <c r="H23" s="116"/>
      <c r="I23" s="116"/>
      <c r="J23" s="116"/>
      <c r="K23" s="116"/>
      <c r="L23" s="116"/>
      <c r="M23" s="116"/>
      <c r="N23" s="116"/>
      <c r="O23" s="116"/>
      <c r="P23" s="127"/>
      <c r="Q23" s="115"/>
      <c r="R23" s="115"/>
      <c r="S23" s="115"/>
      <c r="T23" s="116"/>
      <c r="U23" s="115"/>
      <c r="V23" s="128"/>
      <c r="W23" s="129"/>
      <c r="X23" s="129"/>
      <c r="Y23" s="129">
        <f>IF(U22="Low",1,IF(U22="Medium",2,3))</f>
        <v>2</v>
      </c>
      <c r="Z23" s="129" t="s">
        <v>306</v>
      </c>
      <c r="AA23" s="122"/>
      <c r="AB23" s="122"/>
      <c r="AC23" s="122"/>
    </row>
    <row r="24" ht="15.75" customHeight="1">
      <c r="A24" s="115"/>
      <c r="B24" s="116"/>
      <c r="C24" s="116"/>
      <c r="D24" s="116"/>
      <c r="E24" s="116"/>
      <c r="F24" s="130"/>
      <c r="G24" s="116"/>
      <c r="H24" s="116"/>
      <c r="I24" s="116"/>
      <c r="J24" s="116"/>
      <c r="K24" s="116"/>
      <c r="L24" s="116"/>
      <c r="M24" s="116"/>
      <c r="N24" s="116"/>
      <c r="O24" s="116"/>
      <c r="P24" s="156" t="s">
        <v>307</v>
      </c>
      <c r="Q24" s="157"/>
      <c r="R24" s="157"/>
      <c r="S24" s="158"/>
      <c r="T24" s="159" t="str">
        <f>IF(Y24&gt;2.5,"Very High",IF(Y24&gt;2.1,"Above Average",IF(Y24&gt;1.5,"Average","Below Average")))</f>
        <v>Average</v>
      </c>
      <c r="U24" s="157"/>
      <c r="V24" s="160"/>
      <c r="W24" s="129"/>
      <c r="X24" s="129"/>
      <c r="Y24" s="129">
        <f>(Y23+Y19+Y9)/3</f>
        <v>2</v>
      </c>
      <c r="Z24" s="129" t="s">
        <v>308</v>
      </c>
      <c r="AA24" s="122"/>
      <c r="AB24" s="122"/>
      <c r="AC24" s="122"/>
    </row>
    <row r="25" ht="15.75" customHeight="1">
      <c r="A25" s="136" t="s">
        <v>309</v>
      </c>
      <c r="B25" s="114"/>
      <c r="C25" s="114"/>
      <c r="D25" s="114"/>
      <c r="E25" s="114"/>
      <c r="F25" s="161"/>
      <c r="G25" s="162">
        <f>G13*G18+G15*(1-G23)*G19+G16*G20</f>
        <v>0.08501266955</v>
      </c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</row>
    <row r="26" ht="15.75" customHeight="1">
      <c r="A26" s="115"/>
      <c r="B26" s="115"/>
      <c r="C26" s="115"/>
      <c r="D26" s="115"/>
      <c r="E26" s="115"/>
      <c r="F26" s="129"/>
      <c r="G26" s="127"/>
      <c r="H26" s="115"/>
      <c r="I26" s="115"/>
      <c r="J26" s="116" t="s">
        <v>310</v>
      </c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</row>
    <row r="27" ht="15.75" customHeight="1">
      <c r="A27" s="115"/>
      <c r="B27" s="115"/>
      <c r="C27" s="115"/>
      <c r="D27" s="115"/>
      <c r="E27" s="115"/>
      <c r="F27" s="129"/>
      <c r="G27" s="115"/>
      <c r="H27" s="115"/>
      <c r="I27" s="115"/>
      <c r="J27" s="116" t="s">
        <v>311</v>
      </c>
      <c r="K27" s="115"/>
      <c r="L27" s="115"/>
      <c r="M27" s="115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</row>
    <row r="28" ht="15.75" customHeight="1">
      <c r="A28" s="163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  <c r="AA28" s="163"/>
      <c r="AB28" s="163"/>
      <c r="AC28" s="163"/>
    </row>
    <row r="29" ht="15.75" customHeight="1">
      <c r="A29" s="163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</row>
    <row r="30" ht="15.75" customHeight="1">
      <c r="A30" s="163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</row>
    <row r="31" ht="15.75" customHeight="1">
      <c r="A31" s="163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</row>
    <row r="32" ht="15.75" customHeight="1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</row>
    <row r="33" ht="15.75" customHeight="1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</row>
    <row r="34" ht="15.75" customHeight="1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</row>
    <row r="35" ht="15.75" customHeight="1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</row>
    <row r="36" ht="15.75" customHeight="1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</row>
    <row r="37" ht="15.75" customHeight="1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</row>
    <row r="38" ht="15.75" customHeight="1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</row>
    <row r="39" ht="15.75" customHeight="1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P9:Q9"/>
    <mergeCell ref="G11:H11"/>
    <mergeCell ref="G14:H14"/>
  </mergeCells>
  <dataValidations>
    <dataValidation type="list" allowBlank="1" showErrorMessage="1" sqref="G12 G17">
      <formula1>"-5%,-4.5%,-4%,-3.5%,-3%,-2.5%,-2%,-1.5%,-1%,-0.5%,0%,0.5%,1%,1.5%,2%,2.5%,3%,3.5%,4%,4.5%,5%,5.5%,6%,6.5%,7%,7.5%,8%,8.5%,9%,9.5%,10%,10.5%,11%,11.5%,12%,12.5%,13%,13.5%,14%,14.5%,15%"</formula1>
    </dataValidation>
    <dataValidation type="list" allowBlank="1" showErrorMessage="1" sqref="G11">
      <formula1>"Below Average,Average,Above Average,Very High"</formula1>
    </dataValidation>
    <dataValidation type="list" allowBlank="1" showErrorMessage="1" sqref="G14">
      <formula1>"Extremely Low,Very Low,Low,Moderate,Above Average,High,Very High"</formula1>
    </dataValidation>
    <dataValidation type="list" allowBlank="1" showErrorMessage="1" sqref="P9">
      <formula1>"Less than 2.5%,Between 2.5% and 10%,More than 10%"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46.14"/>
    <col customWidth="1" min="2" max="2" width="14.86"/>
    <col customWidth="1" min="3" max="3" width="6.29"/>
    <col customWidth="1" min="4" max="26" width="9.14"/>
  </cols>
  <sheetData>
    <row r="1" ht="12.75" customHeight="1">
      <c r="A1" s="164" t="str">
        <f>Contents!A5</f>
        <v>THE HOME DEPOT, INC.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ht="15.0" customHeight="1">
      <c r="A2" s="164" t="s">
        <v>312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</row>
    <row r="3" ht="12.75" customHeight="1">
      <c r="A3" s="165"/>
      <c r="B3" s="165"/>
      <c r="C3" s="165"/>
      <c r="D3" s="165"/>
      <c r="E3" s="164" t="s">
        <v>313</v>
      </c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</row>
    <row r="4" ht="12.75" customHeight="1">
      <c r="A4" s="166" t="s">
        <v>314</v>
      </c>
      <c r="B4" s="167"/>
      <c r="C4" s="168"/>
      <c r="D4" s="165"/>
      <c r="E4" s="165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</row>
    <row r="5" ht="12.75" customHeight="1">
      <c r="A5" s="169" t="s">
        <v>315</v>
      </c>
      <c r="B5" s="170"/>
      <c r="C5" s="171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</row>
    <row r="6" ht="12.75" customHeight="1">
      <c r="A6" s="172" t="s">
        <v>316</v>
      </c>
      <c r="B6" s="173">
        <v>228.1</v>
      </c>
      <c r="C6" s="174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</row>
    <row r="7" ht="12.75" customHeight="1">
      <c r="A7" s="175" t="s">
        <v>317</v>
      </c>
      <c r="B7" s="176">
        <v>111.54</v>
      </c>
      <c r="C7" s="177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</row>
    <row r="8" ht="12.75" customHeight="1">
      <c r="A8" s="175" t="s">
        <v>318</v>
      </c>
      <c r="B8" s="178">
        <v>0.198</v>
      </c>
      <c r="C8" s="177"/>
      <c r="D8" s="165"/>
      <c r="E8" s="165"/>
      <c r="F8" s="165"/>
      <c r="G8" s="165"/>
      <c r="H8" s="165"/>
      <c r="I8" s="165"/>
      <c r="J8" s="165"/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</row>
    <row r="9" ht="12.75" customHeight="1">
      <c r="A9" s="175" t="s">
        <v>319</v>
      </c>
      <c r="B9" s="178">
        <v>0.022</v>
      </c>
      <c r="C9" s="177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</row>
    <row r="10" ht="12.75" customHeight="1">
      <c r="A10" s="175" t="s">
        <v>320</v>
      </c>
      <c r="B10" s="179">
        <v>5.0</v>
      </c>
      <c r="C10" s="177" t="s">
        <v>321</v>
      </c>
      <c r="D10" s="165"/>
      <c r="E10" s="165"/>
      <c r="F10" s="165"/>
      <c r="G10" s="165"/>
      <c r="H10" s="165"/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</row>
    <row r="11" ht="12.75" customHeight="1">
      <c r="A11" s="175" t="s">
        <v>322</v>
      </c>
      <c r="B11" s="178">
        <v>0.029</v>
      </c>
      <c r="C11" s="177"/>
      <c r="D11" s="165"/>
      <c r="E11" s="165"/>
      <c r="F11" s="165"/>
      <c r="G11" s="165"/>
      <c r="H11" s="165"/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</row>
    <row r="12" ht="12.75" customHeight="1">
      <c r="A12" s="175" t="s">
        <v>323</v>
      </c>
      <c r="B12" s="180">
        <v>5212.0</v>
      </c>
      <c r="C12" s="177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</row>
    <row r="13" ht="12.75" customHeight="1">
      <c r="A13" s="175" t="s">
        <v>324</v>
      </c>
      <c r="B13" s="180">
        <v>1077000.0</v>
      </c>
      <c r="C13" s="177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</row>
    <row r="14" ht="12.75" customHeight="1">
      <c r="A14" s="181" t="s">
        <v>325</v>
      </c>
      <c r="B14" s="182">
        <f>'IS Assumptions'!H45</f>
        <v>0.254</v>
      </c>
      <c r="C14" s="183"/>
      <c r="D14" s="165"/>
      <c r="E14" s="165"/>
      <c r="F14" s="165"/>
      <c r="G14" s="165"/>
      <c r="H14" s="165"/>
      <c r="I14" s="16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</row>
    <row r="15" ht="12.75" customHeight="1">
      <c r="A15" s="184" t="s">
        <v>326</v>
      </c>
      <c r="B15" s="185"/>
      <c r="C15" s="186"/>
      <c r="D15" s="165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</row>
    <row r="16" ht="12.75" customHeight="1">
      <c r="A16" s="187"/>
      <c r="B16" s="188"/>
      <c r="C16" s="174"/>
      <c r="D16" s="165"/>
      <c r="E16" s="165"/>
      <c r="F16" s="165"/>
      <c r="G16" s="165"/>
      <c r="H16" s="165"/>
      <c r="I16" s="16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</row>
    <row r="17" ht="12.75" customHeight="1">
      <c r="A17" s="175" t="s">
        <v>327</v>
      </c>
      <c r="B17" s="189">
        <f>(LN((B6*EXP(-B11*B10))/B7)+((B9+((B8)^2)/2)*B10)) / ((B8)*SQRT(B10))</f>
        <v>1.758161206</v>
      </c>
      <c r="C17" s="177"/>
      <c r="D17" s="165"/>
      <c r="E17" s="165"/>
      <c r="F17" s="165"/>
      <c r="G17" s="165"/>
      <c r="H17" s="165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</row>
    <row r="18" ht="12.75" customHeight="1">
      <c r="A18" s="175" t="s">
        <v>328</v>
      </c>
      <c r="B18" s="189">
        <f>B17-B8*SQRT(B10)</f>
        <v>1.315419746</v>
      </c>
      <c r="C18" s="177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</row>
    <row r="19" ht="12.75" customHeight="1">
      <c r="A19" s="175" t="s">
        <v>329</v>
      </c>
      <c r="B19" s="189">
        <f t="shared" ref="B19:B20" si="1">NORMSDIST(B17)</f>
        <v>0.960639958</v>
      </c>
      <c r="C19" s="177"/>
      <c r="D19" s="165"/>
      <c r="E19" s="165"/>
      <c r="F19" s="165"/>
      <c r="G19" s="165"/>
      <c r="H19" s="165"/>
      <c r="I19" s="165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</row>
    <row r="20" ht="12.75" customHeight="1">
      <c r="A20" s="175" t="s">
        <v>330</v>
      </c>
      <c r="B20" s="189">
        <f t="shared" si="1"/>
        <v>0.9058155636</v>
      </c>
      <c r="C20" s="177"/>
      <c r="D20" s="165"/>
      <c r="E20" s="165"/>
      <c r="F20" s="165"/>
      <c r="G20" s="165"/>
      <c r="H20" s="165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</row>
    <row r="21" ht="12.75" customHeight="1">
      <c r="A21" s="187" t="s">
        <v>331</v>
      </c>
      <c r="B21" s="190">
        <f>(B6*EXP(-B11*B10))*B19-B7*EXP(-B9*B10)*B20</f>
        <v>99.03508837</v>
      </c>
      <c r="C21" s="174"/>
      <c r="D21" s="165"/>
      <c r="E21" s="165"/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</row>
    <row r="22" ht="12.75" customHeight="1">
      <c r="A22" s="191" t="s">
        <v>332</v>
      </c>
      <c r="B22" s="192">
        <f>B12*B21</f>
        <v>516170.8806</v>
      </c>
      <c r="C22" s="177"/>
      <c r="D22" s="165"/>
      <c r="E22" s="165"/>
      <c r="F22" s="165"/>
      <c r="G22" s="165"/>
      <c r="H22" s="165"/>
      <c r="I22" s="16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</row>
    <row r="23" ht="12.75" customHeight="1">
      <c r="A23" s="191"/>
      <c r="B23" s="192"/>
      <c r="C23" s="177"/>
      <c r="D23" s="165"/>
      <c r="E23" s="165"/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</row>
    <row r="24" ht="12.75" customHeight="1">
      <c r="A24" s="191" t="s">
        <v>333</v>
      </c>
      <c r="B24" s="193">
        <v>3975.0</v>
      </c>
      <c r="C24" s="177"/>
      <c r="D24" s="165"/>
      <c r="E24" s="165"/>
      <c r="F24" s="165"/>
      <c r="G24" s="165"/>
      <c r="H24" s="165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</row>
    <row r="25" ht="12.75" customHeight="1">
      <c r="A25" s="191" t="s">
        <v>334</v>
      </c>
      <c r="B25" s="192">
        <f>B24*B6</f>
        <v>906697.5</v>
      </c>
      <c r="C25" s="177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</row>
    <row r="26" ht="12.75" customHeight="1">
      <c r="A26" s="191"/>
      <c r="B26" s="192"/>
      <c r="C26" s="177"/>
      <c r="D26" s="165"/>
      <c r="E26" s="165"/>
      <c r="F26" s="165"/>
      <c r="G26" s="165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</row>
    <row r="27" ht="12.75" customHeight="1">
      <c r="A27" s="191" t="s">
        <v>335</v>
      </c>
      <c r="B27" s="192">
        <f>B22+B25</f>
        <v>1422868.381</v>
      </c>
      <c r="C27" s="177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</row>
    <row r="28" ht="12.75" customHeight="1">
      <c r="A28" s="191" t="s">
        <v>336</v>
      </c>
      <c r="B28" s="194">
        <v>379000.0</v>
      </c>
      <c r="C28" s="177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</row>
    <row r="29" ht="12.75" customHeight="1">
      <c r="A29" s="191" t="s">
        <v>337</v>
      </c>
      <c r="B29" s="195">
        <f>B27-B28</f>
        <v>1043868.381</v>
      </c>
      <c r="C29" s="177"/>
      <c r="D29" s="165"/>
      <c r="E29" s="165"/>
      <c r="F29" s="165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</row>
    <row r="30" ht="12.75" customHeight="1">
      <c r="A30" s="196" t="s">
        <v>338</v>
      </c>
      <c r="B30" s="197">
        <f>IF(B28&gt;B27,0,(B27-B28)*(1-B14))</f>
        <v>778725.8119</v>
      </c>
      <c r="C30" s="183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</row>
    <row r="31" ht="12.75" customHeight="1">
      <c r="A31" s="165"/>
      <c r="B31" s="165"/>
      <c r="C31" s="165"/>
      <c r="D31" s="165"/>
      <c r="E31" s="165"/>
      <c r="F31" s="165"/>
      <c r="G31" s="165"/>
      <c r="H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</row>
    <row r="32" ht="12.75" customHeight="1">
      <c r="A32" s="165"/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</row>
    <row r="33" ht="12.75" customHeight="1">
      <c r="A33" s="198" t="s">
        <v>339</v>
      </c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</row>
    <row r="34" ht="12.75" customHeight="1">
      <c r="A34" s="198"/>
      <c r="B34" s="165"/>
      <c r="C34" s="165"/>
      <c r="D34" s="165"/>
      <c r="E34" s="165"/>
      <c r="F34" s="165"/>
      <c r="G34" s="165"/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</row>
    <row r="35" ht="12.75" customHeight="1">
      <c r="A35" s="165" t="s">
        <v>340</v>
      </c>
      <c r="B35" s="165"/>
      <c r="C35" s="165"/>
      <c r="D35" s="165"/>
      <c r="E35" s="165"/>
      <c r="F35" s="165"/>
      <c r="G35" s="165"/>
      <c r="H35" s="165"/>
      <c r="I35" s="16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</row>
    <row r="36" ht="13.5" customHeight="1">
      <c r="A36" s="165" t="s">
        <v>341</v>
      </c>
      <c r="B36" s="165"/>
      <c r="C36" s="165"/>
      <c r="D36" s="165"/>
      <c r="E36" s="165"/>
      <c r="F36" s="165"/>
      <c r="G36" s="165"/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</row>
    <row r="37" ht="12.75" customHeight="1">
      <c r="A37" s="165"/>
      <c r="B37" s="165"/>
      <c r="C37" s="165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</row>
    <row r="38" ht="12.75" customHeight="1">
      <c r="A38" s="165"/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</row>
    <row r="39" ht="12.75" customHeight="1">
      <c r="A39" s="165"/>
      <c r="B39" s="165"/>
      <c r="C39" s="165"/>
      <c r="D39" s="165"/>
      <c r="E39" s="165"/>
      <c r="F39" s="165"/>
      <c r="G39" s="165"/>
      <c r="H39" s="165"/>
      <c r="I39" s="16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</row>
    <row r="40" ht="12.75" customHeight="1">
      <c r="A40" s="165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</row>
    <row r="41" ht="48.0" customHeight="1">
      <c r="A41" s="199" t="s">
        <v>342</v>
      </c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</row>
    <row r="42" ht="12.75" customHeight="1">
      <c r="A42" s="165"/>
      <c r="B42" s="165"/>
      <c r="C42" s="165"/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</row>
    <row r="43" ht="12.75" customHeight="1">
      <c r="A43" s="165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</row>
    <row r="44" ht="12.75" customHeight="1">
      <c r="A44" s="165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</row>
    <row r="45" ht="12.75" customHeight="1">
      <c r="A45" s="165"/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</row>
    <row r="46" ht="12.75" customHeight="1">
      <c r="A46" s="165"/>
      <c r="B46" s="165"/>
      <c r="C46" s="165"/>
      <c r="D46" s="165"/>
      <c r="E46" s="165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</row>
    <row r="47" ht="12.75" customHeight="1">
      <c r="A47" s="165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</row>
    <row r="48" ht="12.75" customHeight="1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</row>
    <row r="49" ht="12.75" customHeight="1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</row>
    <row r="50" ht="12.75" customHeight="1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</row>
    <row r="51" ht="12.75" customHeight="1">
      <c r="A51" s="165"/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</row>
    <row r="52" ht="12.75" customHeight="1">
      <c r="A52" s="165"/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</row>
    <row r="53" ht="12.75" customHeight="1">
      <c r="A53" s="165"/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</row>
    <row r="54" ht="12.75" customHeight="1">
      <c r="A54" s="165"/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</row>
    <row r="55" ht="12.75" customHeight="1">
      <c r="A55" s="165"/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</row>
    <row r="56" ht="12.75" customHeight="1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</row>
    <row r="57" ht="12.75" customHeight="1">
      <c r="A57" s="165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</row>
    <row r="58" ht="12.75" customHeight="1">
      <c r="A58" s="165"/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</row>
    <row r="59" ht="12.75" customHeight="1">
      <c r="A59" s="165"/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</row>
    <row r="60" ht="12.75" customHeight="1">
      <c r="A60" s="165"/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</row>
    <row r="61" ht="12.75" customHeight="1">
      <c r="A61" s="165"/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</row>
    <row r="62" ht="12.75" customHeight="1">
      <c r="A62" s="165"/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</row>
    <row r="63" ht="12.75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</row>
    <row r="64" ht="12.75" customHeight="1">
      <c r="A64" s="165"/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</row>
    <row r="65" ht="12.75" customHeight="1">
      <c r="A65" s="165"/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</row>
    <row r="66" ht="12.75" customHeight="1">
      <c r="A66" s="165"/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</row>
    <row r="67" ht="12.75" customHeight="1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</row>
    <row r="68" ht="12.75" customHeight="1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</row>
    <row r="69" ht="12.75" customHeight="1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</row>
    <row r="70" ht="12.75" customHeight="1">
      <c r="A70" s="165"/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</row>
    <row r="71" ht="12.75" customHeight="1">
      <c r="A71" s="165"/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</row>
    <row r="72" ht="12.75" customHeight="1">
      <c r="A72" s="165"/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</row>
    <row r="73" ht="12.75" customHeight="1">
      <c r="A73" s="165"/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</row>
    <row r="74" ht="12.75" customHeight="1">
      <c r="A74" s="165"/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</row>
    <row r="75" ht="12.75" customHeight="1">
      <c r="A75" s="165"/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</row>
    <row r="76" ht="12.75" customHeight="1">
      <c r="A76" s="165"/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</row>
    <row r="77" ht="12.75" customHeight="1">
      <c r="A77" s="165"/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</row>
    <row r="78" ht="12.75" customHeight="1">
      <c r="A78" s="165"/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</row>
    <row r="79" ht="12.75" customHeight="1">
      <c r="A79" s="165"/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</row>
    <row r="80" ht="12.75" customHeight="1">
      <c r="A80" s="165"/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</row>
    <row r="81" ht="12.75" customHeight="1">
      <c r="A81" s="165"/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</row>
    <row r="82" ht="12.75" customHeight="1">
      <c r="A82" s="165"/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</row>
    <row r="83" ht="12.75" customHeight="1">
      <c r="A83" s="165"/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</row>
    <row r="84" ht="12.75" customHeight="1">
      <c r="A84" s="165"/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</row>
    <row r="85" ht="12.75" customHeight="1">
      <c r="A85" s="165"/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</row>
    <row r="86" ht="12.75" customHeight="1">
      <c r="A86" s="165"/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</row>
    <row r="87" ht="12.75" customHeight="1">
      <c r="A87" s="165"/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</row>
    <row r="88" ht="12.75" customHeight="1">
      <c r="A88" s="165"/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</row>
    <row r="89" ht="12.75" customHeight="1">
      <c r="A89" s="165"/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</row>
    <row r="90" ht="12.75" customHeight="1">
      <c r="A90" s="165"/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</row>
    <row r="91" ht="12.75" customHeight="1">
      <c r="A91" s="165"/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</row>
    <row r="92" ht="12.75" customHeight="1">
      <c r="A92" s="165"/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</row>
    <row r="93" ht="12.75" customHeight="1">
      <c r="A93" s="165"/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</row>
    <row r="94" ht="12.75" customHeight="1">
      <c r="A94" s="165"/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</row>
    <row r="95" ht="12.75" customHeight="1">
      <c r="A95" s="165"/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</row>
    <row r="96" ht="12.75" customHeight="1">
      <c r="A96" s="165"/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</row>
    <row r="97" ht="12.75" customHeight="1">
      <c r="A97" s="165"/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</row>
    <row r="98" ht="12.75" customHeight="1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</row>
    <row r="99" ht="12.75" customHeight="1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</row>
    <row r="100" ht="12.75" customHeight="1">
      <c r="A100" s="165"/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</row>
    <row r="101" ht="12.75" customHeight="1">
      <c r="A101" s="165"/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</row>
    <row r="102" ht="12.75" customHeight="1">
      <c r="A102" s="165"/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</row>
    <row r="103" ht="12.75" customHeight="1">
      <c r="A103" s="165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</row>
    <row r="104" ht="12.75" customHeight="1">
      <c r="A104" s="165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</row>
    <row r="105" ht="12.75" customHeight="1">
      <c r="A105" s="165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</row>
    <row r="106" ht="12.75" customHeight="1">
      <c r="A106" s="165"/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</row>
    <row r="107" ht="12.75" customHeight="1">
      <c r="A107" s="165"/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</row>
    <row r="108" ht="12.75" customHeight="1">
      <c r="A108" s="165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</row>
    <row r="109" ht="12.75" customHeight="1">
      <c r="A109" s="165"/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</row>
    <row r="110" ht="12.75" customHeight="1">
      <c r="A110" s="165"/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</row>
    <row r="111" ht="12.75" customHeight="1">
      <c r="A111" s="165"/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</row>
    <row r="112" ht="12.75" customHeight="1">
      <c r="A112" s="165"/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</row>
    <row r="113" ht="12.75" customHeight="1">
      <c r="A113" s="165"/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</row>
    <row r="114" ht="12.75" customHeight="1">
      <c r="A114" s="165"/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</row>
    <row r="115" ht="12.75" customHeight="1">
      <c r="A115" s="165"/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</row>
    <row r="116" ht="12.7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</row>
    <row r="117" ht="12.75" customHeight="1">
      <c r="A117" s="165"/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</row>
    <row r="118" ht="12.75" customHeight="1">
      <c r="A118" s="165"/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</row>
    <row r="119" ht="12.75" customHeight="1">
      <c r="A119" s="165"/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</row>
    <row r="120" ht="12.75" customHeight="1">
      <c r="A120" s="165"/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</row>
    <row r="121" ht="12.75" customHeight="1">
      <c r="A121" s="165"/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</row>
    <row r="122" ht="12.75" customHeight="1">
      <c r="A122" s="165"/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</row>
    <row r="123" ht="12.75" customHeight="1">
      <c r="A123" s="165"/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</row>
    <row r="124" ht="12.75" customHeight="1">
      <c r="A124" s="165"/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</row>
    <row r="125" ht="12.75" customHeight="1">
      <c r="A125" s="165"/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</row>
    <row r="126" ht="12.75" customHeight="1">
      <c r="A126" s="165"/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</row>
    <row r="127" ht="12.75" customHeight="1">
      <c r="A127" s="165"/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</row>
    <row r="128" ht="12.75" customHeight="1">
      <c r="A128" s="165"/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</row>
    <row r="129" ht="12.75" customHeight="1">
      <c r="A129" s="165"/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</row>
    <row r="130" ht="12.75" customHeight="1">
      <c r="A130" s="165"/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</row>
    <row r="131" ht="12.75" customHeight="1">
      <c r="A131" s="165"/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</row>
    <row r="132" ht="12.75" customHeight="1">
      <c r="A132" s="165"/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</row>
    <row r="133" ht="12.75" customHeight="1">
      <c r="A133" s="165"/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</row>
    <row r="134" ht="12.75" customHeight="1">
      <c r="A134" s="165"/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</row>
    <row r="135" ht="12.75" customHeight="1">
      <c r="A135" s="165"/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</row>
    <row r="136" ht="12.75" customHeight="1">
      <c r="A136" s="165"/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</row>
    <row r="137" ht="12.75" customHeight="1">
      <c r="A137" s="165"/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</row>
    <row r="138" ht="12.75" customHeight="1">
      <c r="A138" s="165"/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</row>
    <row r="139" ht="12.75" customHeight="1">
      <c r="A139" s="165"/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</row>
    <row r="140" ht="12.75" customHeight="1">
      <c r="A140" s="165"/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</row>
    <row r="141" ht="12.75" customHeight="1">
      <c r="A141" s="165"/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</row>
    <row r="142" ht="12.75" customHeight="1">
      <c r="A142" s="165"/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</row>
    <row r="143" ht="12.75" customHeight="1">
      <c r="A143" s="165"/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</row>
    <row r="144" ht="12.75" customHeight="1">
      <c r="A144" s="165"/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</row>
    <row r="145" ht="12.75" customHeight="1">
      <c r="A145" s="165"/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</row>
    <row r="146" ht="12.75" customHeight="1">
      <c r="A146" s="165"/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</row>
    <row r="147" ht="12.75" customHeight="1">
      <c r="A147" s="165"/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</row>
    <row r="148" ht="12.75" customHeight="1">
      <c r="A148" s="165"/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</row>
    <row r="149" ht="12.75" customHeight="1">
      <c r="A149" s="165"/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</row>
    <row r="150" ht="12.75" customHeight="1">
      <c r="A150" s="165"/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</row>
    <row r="151" ht="12.75" customHeight="1">
      <c r="A151" s="165"/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</row>
    <row r="152" ht="12.75" customHeight="1">
      <c r="A152" s="165"/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</row>
    <row r="153" ht="12.75" customHeight="1">
      <c r="A153" s="165"/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</row>
    <row r="154" ht="12.75" customHeight="1">
      <c r="A154" s="165"/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</row>
    <row r="155" ht="12.75" customHeight="1">
      <c r="A155" s="165"/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</row>
    <row r="156" ht="12.75" customHeight="1">
      <c r="A156" s="165"/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</row>
    <row r="157" ht="12.75" customHeight="1">
      <c r="A157" s="165"/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</row>
    <row r="158" ht="12.75" customHeight="1">
      <c r="A158" s="165"/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</row>
    <row r="159" ht="12.75" customHeight="1">
      <c r="A159" s="165"/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</row>
    <row r="160" ht="12.75" customHeight="1">
      <c r="A160" s="165"/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</row>
    <row r="161" ht="12.75" customHeight="1">
      <c r="A161" s="165"/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</row>
    <row r="162" ht="12.75" customHeight="1">
      <c r="A162" s="165"/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</row>
    <row r="163" ht="12.75" customHeight="1">
      <c r="A163" s="165"/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</row>
    <row r="164" ht="12.75" customHeight="1">
      <c r="A164" s="165"/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</row>
    <row r="165" ht="12.75" customHeight="1">
      <c r="A165" s="165"/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</row>
    <row r="166" ht="12.75" customHeight="1">
      <c r="A166" s="165"/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</row>
    <row r="167" ht="12.75" customHeight="1">
      <c r="A167" s="165"/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</row>
    <row r="168" ht="12.75" customHeight="1">
      <c r="A168" s="165"/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</row>
    <row r="169" ht="12.75" customHeight="1">
      <c r="A169" s="165"/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</row>
    <row r="170" ht="12.75" customHeight="1">
      <c r="A170" s="165"/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</row>
    <row r="171" ht="12.75" customHeight="1">
      <c r="A171" s="165"/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</row>
    <row r="172" ht="12.75" customHeight="1">
      <c r="A172" s="165"/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</row>
    <row r="173" ht="12.75" customHeight="1">
      <c r="A173" s="165"/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</row>
    <row r="174" ht="12.75" customHeight="1">
      <c r="A174" s="165"/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</row>
    <row r="175" ht="12.75" customHeight="1">
      <c r="A175" s="165"/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</row>
    <row r="176" ht="12.75" customHeight="1">
      <c r="A176" s="165"/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</row>
    <row r="177" ht="12.75" customHeight="1">
      <c r="A177" s="165"/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</row>
    <row r="178" ht="12.75" customHeight="1">
      <c r="A178" s="165"/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</row>
    <row r="179" ht="12.75" customHeight="1">
      <c r="A179" s="165"/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</row>
    <row r="180" ht="12.75" customHeight="1">
      <c r="A180" s="165"/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</row>
    <row r="181" ht="12.75" customHeight="1">
      <c r="A181" s="165"/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</row>
    <row r="182" ht="12.75" customHeight="1">
      <c r="A182" s="165"/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</row>
    <row r="183" ht="12.75" customHeight="1">
      <c r="A183" s="165"/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</row>
    <row r="184" ht="12.75" customHeight="1">
      <c r="A184" s="165"/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</row>
    <row r="185" ht="12.75" customHeight="1">
      <c r="A185" s="165"/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</row>
    <row r="186" ht="12.75" customHeight="1">
      <c r="A186" s="165"/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</row>
    <row r="187" ht="12.75" customHeight="1">
      <c r="A187" s="165"/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</row>
    <row r="188" ht="12.75" customHeight="1">
      <c r="A188" s="165"/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</row>
    <row r="189" ht="12.75" customHeight="1">
      <c r="A189" s="165"/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</row>
    <row r="190" ht="12.75" customHeight="1">
      <c r="A190" s="165"/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</row>
    <row r="191" ht="12.75" customHeight="1">
      <c r="A191" s="165"/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</row>
    <row r="192" ht="12.75" customHeight="1">
      <c r="A192" s="165"/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</row>
    <row r="193" ht="12.75" customHeight="1">
      <c r="A193" s="165"/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</row>
    <row r="194" ht="12.75" customHeight="1">
      <c r="A194" s="165"/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</row>
    <row r="195" ht="12.75" customHeight="1">
      <c r="A195" s="165"/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</row>
    <row r="196" ht="12.75" customHeight="1">
      <c r="A196" s="165"/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</row>
    <row r="197" ht="12.75" customHeight="1">
      <c r="A197" s="165"/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</row>
    <row r="198" ht="12.75" customHeight="1">
      <c r="A198" s="165"/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</row>
    <row r="199" ht="12.75" customHeight="1">
      <c r="A199" s="165"/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</row>
    <row r="200" ht="12.75" customHeight="1">
      <c r="A200" s="165"/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</row>
    <row r="201" ht="12.75" customHeight="1">
      <c r="A201" s="165"/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</row>
    <row r="202" ht="12.75" customHeight="1">
      <c r="A202" s="165"/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</row>
    <row r="203" ht="12.75" customHeight="1">
      <c r="A203" s="165"/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</row>
    <row r="204" ht="12.75" customHeight="1">
      <c r="A204" s="165"/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</row>
    <row r="205" ht="12.75" customHeight="1">
      <c r="A205" s="165"/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</row>
    <row r="206" ht="12.75" customHeight="1">
      <c r="A206" s="165"/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</row>
    <row r="207" ht="12.75" customHeight="1">
      <c r="A207" s="165"/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</row>
    <row r="208" ht="12.75" customHeight="1">
      <c r="A208" s="165"/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</row>
    <row r="209" ht="12.75" customHeight="1">
      <c r="A209" s="165"/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</row>
    <row r="210" ht="12.75" customHeight="1">
      <c r="A210" s="165"/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</row>
    <row r="211" ht="12.75" customHeight="1">
      <c r="A211" s="165"/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</row>
    <row r="212" ht="12.75" customHeight="1">
      <c r="A212" s="165"/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</row>
    <row r="213" ht="12.75" customHeight="1">
      <c r="A213" s="165"/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</row>
    <row r="214" ht="12.75" customHeight="1">
      <c r="A214" s="165"/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</row>
    <row r="215" ht="12.75" customHeight="1">
      <c r="A215" s="165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</row>
    <row r="216" ht="12.75" customHeight="1">
      <c r="A216" s="165"/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</row>
    <row r="217" ht="12.75" customHeight="1">
      <c r="A217" s="165"/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</row>
    <row r="218" ht="12.75" customHeight="1">
      <c r="A218" s="165"/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</row>
    <row r="219" ht="12.75" customHeight="1">
      <c r="A219" s="165"/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</row>
    <row r="220" ht="12.75" customHeight="1">
      <c r="A220" s="165"/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</row>
    <row r="221" ht="12.7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</row>
    <row r="222" ht="12.75" customHeight="1">
      <c r="A222" s="165"/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</row>
    <row r="223" ht="12.75" customHeight="1">
      <c r="A223" s="165"/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</row>
    <row r="224" ht="12.75" customHeight="1">
      <c r="A224" s="165"/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</row>
    <row r="225" ht="12.75" customHeight="1">
      <c r="A225" s="165"/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</row>
    <row r="226" ht="12.75" customHeight="1">
      <c r="A226" s="165"/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</row>
    <row r="227" ht="12.75" customHeight="1">
      <c r="A227" s="165"/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</row>
    <row r="228" ht="12.75" customHeight="1">
      <c r="A228" s="165"/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</row>
    <row r="229" ht="12.75" customHeight="1">
      <c r="A229" s="165"/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</row>
    <row r="230" ht="12.75" customHeight="1">
      <c r="A230" s="165"/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</row>
    <row r="231" ht="12.75" customHeight="1">
      <c r="A231" s="165"/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</row>
    <row r="232" ht="12.75" customHeight="1">
      <c r="A232" s="165"/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</row>
    <row r="233" ht="12.75" customHeight="1">
      <c r="A233" s="165"/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</row>
    <row r="234" ht="12.75" customHeight="1">
      <c r="A234" s="165"/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</row>
    <row r="235" ht="12.75" customHeight="1">
      <c r="A235" s="165"/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</row>
    <row r="236" ht="12.75" customHeight="1">
      <c r="A236" s="165"/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</row>
    <row r="237" ht="12.75" customHeight="1">
      <c r="A237" s="165"/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</row>
    <row r="238" ht="12.75" customHeight="1">
      <c r="A238" s="165"/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</row>
    <row r="239" ht="12.75" customHeight="1">
      <c r="A239" s="165"/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</row>
    <row r="240" ht="12.75" customHeight="1">
      <c r="A240" s="165"/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</row>
    <row r="241" ht="12.75" customHeight="1">
      <c r="A241" s="165"/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</row>
    <row r="242" ht="12.75" customHeight="1">
      <c r="A242" s="165"/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</row>
    <row r="243" ht="12.75" customHeight="1">
      <c r="A243" s="165"/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</row>
    <row r="244" ht="12.75" customHeight="1">
      <c r="A244" s="165"/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</row>
    <row r="245" ht="12.75" customHeight="1">
      <c r="A245" s="165"/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</row>
    <row r="246" ht="12.75" customHeight="1">
      <c r="A246" s="165"/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</row>
    <row r="247" ht="12.75" customHeight="1">
      <c r="A247" s="165"/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</row>
    <row r="248" ht="12.75" customHeight="1">
      <c r="A248" s="165"/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</row>
    <row r="249" ht="12.75" customHeight="1">
      <c r="A249" s="165"/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</row>
    <row r="250" ht="12.75" customHeight="1">
      <c r="A250" s="165"/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</row>
    <row r="251" ht="12.75" customHeight="1">
      <c r="A251" s="165"/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</row>
    <row r="252" ht="12.75" customHeight="1">
      <c r="A252" s="165"/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</row>
    <row r="253" ht="12.75" customHeight="1">
      <c r="A253" s="165"/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</row>
    <row r="254" ht="12.75" customHeight="1">
      <c r="A254" s="165"/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</row>
    <row r="255" ht="12.75" customHeight="1">
      <c r="A255" s="165"/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</row>
    <row r="256" ht="12.75" customHeight="1">
      <c r="A256" s="165"/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</row>
    <row r="257" ht="12.75" customHeight="1">
      <c r="A257" s="165"/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</row>
    <row r="258" ht="12.75" customHeight="1">
      <c r="A258" s="165"/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</row>
    <row r="259" ht="12.75" customHeight="1">
      <c r="A259" s="165"/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</row>
    <row r="260" ht="12.75" customHeight="1">
      <c r="A260" s="165"/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</row>
    <row r="261" ht="12.75" customHeight="1">
      <c r="A261" s="165"/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</row>
    <row r="262" ht="12.75" customHeight="1">
      <c r="A262" s="165"/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</row>
    <row r="263" ht="12.75" customHeight="1">
      <c r="A263" s="165"/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</row>
    <row r="264" ht="12.75" customHeight="1">
      <c r="A264" s="165"/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</row>
    <row r="265" ht="12.75" customHeight="1">
      <c r="A265" s="165"/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</row>
    <row r="266" ht="12.75" customHeight="1">
      <c r="A266" s="165"/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</row>
    <row r="267" ht="12.75" customHeight="1">
      <c r="A267" s="165"/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</row>
    <row r="268" ht="12.75" customHeight="1">
      <c r="A268" s="165"/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</row>
    <row r="269" ht="12.75" customHeight="1">
      <c r="A269" s="165"/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</row>
    <row r="270" ht="12.7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</row>
    <row r="271" ht="12.75" customHeight="1">
      <c r="A271" s="165"/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</row>
    <row r="272" ht="12.75" customHeight="1">
      <c r="A272" s="165"/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</row>
    <row r="273" ht="12.75" customHeight="1">
      <c r="A273" s="165"/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</row>
    <row r="274" ht="12.75" customHeight="1">
      <c r="A274" s="165"/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</row>
    <row r="275" ht="12.75" customHeight="1">
      <c r="A275" s="165"/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</row>
    <row r="276" ht="12.75" customHeight="1">
      <c r="A276" s="165"/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</row>
    <row r="277" ht="12.75" customHeight="1">
      <c r="A277" s="165"/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</row>
    <row r="278" ht="12.75" customHeight="1">
      <c r="A278" s="165"/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</row>
    <row r="279" ht="12.75" customHeight="1">
      <c r="A279" s="165"/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</row>
    <row r="280" ht="12.75" customHeight="1">
      <c r="A280" s="165"/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</row>
    <row r="281" ht="12.75" customHeight="1">
      <c r="A281" s="165"/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</row>
    <row r="282" ht="12.75" customHeight="1">
      <c r="A282" s="165"/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</row>
    <row r="283" ht="12.75" customHeight="1">
      <c r="A283" s="165"/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</row>
    <row r="284" ht="12.75" customHeight="1">
      <c r="A284" s="165"/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</row>
    <row r="285" ht="12.75" customHeight="1">
      <c r="A285" s="165"/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</row>
    <row r="286" ht="12.75" customHeight="1">
      <c r="A286" s="165"/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</row>
    <row r="287" ht="12.75" customHeight="1">
      <c r="A287" s="165"/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</row>
    <row r="288" ht="12.75" customHeight="1">
      <c r="A288" s="165"/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</row>
    <row r="289" ht="12.75" customHeight="1">
      <c r="A289" s="165"/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</row>
    <row r="290" ht="12.75" customHeight="1">
      <c r="A290" s="165"/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</row>
    <row r="291" ht="12.75" customHeight="1">
      <c r="A291" s="165"/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</row>
    <row r="292" ht="12.75" customHeight="1">
      <c r="A292" s="165"/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</row>
    <row r="293" ht="12.75" customHeight="1">
      <c r="A293" s="165"/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</row>
    <row r="294" ht="12.75" customHeight="1">
      <c r="A294" s="165"/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</row>
    <row r="295" ht="12.75" customHeight="1">
      <c r="A295" s="165"/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</row>
    <row r="296" ht="12.75" customHeight="1">
      <c r="A296" s="165"/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</row>
    <row r="297" ht="12.75" customHeight="1">
      <c r="A297" s="165"/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</row>
    <row r="298" ht="12.75" customHeight="1">
      <c r="A298" s="165"/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</row>
    <row r="299" ht="12.75" customHeight="1">
      <c r="A299" s="165"/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</row>
    <row r="300" ht="12.75" customHeight="1">
      <c r="A300" s="165"/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</row>
    <row r="301" ht="12.75" customHeight="1">
      <c r="A301" s="165"/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</row>
    <row r="302" ht="12.75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</row>
    <row r="303" ht="12.7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</row>
    <row r="304" ht="12.75" customHeight="1">
      <c r="A304" s="165"/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</row>
    <row r="305" ht="12.75" customHeight="1">
      <c r="A305" s="165"/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</row>
    <row r="306" ht="12.75" customHeight="1">
      <c r="A306" s="165"/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</row>
    <row r="307" ht="12.75" customHeight="1">
      <c r="A307" s="165"/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</row>
    <row r="308" ht="12.75" customHeight="1">
      <c r="A308" s="165"/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</row>
    <row r="309" ht="12.75" customHeight="1">
      <c r="A309" s="165"/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</row>
    <row r="310" ht="12.75" customHeight="1">
      <c r="A310" s="165"/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</row>
    <row r="311" ht="12.75" customHeight="1">
      <c r="A311" s="165"/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</row>
    <row r="312" ht="12.75" customHeight="1">
      <c r="A312" s="165"/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</row>
    <row r="313" ht="12.75" customHeight="1">
      <c r="A313" s="165"/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</row>
    <row r="314" ht="12.75" customHeight="1">
      <c r="A314" s="165"/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</row>
    <row r="315" ht="12.75" customHeight="1">
      <c r="A315" s="165"/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</row>
    <row r="316" ht="12.75" customHeight="1">
      <c r="A316" s="165"/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</row>
    <row r="317" ht="12.75" customHeight="1">
      <c r="A317" s="165"/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</row>
    <row r="318" ht="12.75" customHeight="1">
      <c r="A318" s="165"/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</row>
    <row r="319" ht="12.75" customHeight="1">
      <c r="A319" s="165"/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</row>
    <row r="320" ht="12.75" customHeight="1">
      <c r="A320" s="165"/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</row>
    <row r="321" ht="12.75" customHeight="1">
      <c r="A321" s="165"/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</row>
    <row r="322" ht="12.75" customHeight="1">
      <c r="A322" s="165"/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</row>
    <row r="323" ht="12.75" customHeight="1">
      <c r="A323" s="165"/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</row>
    <row r="324" ht="12.75" customHeight="1">
      <c r="A324" s="165"/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</row>
    <row r="325" ht="12.75" customHeight="1">
      <c r="A325" s="165"/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</row>
    <row r="326" ht="12.75" customHeight="1">
      <c r="A326" s="165"/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</row>
    <row r="327" ht="12.75" customHeight="1">
      <c r="A327" s="165"/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</row>
    <row r="328" ht="12.75" customHeight="1">
      <c r="A328" s="165"/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</row>
    <row r="329" ht="12.75" customHeight="1">
      <c r="A329" s="165"/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</row>
    <row r="330" ht="12.75" customHeight="1">
      <c r="A330" s="165"/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</row>
    <row r="331" ht="12.75" customHeight="1">
      <c r="A331" s="165"/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</row>
    <row r="332" ht="12.75" customHeight="1">
      <c r="A332" s="165"/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</row>
    <row r="333" ht="12.75" customHeight="1">
      <c r="A333" s="165"/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</row>
    <row r="334" ht="12.75" customHeight="1">
      <c r="A334" s="165"/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</row>
    <row r="335" ht="12.75" customHeight="1">
      <c r="A335" s="165"/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</row>
    <row r="336" ht="12.75" customHeight="1">
      <c r="A336" s="165"/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</row>
    <row r="337" ht="12.75" customHeight="1">
      <c r="A337" s="165"/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</row>
    <row r="338" ht="12.75" customHeight="1">
      <c r="A338" s="165"/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</row>
    <row r="339" ht="12.75" customHeight="1">
      <c r="A339" s="165"/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</row>
    <row r="340" ht="12.75" customHeight="1">
      <c r="A340" s="165"/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</row>
    <row r="341" ht="12.75" customHeight="1">
      <c r="A341" s="165"/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</row>
    <row r="342" ht="12.75" customHeight="1">
      <c r="A342" s="165"/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</row>
    <row r="343" ht="12.75" customHeight="1">
      <c r="A343" s="165"/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</row>
    <row r="344" ht="12.75" customHeight="1">
      <c r="A344" s="165"/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</row>
    <row r="345" ht="12.75" customHeight="1">
      <c r="A345" s="165"/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</row>
    <row r="346" ht="12.75" customHeight="1">
      <c r="A346" s="165"/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</row>
    <row r="347" ht="12.75" customHeight="1">
      <c r="A347" s="165"/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</row>
    <row r="348" ht="12.75" customHeight="1">
      <c r="A348" s="165"/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</row>
    <row r="349" ht="12.75" customHeight="1">
      <c r="A349" s="165"/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</row>
    <row r="350" ht="12.75" customHeight="1">
      <c r="A350" s="165"/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</row>
    <row r="351" ht="12.75" customHeight="1">
      <c r="A351" s="165"/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</row>
    <row r="352" ht="12.75" customHeight="1">
      <c r="A352" s="165"/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</row>
    <row r="353" ht="12.75" customHeight="1">
      <c r="A353" s="165"/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</row>
    <row r="354" ht="12.75" customHeight="1">
      <c r="A354" s="165"/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</row>
    <row r="355" ht="12.75" customHeight="1">
      <c r="A355" s="165"/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</row>
    <row r="356" ht="12.75" customHeight="1">
      <c r="A356" s="165"/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</row>
    <row r="357" ht="12.75" customHeight="1">
      <c r="A357" s="165"/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</row>
    <row r="358" ht="12.75" customHeight="1">
      <c r="A358" s="165"/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</row>
    <row r="359" ht="12.75" customHeight="1">
      <c r="A359" s="165"/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</row>
    <row r="360" ht="12.75" customHeight="1">
      <c r="A360" s="165"/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</row>
    <row r="361" ht="12.75" customHeight="1">
      <c r="A361" s="165"/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</row>
    <row r="362" ht="12.75" customHeight="1">
      <c r="A362" s="165"/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</row>
    <row r="363" ht="12.75" customHeight="1">
      <c r="A363" s="165"/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</row>
    <row r="364" ht="12.75" customHeight="1">
      <c r="A364" s="165"/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</row>
    <row r="365" ht="12.75" customHeight="1">
      <c r="A365" s="165"/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</row>
    <row r="366" ht="12.75" customHeight="1">
      <c r="A366" s="165"/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</row>
    <row r="367" ht="12.75" customHeight="1">
      <c r="A367" s="165"/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</row>
    <row r="368" ht="12.75" customHeight="1">
      <c r="A368" s="165"/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</row>
    <row r="369" ht="12.75" customHeight="1">
      <c r="A369" s="165"/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</row>
    <row r="370" ht="12.75" customHeight="1">
      <c r="A370" s="165"/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</row>
    <row r="371" ht="12.75" customHeight="1">
      <c r="A371" s="165"/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</row>
    <row r="372" ht="12.75" customHeight="1">
      <c r="A372" s="165"/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</row>
    <row r="373" ht="12.75" customHeight="1">
      <c r="A373" s="165"/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</row>
    <row r="374" ht="12.75" customHeight="1">
      <c r="A374" s="165"/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</row>
    <row r="375" ht="12.75" customHeight="1">
      <c r="A375" s="165"/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</row>
    <row r="376" ht="12.75" customHeight="1">
      <c r="A376" s="165"/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</row>
    <row r="377" ht="12.75" customHeight="1">
      <c r="A377" s="165"/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</row>
    <row r="378" ht="12.75" customHeight="1">
      <c r="A378" s="165"/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</row>
    <row r="379" ht="12.75" customHeight="1">
      <c r="A379" s="165"/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</row>
    <row r="380" ht="12.75" customHeight="1">
      <c r="A380" s="165"/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</row>
    <row r="381" ht="12.75" customHeight="1">
      <c r="A381" s="165"/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</row>
    <row r="382" ht="12.75" customHeight="1">
      <c r="A382" s="165"/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</row>
    <row r="383" ht="12.75" customHeight="1">
      <c r="A383" s="165"/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</row>
    <row r="384" ht="12.75" customHeight="1">
      <c r="A384" s="165"/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</row>
    <row r="385" ht="12.75" customHeight="1">
      <c r="A385" s="165"/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</row>
    <row r="386" ht="12.75" customHeight="1">
      <c r="A386" s="165"/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</row>
    <row r="387" ht="12.75" customHeight="1">
      <c r="A387" s="165"/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</row>
    <row r="388" ht="12.75" customHeight="1">
      <c r="A388" s="165"/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</row>
    <row r="389" ht="12.75" customHeight="1">
      <c r="A389" s="165"/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</row>
    <row r="390" ht="12.75" customHeight="1">
      <c r="A390" s="165"/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</row>
    <row r="391" ht="12.75" customHeight="1">
      <c r="A391" s="165"/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</row>
    <row r="392" ht="12.75" customHeight="1">
      <c r="A392" s="165"/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</row>
    <row r="393" ht="12.75" customHeight="1">
      <c r="A393" s="165"/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</row>
    <row r="394" ht="12.75" customHeight="1">
      <c r="A394" s="165"/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</row>
    <row r="395" ht="12.75" customHeight="1">
      <c r="A395" s="165"/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</row>
    <row r="396" ht="12.75" customHeight="1">
      <c r="A396" s="165"/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</row>
    <row r="397" ht="12.75" customHeight="1">
      <c r="A397" s="165"/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</row>
    <row r="398" ht="12.75" customHeight="1">
      <c r="A398" s="165"/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</row>
    <row r="399" ht="12.75" customHeight="1">
      <c r="A399" s="165"/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</row>
    <row r="400" ht="12.75" customHeight="1">
      <c r="A400" s="165"/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</row>
    <row r="401" ht="12.75" customHeight="1">
      <c r="A401" s="165"/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</row>
    <row r="402" ht="12.75" customHeight="1">
      <c r="A402" s="165"/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</row>
    <row r="403" ht="12.75" customHeight="1">
      <c r="A403" s="165"/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</row>
    <row r="404" ht="12.75" customHeight="1">
      <c r="A404" s="165"/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</row>
    <row r="405" ht="12.75" customHeight="1">
      <c r="A405" s="165"/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</row>
    <row r="406" ht="12.75" customHeight="1">
      <c r="A406" s="165"/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</row>
    <row r="407" ht="12.75" customHeight="1">
      <c r="A407" s="165"/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</row>
    <row r="408" ht="12.75" customHeight="1">
      <c r="A408" s="165"/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</row>
    <row r="409" ht="12.75" customHeight="1">
      <c r="A409" s="165"/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</row>
    <row r="410" ht="12.75" customHeight="1">
      <c r="A410" s="165"/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</row>
    <row r="411" ht="12.75" customHeight="1">
      <c r="A411" s="165"/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</row>
    <row r="412" ht="12.75" customHeight="1">
      <c r="A412" s="165"/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</row>
    <row r="413" ht="12.75" customHeight="1">
      <c r="A413" s="165"/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</row>
    <row r="414" ht="12.75" customHeight="1">
      <c r="A414" s="165"/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</row>
    <row r="415" ht="12.75" customHeight="1">
      <c r="A415" s="165"/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</row>
    <row r="416" ht="12.75" customHeight="1">
      <c r="A416" s="165"/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</row>
    <row r="417" ht="12.75" customHeight="1">
      <c r="A417" s="165"/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</row>
    <row r="418" ht="12.75" customHeight="1">
      <c r="A418" s="165"/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</row>
    <row r="419" ht="12.75" customHeight="1">
      <c r="A419" s="165"/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</row>
    <row r="420" ht="12.75" customHeight="1">
      <c r="A420" s="165"/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</row>
    <row r="421" ht="12.75" customHeight="1">
      <c r="A421" s="165"/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</row>
    <row r="422" ht="12.75" customHeight="1">
      <c r="A422" s="165"/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</row>
    <row r="423" ht="12.75" customHeight="1">
      <c r="A423" s="165"/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</row>
    <row r="424" ht="12.75" customHeight="1">
      <c r="A424" s="165"/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</row>
    <row r="425" ht="12.75" customHeight="1">
      <c r="A425" s="165"/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</row>
    <row r="426" ht="12.75" customHeight="1">
      <c r="A426" s="165"/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</row>
    <row r="427" ht="12.75" customHeight="1">
      <c r="A427" s="165"/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</row>
    <row r="428" ht="12.75" customHeight="1">
      <c r="A428" s="165"/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</row>
    <row r="429" ht="12.75" customHeight="1">
      <c r="A429" s="165"/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</row>
    <row r="430" ht="12.75" customHeight="1">
      <c r="A430" s="165"/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</row>
    <row r="431" ht="12.75" customHeight="1">
      <c r="A431" s="165"/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</row>
    <row r="432" ht="12.75" customHeight="1">
      <c r="A432" s="165"/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</row>
    <row r="433" ht="12.75" customHeight="1">
      <c r="A433" s="165"/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</row>
    <row r="434" ht="12.75" customHeight="1">
      <c r="A434" s="165"/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</row>
    <row r="435" ht="12.75" customHeight="1">
      <c r="A435" s="165"/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</row>
    <row r="436" ht="12.75" customHeight="1">
      <c r="A436" s="165"/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</row>
    <row r="437" ht="12.75" customHeight="1">
      <c r="A437" s="165"/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</row>
    <row r="438" ht="12.75" customHeight="1">
      <c r="A438" s="165"/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</row>
    <row r="439" ht="12.75" customHeight="1">
      <c r="A439" s="165"/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</row>
    <row r="440" ht="12.75" customHeight="1">
      <c r="A440" s="165"/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</row>
    <row r="441" ht="12.75" customHeight="1">
      <c r="A441" s="165"/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</row>
    <row r="442" ht="12.75" customHeight="1">
      <c r="A442" s="165"/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</row>
    <row r="443" ht="12.75" customHeight="1">
      <c r="A443" s="165"/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</row>
    <row r="444" ht="12.75" customHeight="1">
      <c r="A444" s="165"/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</row>
    <row r="445" ht="12.75" customHeight="1">
      <c r="A445" s="165"/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</row>
    <row r="446" ht="12.75" customHeight="1">
      <c r="A446" s="165"/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</row>
    <row r="447" ht="12.75" customHeight="1">
      <c r="A447" s="165"/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</row>
    <row r="448" ht="12.75" customHeight="1">
      <c r="A448" s="165"/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</row>
    <row r="449" ht="12.75" customHeight="1">
      <c r="A449" s="165"/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</row>
    <row r="450" ht="12.75" customHeight="1">
      <c r="A450" s="165"/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</row>
    <row r="451" ht="12.75" customHeight="1">
      <c r="A451" s="165"/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</row>
    <row r="452" ht="12.75" customHeight="1">
      <c r="A452" s="165"/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</row>
    <row r="453" ht="12.75" customHeight="1">
      <c r="A453" s="165"/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</row>
    <row r="454" ht="12.75" customHeight="1">
      <c r="A454" s="165"/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</row>
    <row r="455" ht="12.75" customHeight="1">
      <c r="A455" s="165"/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</row>
    <row r="456" ht="12.75" customHeight="1">
      <c r="A456" s="165"/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</row>
    <row r="457" ht="12.75" customHeight="1">
      <c r="A457" s="165"/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</row>
    <row r="458" ht="12.75" customHeight="1">
      <c r="A458" s="165"/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</row>
    <row r="459" ht="12.75" customHeight="1">
      <c r="A459" s="165"/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</row>
    <row r="460" ht="12.75" customHeight="1">
      <c r="A460" s="165"/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</row>
    <row r="461" ht="12.75" customHeight="1">
      <c r="A461" s="165"/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</row>
    <row r="462" ht="12.75" customHeight="1">
      <c r="A462" s="165"/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</row>
    <row r="463" ht="12.75" customHeight="1">
      <c r="A463" s="165"/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</row>
    <row r="464" ht="12.75" customHeight="1">
      <c r="A464" s="165"/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</row>
    <row r="465" ht="12.75" customHeight="1">
      <c r="A465" s="165"/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</row>
    <row r="466" ht="12.75" customHeight="1">
      <c r="A466" s="165"/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</row>
    <row r="467" ht="12.75" customHeight="1">
      <c r="A467" s="165"/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</row>
    <row r="468" ht="12.75" customHeight="1">
      <c r="A468" s="165"/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</row>
    <row r="469" ht="12.75" customHeight="1">
      <c r="A469" s="165"/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</row>
    <row r="470" ht="12.75" customHeight="1">
      <c r="A470" s="165"/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</row>
    <row r="471" ht="12.75" customHeight="1">
      <c r="A471" s="165"/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</row>
    <row r="472" ht="12.75" customHeight="1">
      <c r="A472" s="165"/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</row>
    <row r="473" ht="12.75" customHeight="1">
      <c r="A473" s="165"/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</row>
    <row r="474" ht="12.75" customHeight="1">
      <c r="A474" s="165"/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</row>
    <row r="475" ht="12.75" customHeight="1">
      <c r="A475" s="165"/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</row>
    <row r="476" ht="12.75" customHeight="1">
      <c r="A476" s="165"/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</row>
    <row r="477" ht="12.75" customHeight="1">
      <c r="A477" s="165"/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</row>
    <row r="478" ht="12.75" customHeight="1">
      <c r="A478" s="165"/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</row>
    <row r="479" ht="12.75" customHeight="1">
      <c r="A479" s="165"/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</row>
    <row r="480" ht="12.75" customHeight="1">
      <c r="A480" s="165"/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</row>
    <row r="481" ht="12.75" customHeight="1">
      <c r="A481" s="165"/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</row>
    <row r="482" ht="12.75" customHeight="1">
      <c r="A482" s="165"/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</row>
    <row r="483" ht="12.75" customHeight="1">
      <c r="A483" s="165"/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</row>
    <row r="484" ht="12.75" customHeight="1">
      <c r="A484" s="165"/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</row>
    <row r="485" ht="12.75" customHeight="1">
      <c r="A485" s="165"/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</row>
    <row r="486" ht="12.75" customHeight="1">
      <c r="A486" s="165"/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</row>
    <row r="487" ht="12.75" customHeight="1">
      <c r="A487" s="165"/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</row>
    <row r="488" ht="12.75" customHeight="1">
      <c r="A488" s="165"/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</row>
    <row r="489" ht="12.75" customHeight="1">
      <c r="A489" s="165"/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</row>
    <row r="490" ht="12.75" customHeight="1">
      <c r="A490" s="165"/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</row>
    <row r="491" ht="12.75" customHeight="1">
      <c r="A491" s="165"/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</row>
    <row r="492" ht="12.75" customHeight="1">
      <c r="A492" s="165"/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</row>
    <row r="493" ht="12.75" customHeight="1">
      <c r="A493" s="165"/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</row>
    <row r="494" ht="12.75" customHeight="1">
      <c r="A494" s="165"/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</row>
    <row r="495" ht="12.75" customHeight="1">
      <c r="A495" s="165"/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</row>
    <row r="496" ht="12.75" customHeight="1">
      <c r="A496" s="165"/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</row>
    <row r="497" ht="12.75" customHeight="1">
      <c r="A497" s="165"/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</row>
    <row r="498" ht="12.75" customHeight="1">
      <c r="A498" s="165"/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</row>
    <row r="499" ht="12.75" customHeight="1">
      <c r="A499" s="165"/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</row>
    <row r="500" ht="12.75" customHeight="1">
      <c r="A500" s="165"/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</row>
    <row r="501" ht="12.75" customHeight="1">
      <c r="A501" s="165"/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</row>
    <row r="502" ht="12.75" customHeight="1">
      <c r="A502" s="165"/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</row>
    <row r="503" ht="12.75" customHeight="1">
      <c r="A503" s="165"/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</row>
    <row r="504" ht="12.75" customHeight="1">
      <c r="A504" s="165"/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</row>
    <row r="505" ht="12.75" customHeight="1">
      <c r="A505" s="165"/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</row>
    <row r="506" ht="12.75" customHeight="1">
      <c r="A506" s="165"/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</row>
    <row r="507" ht="12.75" customHeight="1">
      <c r="A507" s="165"/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</row>
    <row r="508" ht="12.75" customHeight="1">
      <c r="A508" s="165"/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</row>
    <row r="509" ht="12.75" customHeight="1">
      <c r="A509" s="165"/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</row>
    <row r="510" ht="12.75" customHeight="1">
      <c r="A510" s="165"/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</row>
    <row r="511" ht="12.75" customHeight="1">
      <c r="A511" s="165"/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</row>
    <row r="512" ht="12.75" customHeight="1">
      <c r="A512" s="165"/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</row>
    <row r="513" ht="12.75" customHeight="1">
      <c r="A513" s="165"/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</row>
    <row r="514" ht="12.75" customHeight="1">
      <c r="A514" s="165"/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</row>
    <row r="515" ht="12.75" customHeight="1">
      <c r="A515" s="165"/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</row>
    <row r="516" ht="12.75" customHeight="1">
      <c r="A516" s="165"/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</row>
    <row r="517" ht="12.75" customHeight="1">
      <c r="A517" s="165"/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</row>
    <row r="518" ht="12.75" customHeight="1">
      <c r="A518" s="165"/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</row>
    <row r="519" ht="12.75" customHeight="1">
      <c r="A519" s="165"/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</row>
    <row r="520" ht="12.75" customHeight="1">
      <c r="A520" s="165"/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</row>
    <row r="521" ht="12.75" customHeight="1">
      <c r="A521" s="165"/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</row>
    <row r="522" ht="12.75" customHeight="1">
      <c r="A522" s="165"/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</row>
    <row r="523" ht="12.75" customHeight="1">
      <c r="A523" s="165"/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</row>
    <row r="524" ht="12.75" customHeight="1">
      <c r="A524" s="165"/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</row>
    <row r="525" ht="12.75" customHeight="1">
      <c r="A525" s="165"/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</row>
    <row r="526" ht="12.75" customHeight="1">
      <c r="A526" s="165"/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</row>
    <row r="527" ht="12.75" customHeight="1">
      <c r="A527" s="165"/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</row>
    <row r="528" ht="12.75" customHeight="1">
      <c r="A528" s="165"/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</row>
    <row r="529" ht="12.75" customHeight="1">
      <c r="A529" s="165"/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</row>
    <row r="530" ht="12.75" customHeight="1">
      <c r="A530" s="165"/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</row>
    <row r="531" ht="12.75" customHeight="1">
      <c r="A531" s="165"/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</row>
    <row r="532" ht="12.75" customHeight="1">
      <c r="A532" s="165"/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</row>
    <row r="533" ht="12.75" customHeight="1">
      <c r="A533" s="165"/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</row>
    <row r="534" ht="12.75" customHeight="1">
      <c r="A534" s="165"/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</row>
    <row r="535" ht="12.75" customHeight="1">
      <c r="A535" s="165"/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</row>
    <row r="536" ht="12.75" customHeight="1">
      <c r="A536" s="165"/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</row>
    <row r="537" ht="12.75" customHeight="1">
      <c r="A537" s="165"/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</row>
    <row r="538" ht="12.75" customHeight="1">
      <c r="A538" s="165"/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</row>
    <row r="539" ht="12.75" customHeight="1">
      <c r="A539" s="165"/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</row>
    <row r="540" ht="12.75" customHeight="1">
      <c r="A540" s="165"/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</row>
    <row r="541" ht="12.75" customHeight="1">
      <c r="A541" s="165"/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</row>
    <row r="542" ht="12.75" customHeight="1">
      <c r="A542" s="165"/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</row>
    <row r="543" ht="12.75" customHeight="1">
      <c r="A543" s="165"/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</row>
    <row r="544" ht="12.75" customHeight="1">
      <c r="A544" s="165"/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</row>
    <row r="545" ht="12.75" customHeight="1">
      <c r="A545" s="165"/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</row>
    <row r="546" ht="12.75" customHeight="1">
      <c r="A546" s="165"/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</row>
    <row r="547" ht="12.75" customHeight="1">
      <c r="A547" s="165"/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</row>
    <row r="548" ht="12.75" customHeight="1">
      <c r="A548" s="165"/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</row>
    <row r="549" ht="12.75" customHeight="1">
      <c r="A549" s="165"/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</row>
    <row r="550" ht="12.75" customHeight="1">
      <c r="A550" s="165"/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</row>
    <row r="551" ht="12.75" customHeight="1">
      <c r="A551" s="165"/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</row>
    <row r="552" ht="12.75" customHeight="1">
      <c r="A552" s="165"/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</row>
    <row r="553" ht="12.75" customHeight="1">
      <c r="A553" s="165"/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</row>
    <row r="554" ht="12.75" customHeight="1">
      <c r="A554" s="165"/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</row>
    <row r="555" ht="12.75" customHeight="1">
      <c r="A555" s="165"/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</row>
    <row r="556" ht="12.75" customHeight="1">
      <c r="A556" s="165"/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</row>
    <row r="557" ht="12.75" customHeight="1">
      <c r="A557" s="165"/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</row>
    <row r="558" ht="12.75" customHeight="1">
      <c r="A558" s="165"/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</row>
    <row r="559" ht="12.75" customHeight="1">
      <c r="A559" s="165"/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</row>
    <row r="560" ht="12.75" customHeight="1">
      <c r="A560" s="165"/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</row>
    <row r="561" ht="12.75" customHeight="1">
      <c r="A561" s="165"/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</row>
    <row r="562" ht="12.75" customHeight="1">
      <c r="A562" s="165"/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</row>
    <row r="563" ht="12.75" customHeight="1">
      <c r="A563" s="165"/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</row>
    <row r="564" ht="12.75" customHeight="1">
      <c r="A564" s="165"/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</row>
    <row r="565" ht="12.75" customHeight="1">
      <c r="A565" s="165"/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</row>
    <row r="566" ht="12.75" customHeight="1">
      <c r="A566" s="165"/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</row>
    <row r="567" ht="12.75" customHeight="1">
      <c r="A567" s="165"/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</row>
    <row r="568" ht="12.75" customHeight="1">
      <c r="A568" s="165"/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</row>
    <row r="569" ht="12.75" customHeight="1">
      <c r="A569" s="165"/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</row>
    <row r="570" ht="12.75" customHeight="1">
      <c r="A570" s="165"/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</row>
    <row r="571" ht="12.75" customHeight="1">
      <c r="A571" s="165"/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</row>
    <row r="572" ht="12.75" customHeight="1">
      <c r="A572" s="165"/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</row>
    <row r="573" ht="12.75" customHeight="1">
      <c r="A573" s="165"/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</row>
    <row r="574" ht="12.75" customHeight="1">
      <c r="A574" s="165"/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</row>
    <row r="575" ht="12.75" customHeight="1">
      <c r="A575" s="165"/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</row>
    <row r="576" ht="12.75" customHeight="1">
      <c r="A576" s="165"/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</row>
    <row r="577" ht="12.75" customHeight="1">
      <c r="A577" s="165"/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</row>
    <row r="578" ht="12.75" customHeight="1">
      <c r="A578" s="165"/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</row>
    <row r="579" ht="12.75" customHeight="1">
      <c r="A579" s="165"/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</row>
    <row r="580" ht="12.75" customHeight="1">
      <c r="A580" s="165"/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</row>
    <row r="581" ht="12.75" customHeight="1">
      <c r="A581" s="165"/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</row>
    <row r="582" ht="12.75" customHeight="1">
      <c r="A582" s="165"/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</row>
    <row r="583" ht="12.75" customHeight="1">
      <c r="A583" s="165"/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</row>
    <row r="584" ht="12.75" customHeight="1">
      <c r="A584" s="165"/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</row>
    <row r="585" ht="12.75" customHeight="1">
      <c r="A585" s="165"/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</row>
    <row r="586" ht="12.75" customHeight="1">
      <c r="A586" s="165"/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</row>
    <row r="587" ht="12.75" customHeight="1">
      <c r="A587" s="165"/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</row>
    <row r="588" ht="12.75" customHeight="1">
      <c r="A588" s="165"/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</row>
    <row r="589" ht="12.75" customHeight="1">
      <c r="A589" s="165"/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</row>
    <row r="590" ht="12.75" customHeight="1">
      <c r="A590" s="165"/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</row>
    <row r="591" ht="12.75" customHeight="1">
      <c r="A591" s="165"/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</row>
    <row r="592" ht="12.75" customHeight="1">
      <c r="A592" s="165"/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</row>
    <row r="593" ht="12.75" customHeight="1">
      <c r="A593" s="165"/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</row>
    <row r="594" ht="12.75" customHeight="1">
      <c r="A594" s="165"/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</row>
    <row r="595" ht="12.75" customHeight="1">
      <c r="A595" s="165"/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</row>
    <row r="596" ht="12.75" customHeight="1">
      <c r="A596" s="165"/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</row>
    <row r="597" ht="12.75" customHeight="1">
      <c r="A597" s="165"/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</row>
    <row r="598" ht="12.75" customHeight="1">
      <c r="A598" s="165"/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</row>
    <row r="599" ht="12.75" customHeight="1">
      <c r="A599" s="165"/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</row>
    <row r="600" ht="12.75" customHeight="1">
      <c r="A600" s="165"/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</row>
    <row r="601" ht="12.75" customHeight="1">
      <c r="A601" s="165"/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</row>
    <row r="602" ht="12.75" customHeight="1">
      <c r="A602" s="165"/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</row>
    <row r="603" ht="12.75" customHeight="1">
      <c r="A603" s="165"/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</row>
    <row r="604" ht="12.75" customHeight="1">
      <c r="A604" s="165"/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</row>
    <row r="605" ht="12.75" customHeight="1">
      <c r="A605" s="165"/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</row>
    <row r="606" ht="12.75" customHeight="1">
      <c r="A606" s="165"/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</row>
    <row r="607" ht="12.75" customHeight="1">
      <c r="A607" s="165"/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</row>
    <row r="608" ht="12.75" customHeight="1">
      <c r="A608" s="165"/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</row>
    <row r="609" ht="12.75" customHeight="1">
      <c r="A609" s="165"/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</row>
    <row r="610" ht="12.75" customHeight="1">
      <c r="A610" s="165"/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</row>
    <row r="611" ht="12.75" customHeight="1">
      <c r="A611" s="165"/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</row>
    <row r="612" ht="12.75" customHeight="1">
      <c r="A612" s="165"/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</row>
    <row r="613" ht="12.75" customHeight="1">
      <c r="A613" s="165"/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</row>
    <row r="614" ht="12.75" customHeight="1">
      <c r="A614" s="165"/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</row>
    <row r="615" ht="12.75" customHeight="1">
      <c r="A615" s="165"/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</row>
    <row r="616" ht="12.75" customHeight="1">
      <c r="A616" s="165"/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</row>
    <row r="617" ht="12.75" customHeight="1">
      <c r="A617" s="165"/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</row>
    <row r="618" ht="12.75" customHeight="1">
      <c r="A618" s="165"/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</row>
    <row r="619" ht="12.75" customHeight="1">
      <c r="A619" s="165"/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</row>
    <row r="620" ht="12.75" customHeight="1">
      <c r="A620" s="165"/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</row>
    <row r="621" ht="12.75" customHeight="1">
      <c r="A621" s="165"/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</row>
    <row r="622" ht="12.75" customHeight="1">
      <c r="A622" s="165"/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</row>
    <row r="623" ht="12.75" customHeight="1">
      <c r="A623" s="165"/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</row>
    <row r="624" ht="12.75" customHeight="1">
      <c r="A624" s="165"/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</row>
    <row r="625" ht="12.75" customHeight="1">
      <c r="A625" s="165"/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</row>
    <row r="626" ht="12.75" customHeight="1">
      <c r="A626" s="165"/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</row>
    <row r="627" ht="12.75" customHeight="1">
      <c r="A627" s="165"/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</row>
    <row r="628" ht="12.75" customHeight="1">
      <c r="A628" s="165"/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</row>
    <row r="629" ht="12.75" customHeight="1">
      <c r="A629" s="165"/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</row>
    <row r="630" ht="12.75" customHeight="1">
      <c r="A630" s="165"/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</row>
    <row r="631" ht="12.75" customHeight="1">
      <c r="A631" s="165"/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</row>
    <row r="632" ht="12.75" customHeight="1">
      <c r="A632" s="165"/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</row>
    <row r="633" ht="12.75" customHeight="1">
      <c r="A633" s="165"/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</row>
    <row r="634" ht="12.75" customHeight="1">
      <c r="A634" s="165"/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</row>
    <row r="635" ht="12.75" customHeight="1">
      <c r="A635" s="165"/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</row>
    <row r="636" ht="12.75" customHeight="1">
      <c r="A636" s="165"/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</row>
    <row r="637" ht="12.75" customHeight="1">
      <c r="A637" s="165"/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</row>
    <row r="638" ht="12.75" customHeight="1">
      <c r="A638" s="165"/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</row>
    <row r="639" ht="12.75" customHeight="1">
      <c r="A639" s="165"/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</row>
    <row r="640" ht="12.75" customHeight="1">
      <c r="A640" s="165"/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</row>
    <row r="641" ht="12.75" customHeight="1">
      <c r="A641" s="165"/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</row>
    <row r="642" ht="12.75" customHeight="1">
      <c r="A642" s="165"/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</row>
    <row r="643" ht="12.75" customHeight="1">
      <c r="A643" s="165"/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</row>
    <row r="644" ht="12.75" customHeight="1">
      <c r="A644" s="165"/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</row>
    <row r="645" ht="12.75" customHeight="1">
      <c r="A645" s="165"/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</row>
    <row r="646" ht="12.75" customHeight="1">
      <c r="A646" s="165"/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</row>
    <row r="647" ht="12.75" customHeight="1">
      <c r="A647" s="165"/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</row>
    <row r="648" ht="12.75" customHeight="1">
      <c r="A648" s="165"/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</row>
    <row r="649" ht="12.75" customHeight="1">
      <c r="A649" s="165"/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</row>
    <row r="650" ht="12.75" customHeight="1">
      <c r="A650" s="165"/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</row>
    <row r="651" ht="12.75" customHeight="1">
      <c r="A651" s="165"/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</row>
    <row r="652" ht="12.75" customHeight="1">
      <c r="A652" s="165"/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</row>
    <row r="653" ht="12.75" customHeight="1">
      <c r="A653" s="165"/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</row>
    <row r="654" ht="12.75" customHeight="1">
      <c r="A654" s="165"/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</row>
    <row r="655" ht="12.75" customHeight="1">
      <c r="A655" s="165"/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</row>
    <row r="656" ht="12.75" customHeight="1">
      <c r="A656" s="165"/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</row>
    <row r="657" ht="12.75" customHeight="1">
      <c r="A657" s="165"/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</row>
    <row r="658" ht="12.75" customHeight="1">
      <c r="A658" s="165"/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</row>
    <row r="659" ht="12.75" customHeight="1">
      <c r="A659" s="165"/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</row>
    <row r="660" ht="12.75" customHeight="1">
      <c r="A660" s="165"/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</row>
    <row r="661" ht="12.75" customHeight="1">
      <c r="A661" s="165"/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</row>
    <row r="662" ht="12.75" customHeight="1">
      <c r="A662" s="165"/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</row>
    <row r="663" ht="12.75" customHeight="1">
      <c r="A663" s="165"/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</row>
    <row r="664" ht="12.75" customHeight="1">
      <c r="A664" s="165"/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</row>
    <row r="665" ht="12.75" customHeight="1">
      <c r="A665" s="165"/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</row>
    <row r="666" ht="12.75" customHeight="1">
      <c r="A666" s="165"/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</row>
    <row r="667" ht="12.75" customHeight="1">
      <c r="A667" s="165"/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</row>
    <row r="668" ht="12.75" customHeight="1">
      <c r="A668" s="165"/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</row>
    <row r="669" ht="12.75" customHeight="1">
      <c r="A669" s="165"/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</row>
    <row r="670" ht="12.75" customHeight="1">
      <c r="A670" s="165"/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</row>
    <row r="671" ht="12.75" customHeight="1">
      <c r="A671" s="165"/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</row>
    <row r="672" ht="12.75" customHeight="1">
      <c r="A672" s="165"/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</row>
    <row r="673" ht="12.75" customHeight="1">
      <c r="A673" s="165"/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</row>
    <row r="674" ht="12.75" customHeight="1">
      <c r="A674" s="165"/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</row>
    <row r="675" ht="12.75" customHeight="1">
      <c r="A675" s="165"/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</row>
    <row r="676" ht="12.75" customHeight="1">
      <c r="A676" s="165"/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</row>
    <row r="677" ht="12.75" customHeight="1">
      <c r="A677" s="165"/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</row>
    <row r="678" ht="12.75" customHeight="1">
      <c r="A678" s="165"/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</row>
    <row r="679" ht="12.75" customHeight="1">
      <c r="A679" s="165"/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</row>
    <row r="680" ht="12.75" customHeight="1">
      <c r="A680" s="165"/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</row>
    <row r="681" ht="12.75" customHeight="1">
      <c r="A681" s="165"/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</row>
    <row r="682" ht="12.75" customHeight="1">
      <c r="A682" s="165"/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</row>
    <row r="683" ht="12.75" customHeight="1">
      <c r="A683" s="165"/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</row>
    <row r="684" ht="12.75" customHeight="1">
      <c r="A684" s="165"/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</row>
    <row r="685" ht="12.75" customHeight="1">
      <c r="A685" s="165"/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</row>
    <row r="686" ht="12.75" customHeight="1">
      <c r="A686" s="165"/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</row>
    <row r="687" ht="12.75" customHeight="1">
      <c r="A687" s="165"/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</row>
    <row r="688" ht="12.75" customHeight="1">
      <c r="A688" s="165"/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</row>
    <row r="689" ht="12.75" customHeight="1">
      <c r="A689" s="165"/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</row>
    <row r="690" ht="12.75" customHeight="1">
      <c r="A690" s="165"/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</row>
    <row r="691" ht="12.75" customHeight="1">
      <c r="A691" s="165"/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</row>
    <row r="692" ht="12.75" customHeight="1">
      <c r="A692" s="165"/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</row>
    <row r="693" ht="12.75" customHeight="1">
      <c r="A693" s="165"/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</row>
    <row r="694" ht="12.75" customHeight="1">
      <c r="A694" s="165"/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</row>
    <row r="695" ht="12.75" customHeight="1">
      <c r="A695" s="165"/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</row>
    <row r="696" ht="12.75" customHeight="1">
      <c r="A696" s="165"/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</row>
    <row r="697" ht="12.75" customHeight="1">
      <c r="A697" s="165"/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</row>
    <row r="698" ht="12.75" customHeight="1">
      <c r="A698" s="165"/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</row>
    <row r="699" ht="12.75" customHeight="1">
      <c r="A699" s="165"/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</row>
    <row r="700" ht="12.75" customHeight="1">
      <c r="A700" s="165"/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</row>
    <row r="701" ht="12.75" customHeight="1">
      <c r="A701" s="165"/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</row>
    <row r="702" ht="12.75" customHeight="1">
      <c r="A702" s="165"/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</row>
    <row r="703" ht="12.75" customHeight="1">
      <c r="A703" s="165"/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</row>
    <row r="704" ht="12.75" customHeight="1">
      <c r="A704" s="165"/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</row>
    <row r="705" ht="12.75" customHeight="1">
      <c r="A705" s="165"/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</row>
    <row r="706" ht="12.75" customHeight="1">
      <c r="A706" s="165"/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</row>
    <row r="707" ht="12.75" customHeight="1">
      <c r="A707" s="165"/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</row>
    <row r="708" ht="12.75" customHeight="1">
      <c r="A708" s="165"/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</row>
    <row r="709" ht="12.75" customHeight="1">
      <c r="A709" s="165"/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</row>
    <row r="710" ht="12.75" customHeight="1">
      <c r="A710" s="165"/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</row>
    <row r="711" ht="12.75" customHeight="1">
      <c r="A711" s="165"/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</row>
    <row r="712" ht="12.75" customHeight="1">
      <c r="A712" s="165"/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</row>
    <row r="713" ht="12.75" customHeight="1">
      <c r="A713" s="165"/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</row>
    <row r="714" ht="12.75" customHeight="1">
      <c r="A714" s="165"/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</row>
    <row r="715" ht="12.75" customHeight="1">
      <c r="A715" s="165"/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</row>
    <row r="716" ht="12.75" customHeight="1">
      <c r="A716" s="165"/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</row>
    <row r="717" ht="12.75" customHeight="1">
      <c r="A717" s="165"/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</row>
    <row r="718" ht="12.75" customHeight="1">
      <c r="A718" s="165"/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</row>
    <row r="719" ht="12.75" customHeight="1">
      <c r="A719" s="165"/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</row>
    <row r="720" ht="12.75" customHeight="1">
      <c r="A720" s="165"/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</row>
    <row r="721" ht="12.75" customHeight="1">
      <c r="A721" s="165"/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</row>
    <row r="722" ht="12.75" customHeight="1">
      <c r="A722" s="165"/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</row>
    <row r="723" ht="12.75" customHeight="1">
      <c r="A723" s="165"/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</row>
    <row r="724" ht="12.75" customHeight="1">
      <c r="A724" s="165"/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</row>
    <row r="725" ht="12.75" customHeight="1">
      <c r="A725" s="165"/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</row>
    <row r="726" ht="12.75" customHeight="1">
      <c r="A726" s="165"/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</row>
    <row r="727" ht="12.75" customHeight="1">
      <c r="A727" s="165"/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</row>
    <row r="728" ht="12.75" customHeight="1">
      <c r="A728" s="165"/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</row>
    <row r="729" ht="12.75" customHeight="1">
      <c r="A729" s="165"/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</row>
    <row r="730" ht="12.75" customHeight="1">
      <c r="A730" s="165"/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</row>
    <row r="731" ht="12.75" customHeight="1">
      <c r="A731" s="165"/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</row>
    <row r="732" ht="12.75" customHeight="1">
      <c r="A732" s="165"/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</row>
    <row r="733" ht="12.75" customHeight="1">
      <c r="A733" s="165"/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</row>
    <row r="734" ht="12.75" customHeight="1">
      <c r="A734" s="165"/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</row>
    <row r="735" ht="12.75" customHeight="1">
      <c r="A735" s="165"/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</row>
    <row r="736" ht="12.75" customHeight="1">
      <c r="A736" s="165"/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</row>
    <row r="737" ht="12.75" customHeight="1">
      <c r="A737" s="165"/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</row>
    <row r="738" ht="12.75" customHeight="1">
      <c r="A738" s="165"/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</row>
    <row r="739" ht="12.75" customHeight="1">
      <c r="A739" s="165"/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</row>
    <row r="740" ht="12.75" customHeight="1">
      <c r="A740" s="165"/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</row>
    <row r="741" ht="12.75" customHeight="1">
      <c r="A741" s="165"/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</row>
    <row r="742" ht="12.75" customHeight="1">
      <c r="A742" s="165"/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</row>
    <row r="743" ht="12.75" customHeight="1">
      <c r="A743" s="165"/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</row>
    <row r="744" ht="12.75" customHeight="1">
      <c r="A744" s="165"/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</row>
    <row r="745" ht="12.75" customHeight="1">
      <c r="A745" s="165"/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</row>
    <row r="746" ht="12.75" customHeight="1">
      <c r="A746" s="165"/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</row>
    <row r="747" ht="12.75" customHeight="1">
      <c r="A747" s="165"/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</row>
    <row r="748" ht="12.75" customHeight="1">
      <c r="A748" s="165"/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</row>
    <row r="749" ht="12.75" customHeight="1">
      <c r="A749" s="165"/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</row>
    <row r="750" ht="12.75" customHeight="1">
      <c r="A750" s="165"/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</row>
    <row r="751" ht="12.75" customHeight="1">
      <c r="A751" s="165"/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</row>
    <row r="752" ht="12.75" customHeight="1">
      <c r="A752" s="165"/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</row>
    <row r="753" ht="12.75" customHeight="1">
      <c r="A753" s="165"/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</row>
    <row r="754" ht="12.75" customHeight="1">
      <c r="A754" s="165"/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</row>
    <row r="755" ht="12.75" customHeight="1">
      <c r="A755" s="165"/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</row>
    <row r="756" ht="12.75" customHeight="1">
      <c r="A756" s="165"/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</row>
    <row r="757" ht="12.75" customHeight="1">
      <c r="A757" s="165"/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</row>
    <row r="758" ht="12.75" customHeight="1">
      <c r="A758" s="165"/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</row>
    <row r="759" ht="12.75" customHeight="1">
      <c r="A759" s="165"/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</row>
    <row r="760" ht="12.75" customHeight="1">
      <c r="A760" s="165"/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</row>
    <row r="761" ht="12.75" customHeight="1">
      <c r="A761" s="165"/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</row>
    <row r="762" ht="12.75" customHeight="1">
      <c r="A762" s="165"/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</row>
    <row r="763" ht="12.75" customHeight="1">
      <c r="A763" s="165"/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</row>
    <row r="764" ht="12.75" customHeight="1">
      <c r="A764" s="165"/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</row>
    <row r="765" ht="12.75" customHeight="1">
      <c r="A765" s="165"/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</row>
    <row r="766" ht="12.75" customHeight="1">
      <c r="A766" s="165"/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</row>
    <row r="767" ht="12.75" customHeight="1">
      <c r="A767" s="165"/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</row>
    <row r="768" ht="12.75" customHeight="1">
      <c r="A768" s="165"/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</row>
    <row r="769" ht="12.75" customHeight="1">
      <c r="A769" s="165"/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</row>
    <row r="770" ht="12.75" customHeight="1">
      <c r="A770" s="165"/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</row>
    <row r="771" ht="12.75" customHeight="1">
      <c r="A771" s="165"/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</row>
    <row r="772" ht="12.75" customHeight="1">
      <c r="A772" s="165"/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</row>
    <row r="773" ht="12.75" customHeight="1">
      <c r="A773" s="165"/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</row>
    <row r="774" ht="12.75" customHeight="1">
      <c r="A774" s="165"/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</row>
    <row r="775" ht="12.75" customHeight="1">
      <c r="A775" s="165"/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</row>
    <row r="776" ht="12.75" customHeight="1">
      <c r="A776" s="165"/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</row>
    <row r="777" ht="12.75" customHeight="1">
      <c r="A777" s="165"/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</row>
    <row r="778" ht="12.75" customHeight="1">
      <c r="A778" s="165"/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</row>
    <row r="779" ht="12.75" customHeight="1">
      <c r="A779" s="165"/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</row>
    <row r="780" ht="12.75" customHeight="1">
      <c r="A780" s="165"/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</row>
    <row r="781" ht="12.75" customHeight="1">
      <c r="A781" s="165"/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</row>
    <row r="782" ht="12.75" customHeight="1">
      <c r="A782" s="165"/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</row>
    <row r="783" ht="12.75" customHeight="1">
      <c r="A783" s="165"/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</row>
    <row r="784" ht="12.75" customHeight="1">
      <c r="A784" s="165"/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</row>
    <row r="785" ht="12.75" customHeight="1">
      <c r="A785" s="165"/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</row>
    <row r="786" ht="12.75" customHeight="1">
      <c r="A786" s="165"/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</row>
    <row r="787" ht="12.75" customHeight="1">
      <c r="A787" s="165"/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</row>
    <row r="788" ht="12.75" customHeight="1">
      <c r="A788" s="165"/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</row>
    <row r="789" ht="12.75" customHeight="1">
      <c r="A789" s="165"/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</row>
    <row r="790" ht="12.75" customHeight="1">
      <c r="A790" s="165"/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</row>
    <row r="791" ht="12.75" customHeight="1">
      <c r="A791" s="165"/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</row>
    <row r="792" ht="12.75" customHeight="1">
      <c r="A792" s="165"/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</row>
    <row r="793" ht="12.75" customHeight="1">
      <c r="A793" s="165"/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</row>
    <row r="794" ht="12.75" customHeight="1">
      <c r="A794" s="165"/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</row>
    <row r="795" ht="12.75" customHeight="1">
      <c r="A795" s="165"/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</row>
    <row r="796" ht="12.75" customHeight="1">
      <c r="A796" s="165"/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</row>
    <row r="797" ht="12.75" customHeight="1">
      <c r="A797" s="165"/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</row>
    <row r="798" ht="12.75" customHeight="1">
      <c r="A798" s="165"/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</row>
    <row r="799" ht="12.75" customHeight="1">
      <c r="A799" s="165"/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</row>
    <row r="800" ht="12.75" customHeight="1">
      <c r="A800" s="165"/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</row>
    <row r="801" ht="12.75" customHeight="1">
      <c r="A801" s="165"/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</row>
    <row r="802" ht="12.75" customHeight="1">
      <c r="A802" s="165"/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</row>
    <row r="803" ht="12.75" customHeight="1">
      <c r="A803" s="165"/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</row>
    <row r="804" ht="12.75" customHeight="1">
      <c r="A804" s="165"/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</row>
    <row r="805" ht="12.75" customHeight="1">
      <c r="A805" s="165"/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</row>
    <row r="806" ht="12.75" customHeight="1">
      <c r="A806" s="165"/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</row>
    <row r="807" ht="12.75" customHeight="1">
      <c r="A807" s="165"/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</row>
    <row r="808" ht="12.75" customHeight="1">
      <c r="A808" s="165"/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</row>
    <row r="809" ht="12.75" customHeight="1">
      <c r="A809" s="165"/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</row>
    <row r="810" ht="12.75" customHeight="1">
      <c r="A810" s="165"/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</row>
    <row r="811" ht="12.75" customHeight="1">
      <c r="A811" s="165"/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</row>
    <row r="812" ht="12.75" customHeight="1">
      <c r="A812" s="165"/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</row>
    <row r="813" ht="12.75" customHeight="1">
      <c r="A813" s="165"/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</row>
    <row r="814" ht="12.75" customHeight="1">
      <c r="A814" s="165"/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</row>
    <row r="815" ht="12.75" customHeight="1">
      <c r="A815" s="165"/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</row>
    <row r="816" ht="12.75" customHeight="1">
      <c r="A816" s="165"/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</row>
    <row r="817" ht="12.75" customHeight="1">
      <c r="A817" s="165"/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</row>
    <row r="818" ht="12.75" customHeight="1">
      <c r="A818" s="165"/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</row>
    <row r="819" ht="12.75" customHeight="1">
      <c r="A819" s="165"/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</row>
    <row r="820" ht="12.75" customHeight="1">
      <c r="A820" s="165"/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</row>
    <row r="821" ht="12.75" customHeight="1">
      <c r="A821" s="165"/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</row>
    <row r="822" ht="12.75" customHeight="1">
      <c r="A822" s="165"/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</row>
    <row r="823" ht="12.75" customHeight="1">
      <c r="A823" s="165"/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</row>
    <row r="824" ht="12.75" customHeight="1">
      <c r="A824" s="165"/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</row>
    <row r="825" ht="12.75" customHeight="1">
      <c r="A825" s="165"/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</row>
    <row r="826" ht="12.75" customHeight="1">
      <c r="A826" s="165"/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</row>
    <row r="827" ht="12.75" customHeight="1">
      <c r="A827" s="165"/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</row>
    <row r="828" ht="12.75" customHeight="1">
      <c r="A828" s="165"/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</row>
    <row r="829" ht="12.75" customHeight="1">
      <c r="A829" s="165"/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</row>
    <row r="830" ht="12.75" customHeight="1">
      <c r="A830" s="165"/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</row>
    <row r="831" ht="12.75" customHeight="1">
      <c r="A831" s="165"/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</row>
    <row r="832" ht="12.75" customHeight="1">
      <c r="A832" s="165"/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</row>
    <row r="833" ht="12.75" customHeight="1">
      <c r="A833" s="165"/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</row>
    <row r="834" ht="12.75" customHeight="1">
      <c r="A834" s="165"/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</row>
    <row r="835" ht="12.75" customHeight="1">
      <c r="A835" s="165"/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</row>
    <row r="836" ht="12.75" customHeight="1">
      <c r="A836" s="165"/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</row>
    <row r="837" ht="12.75" customHeight="1">
      <c r="A837" s="165"/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</row>
    <row r="838" ht="12.75" customHeight="1">
      <c r="A838" s="165"/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</row>
    <row r="839" ht="12.75" customHeight="1">
      <c r="A839" s="165"/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</row>
    <row r="840" ht="12.75" customHeight="1">
      <c r="A840" s="165"/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</row>
    <row r="841" ht="12.75" customHeight="1">
      <c r="A841" s="165"/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</row>
    <row r="842" ht="12.75" customHeight="1">
      <c r="A842" s="165"/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</row>
    <row r="843" ht="12.75" customHeight="1">
      <c r="A843" s="165"/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</row>
    <row r="844" ht="12.75" customHeight="1">
      <c r="A844" s="165"/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</row>
    <row r="845" ht="12.75" customHeight="1">
      <c r="A845" s="165"/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</row>
    <row r="846" ht="12.75" customHeight="1">
      <c r="A846" s="165"/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</row>
    <row r="847" ht="12.75" customHeight="1">
      <c r="A847" s="165"/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</row>
    <row r="848" ht="12.75" customHeight="1">
      <c r="A848" s="165"/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</row>
    <row r="849" ht="12.75" customHeight="1">
      <c r="A849" s="165"/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</row>
    <row r="850" ht="12.75" customHeight="1">
      <c r="A850" s="165"/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</row>
    <row r="851" ht="12.75" customHeight="1">
      <c r="A851" s="165"/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</row>
    <row r="852" ht="12.75" customHeight="1">
      <c r="A852" s="165"/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</row>
    <row r="853" ht="12.75" customHeight="1">
      <c r="A853" s="165"/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</row>
    <row r="854" ht="12.75" customHeight="1">
      <c r="A854" s="165"/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</row>
    <row r="855" ht="12.75" customHeight="1">
      <c r="A855" s="165"/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</row>
    <row r="856" ht="12.75" customHeight="1">
      <c r="A856" s="165"/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</row>
    <row r="857" ht="12.75" customHeight="1">
      <c r="A857" s="165"/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</row>
    <row r="858" ht="12.75" customHeight="1">
      <c r="A858" s="165"/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</row>
    <row r="859" ht="12.75" customHeight="1">
      <c r="A859" s="165"/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</row>
    <row r="860" ht="12.75" customHeight="1">
      <c r="A860" s="165"/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</row>
    <row r="861" ht="12.75" customHeight="1">
      <c r="A861" s="165"/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</row>
    <row r="862" ht="12.75" customHeight="1">
      <c r="A862" s="165"/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</row>
    <row r="863" ht="12.75" customHeight="1">
      <c r="A863" s="165"/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</row>
    <row r="864" ht="12.75" customHeight="1">
      <c r="A864" s="165"/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</row>
    <row r="865" ht="12.75" customHeight="1">
      <c r="A865" s="165"/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</row>
    <row r="866" ht="12.75" customHeight="1">
      <c r="A866" s="165"/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</row>
    <row r="867" ht="12.75" customHeight="1">
      <c r="A867" s="165"/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</row>
    <row r="868" ht="12.75" customHeight="1">
      <c r="A868" s="165"/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</row>
    <row r="869" ht="12.75" customHeight="1">
      <c r="A869" s="165"/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</row>
    <row r="870" ht="12.75" customHeight="1">
      <c r="A870" s="165"/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</row>
    <row r="871" ht="12.75" customHeight="1">
      <c r="A871" s="165"/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</row>
    <row r="872" ht="12.75" customHeight="1">
      <c r="A872" s="165"/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</row>
    <row r="873" ht="12.75" customHeight="1">
      <c r="A873" s="165"/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</row>
    <row r="874" ht="12.75" customHeight="1">
      <c r="A874" s="165"/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</row>
    <row r="875" ht="12.75" customHeight="1">
      <c r="A875" s="165"/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</row>
    <row r="876" ht="12.75" customHeight="1">
      <c r="A876" s="165"/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</row>
    <row r="877" ht="12.75" customHeight="1">
      <c r="A877" s="165"/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</row>
    <row r="878" ht="12.75" customHeight="1">
      <c r="A878" s="165"/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</row>
    <row r="879" ht="12.75" customHeight="1">
      <c r="A879" s="165"/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</row>
    <row r="880" ht="12.75" customHeight="1">
      <c r="A880" s="165"/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</row>
    <row r="881" ht="12.75" customHeight="1">
      <c r="A881" s="165"/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</row>
    <row r="882" ht="12.75" customHeight="1">
      <c r="A882" s="165"/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</row>
    <row r="883" ht="12.75" customHeight="1">
      <c r="A883" s="165"/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</row>
    <row r="884" ht="12.75" customHeight="1">
      <c r="A884" s="165"/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</row>
    <row r="885" ht="12.75" customHeight="1">
      <c r="A885" s="165"/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</row>
    <row r="886" ht="12.75" customHeight="1">
      <c r="A886" s="165"/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</row>
    <row r="887" ht="12.75" customHeight="1">
      <c r="A887" s="165"/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</row>
    <row r="888" ht="12.75" customHeight="1">
      <c r="A888" s="165"/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</row>
    <row r="889" ht="12.75" customHeight="1">
      <c r="A889" s="165"/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</row>
    <row r="890" ht="12.75" customHeight="1">
      <c r="A890" s="165"/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</row>
    <row r="891" ht="12.75" customHeight="1">
      <c r="A891" s="165"/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</row>
    <row r="892" ht="12.75" customHeight="1">
      <c r="A892" s="165"/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</row>
    <row r="893" ht="12.75" customHeight="1">
      <c r="A893" s="165"/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</row>
    <row r="894" ht="12.75" customHeight="1">
      <c r="A894" s="165"/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</row>
    <row r="895" ht="12.75" customHeight="1">
      <c r="A895" s="165"/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</row>
    <row r="896" ht="12.75" customHeight="1">
      <c r="A896" s="165"/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</row>
    <row r="897" ht="12.75" customHeight="1">
      <c r="A897" s="165"/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</row>
    <row r="898" ht="12.75" customHeight="1">
      <c r="A898" s="165"/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</row>
    <row r="899" ht="12.75" customHeight="1">
      <c r="A899" s="165"/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</row>
    <row r="900" ht="12.75" customHeight="1">
      <c r="A900" s="165"/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</row>
    <row r="901" ht="12.75" customHeight="1">
      <c r="A901" s="165"/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</row>
    <row r="902" ht="12.75" customHeight="1">
      <c r="A902" s="165"/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</row>
    <row r="903" ht="12.75" customHeight="1">
      <c r="A903" s="165"/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</row>
    <row r="904" ht="12.75" customHeight="1">
      <c r="A904" s="165"/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</row>
    <row r="905" ht="12.75" customHeight="1">
      <c r="A905" s="165"/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</row>
    <row r="906" ht="12.75" customHeight="1">
      <c r="A906" s="165"/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</row>
    <row r="907" ht="12.75" customHeight="1">
      <c r="A907" s="165"/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</row>
    <row r="908" ht="12.75" customHeight="1">
      <c r="A908" s="165"/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</row>
    <row r="909" ht="12.75" customHeight="1">
      <c r="A909" s="165"/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</row>
    <row r="910" ht="12.75" customHeight="1">
      <c r="A910" s="165"/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</row>
    <row r="911" ht="12.75" customHeight="1">
      <c r="A911" s="165"/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</row>
    <row r="912" ht="12.75" customHeight="1">
      <c r="A912" s="165"/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</row>
    <row r="913" ht="12.75" customHeight="1">
      <c r="A913" s="165"/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</row>
    <row r="914" ht="12.75" customHeight="1">
      <c r="A914" s="165"/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</row>
    <row r="915" ht="12.75" customHeight="1">
      <c r="A915" s="165"/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</row>
    <row r="916" ht="12.75" customHeight="1">
      <c r="A916" s="165"/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</row>
    <row r="917" ht="12.75" customHeight="1">
      <c r="A917" s="165"/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</row>
    <row r="918" ht="12.75" customHeight="1">
      <c r="A918" s="165"/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</row>
    <row r="919" ht="12.75" customHeight="1">
      <c r="A919" s="165"/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</row>
    <row r="920" ht="12.75" customHeight="1">
      <c r="A920" s="165"/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</row>
    <row r="921" ht="12.75" customHeight="1">
      <c r="A921" s="165"/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</row>
    <row r="922" ht="12.75" customHeight="1">
      <c r="A922" s="165"/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</row>
    <row r="923" ht="12.75" customHeight="1">
      <c r="A923" s="165"/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</row>
    <row r="924" ht="12.75" customHeight="1">
      <c r="A924" s="165"/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</row>
    <row r="925" ht="12.75" customHeight="1">
      <c r="A925" s="165"/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</row>
    <row r="926" ht="12.75" customHeight="1">
      <c r="A926" s="165"/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</row>
    <row r="927" ht="12.75" customHeight="1">
      <c r="A927" s="165"/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</row>
    <row r="928" ht="12.75" customHeight="1">
      <c r="A928" s="165"/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</row>
    <row r="929" ht="12.75" customHeight="1">
      <c r="A929" s="165"/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</row>
    <row r="930" ht="12.75" customHeight="1">
      <c r="A930" s="165"/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</row>
    <row r="931" ht="12.75" customHeight="1">
      <c r="A931" s="165"/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</row>
    <row r="932" ht="12.75" customHeight="1">
      <c r="A932" s="165"/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</row>
    <row r="933" ht="12.75" customHeight="1">
      <c r="A933" s="165"/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</row>
    <row r="934" ht="12.75" customHeight="1">
      <c r="A934" s="165"/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</row>
    <row r="935" ht="12.75" customHeight="1">
      <c r="A935" s="165"/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</row>
    <row r="936" ht="12.75" customHeight="1">
      <c r="A936" s="165"/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</row>
    <row r="937" ht="12.75" customHeight="1">
      <c r="A937" s="165"/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</row>
    <row r="938" ht="12.75" customHeight="1">
      <c r="A938" s="165"/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</row>
    <row r="939" ht="12.75" customHeight="1">
      <c r="A939" s="165"/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</row>
    <row r="940" ht="12.75" customHeight="1">
      <c r="A940" s="165"/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</row>
    <row r="941" ht="12.75" customHeight="1">
      <c r="A941" s="165"/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</row>
    <row r="942" ht="12.75" customHeight="1">
      <c r="A942" s="165"/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</row>
    <row r="943" ht="12.75" customHeight="1">
      <c r="A943" s="165"/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</row>
    <row r="944" ht="12.75" customHeight="1">
      <c r="A944" s="165"/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</row>
    <row r="945" ht="12.75" customHeight="1">
      <c r="A945" s="165"/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</row>
    <row r="946" ht="12.75" customHeight="1">
      <c r="A946" s="165"/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</row>
    <row r="947" ht="12.75" customHeight="1">
      <c r="A947" s="165"/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</row>
    <row r="948" ht="12.75" customHeight="1">
      <c r="A948" s="165"/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</row>
    <row r="949" ht="12.75" customHeight="1">
      <c r="A949" s="165"/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</row>
    <row r="950" ht="12.75" customHeight="1">
      <c r="A950" s="165"/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</row>
    <row r="951" ht="12.75" customHeight="1">
      <c r="A951" s="165"/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</row>
    <row r="952" ht="12.75" customHeight="1">
      <c r="A952" s="165"/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</row>
    <row r="953" ht="12.75" customHeight="1">
      <c r="A953" s="165"/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</row>
    <row r="954" ht="12.75" customHeight="1">
      <c r="A954" s="165"/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</row>
    <row r="955" ht="12.75" customHeight="1">
      <c r="A955" s="165"/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</row>
    <row r="956" ht="12.75" customHeight="1">
      <c r="A956" s="165"/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</row>
    <row r="957" ht="12.75" customHeight="1">
      <c r="A957" s="165"/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</row>
    <row r="958" ht="12.75" customHeight="1">
      <c r="A958" s="165"/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</row>
    <row r="959" ht="12.75" customHeight="1">
      <c r="A959" s="165"/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</row>
    <row r="960" ht="12.75" customHeight="1">
      <c r="A960" s="165"/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</row>
    <row r="961" ht="12.75" customHeight="1">
      <c r="A961" s="165"/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</row>
    <row r="962" ht="12.75" customHeight="1">
      <c r="A962" s="165"/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</row>
    <row r="963" ht="12.75" customHeight="1">
      <c r="A963" s="165"/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</row>
    <row r="964" ht="12.75" customHeight="1">
      <c r="A964" s="165"/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</row>
    <row r="965" ht="12.75" customHeight="1">
      <c r="A965" s="165"/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</row>
    <row r="966" ht="12.75" customHeight="1">
      <c r="A966" s="165"/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</row>
    <row r="967" ht="12.75" customHeight="1">
      <c r="A967" s="165"/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</row>
    <row r="968" ht="12.75" customHeight="1">
      <c r="A968" s="165"/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</row>
    <row r="969" ht="12.75" customHeight="1">
      <c r="A969" s="165"/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</row>
    <row r="970" ht="12.75" customHeight="1">
      <c r="A970" s="165"/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</row>
    <row r="971" ht="12.75" customHeight="1">
      <c r="A971" s="165"/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</row>
    <row r="972" ht="12.75" customHeight="1">
      <c r="A972" s="165"/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</row>
    <row r="973" ht="12.75" customHeight="1">
      <c r="A973" s="165"/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</row>
    <row r="974" ht="12.75" customHeight="1">
      <c r="A974" s="165"/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</row>
    <row r="975" ht="12.75" customHeight="1">
      <c r="A975" s="165"/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</row>
    <row r="976" ht="12.75" customHeight="1">
      <c r="A976" s="165"/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</row>
    <row r="977" ht="12.75" customHeight="1">
      <c r="A977" s="165"/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</row>
    <row r="978" ht="12.75" customHeight="1">
      <c r="A978" s="165"/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</row>
    <row r="979" ht="12.75" customHeight="1">
      <c r="A979" s="165"/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</row>
    <row r="980" ht="12.75" customHeight="1">
      <c r="A980" s="165"/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</row>
    <row r="981" ht="12.75" customHeight="1">
      <c r="A981" s="165"/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</row>
    <row r="982" ht="12.75" customHeight="1">
      <c r="A982" s="165"/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</row>
    <row r="983" ht="12.75" customHeight="1">
      <c r="A983" s="165"/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</row>
    <row r="984" ht="12.75" customHeight="1">
      <c r="A984" s="165"/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</row>
    <row r="985" ht="12.75" customHeight="1">
      <c r="A985" s="165"/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</row>
    <row r="986" ht="12.75" customHeight="1">
      <c r="A986" s="165"/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</row>
    <row r="987" ht="12.75" customHeight="1">
      <c r="A987" s="165"/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</row>
    <row r="988" ht="12.75" customHeight="1">
      <c r="A988" s="165"/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</row>
    <row r="989" ht="12.75" customHeight="1">
      <c r="A989" s="165"/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</row>
    <row r="990" ht="12.75" customHeight="1">
      <c r="A990" s="165"/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</row>
    <row r="991" ht="12.75" customHeight="1">
      <c r="A991" s="165"/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</row>
    <row r="992" ht="12.75" customHeight="1">
      <c r="A992" s="165"/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</row>
    <row r="993" ht="12.75" customHeight="1">
      <c r="A993" s="165"/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</row>
    <row r="994" ht="12.75" customHeight="1">
      <c r="A994" s="165"/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</row>
    <row r="995" ht="12.75" customHeight="1">
      <c r="A995" s="165"/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</row>
    <row r="996" ht="12.75" customHeight="1">
      <c r="A996" s="165"/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</row>
    <row r="997" ht="12.75" customHeight="1">
      <c r="A997" s="165"/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</row>
    <row r="998" ht="12.75" customHeight="1">
      <c r="A998" s="165"/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</row>
    <row r="999" ht="12.75" customHeight="1">
      <c r="A999" s="165"/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</row>
    <row r="1000" ht="12.75" customHeight="1">
      <c r="A1000" s="165"/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</row>
  </sheetData>
  <mergeCells count="1">
    <mergeCell ref="A41:C41"/>
  </mergeCells>
  <printOptions/>
  <pageMargins bottom="1.0" footer="0.0" header="0.0" left="0.75" right="0.75" top="1.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71"/>
    <col customWidth="1" hidden="1" min="2" max="5" width="8.86"/>
    <col customWidth="1" min="6" max="6" width="9.14"/>
    <col customWidth="1" hidden="1" min="7" max="7" width="8.86"/>
    <col customWidth="1" min="8" max="26" width="8.86"/>
  </cols>
  <sheetData>
    <row r="1">
      <c r="A1" s="3" t="str">
        <f>Contents!A5</f>
        <v>THE HOME DEPOT, INC.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>
      <c r="A2" s="3" t="s">
        <v>343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>
      <c r="A3" s="1" t="s">
        <v>116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>
      <c r="A6" s="1"/>
      <c r="B6" s="1"/>
      <c r="C6" s="1"/>
      <c r="D6" s="1"/>
      <c r="E6" s="1"/>
      <c r="F6" s="1"/>
      <c r="G6" s="1"/>
      <c r="H6" s="9">
        <f>'IS Assumptions'!H5</f>
        <v>2020</v>
      </c>
      <c r="I6" s="9">
        <f>'IS Assumptions'!I5</f>
        <v>2021</v>
      </c>
      <c r="J6" s="9">
        <f>'IS Assumptions'!J5</f>
        <v>2022</v>
      </c>
      <c r="K6" s="9">
        <f>'IS Assumptions'!K5</f>
        <v>2023</v>
      </c>
      <c r="L6" s="9">
        <f>'IS Assumptions'!L5</f>
        <v>2024</v>
      </c>
      <c r="M6" s="9">
        <f>'IS Assumptions'!M5</f>
        <v>2025</v>
      </c>
      <c r="N6" s="9">
        <f>'IS Assumptions'!N5</f>
        <v>2026</v>
      </c>
      <c r="O6" s="9">
        <f>'IS Assumptions'!O5</f>
        <v>2027</v>
      </c>
      <c r="P6" s="9">
        <f>'IS Assumptions'!P5</f>
        <v>2028</v>
      </c>
      <c r="Q6" s="9">
        <f>'IS Assumptions'!Q5</f>
        <v>2029</v>
      </c>
    </row>
    <row r="7">
      <c r="A7" s="1" t="s">
        <v>344</v>
      </c>
      <c r="B7" s="1"/>
      <c r="C7" s="1"/>
      <c r="D7" s="1"/>
      <c r="E7" s="1"/>
      <c r="F7" s="12"/>
      <c r="G7" s="12"/>
      <c r="H7" s="200">
        <f>'Cost of Capital'!$G$13</f>
        <v>0.09</v>
      </c>
      <c r="I7" s="200">
        <f>'Cost of Capital'!$G$13</f>
        <v>0.09</v>
      </c>
      <c r="J7" s="200">
        <f>'Cost of Capital'!$G$13</f>
        <v>0.09</v>
      </c>
      <c r="K7" s="200">
        <f>'Cost of Capital'!$G$13</f>
        <v>0.09</v>
      </c>
      <c r="L7" s="200">
        <f>'Cost of Capital'!$G$13</f>
        <v>0.09</v>
      </c>
      <c r="M7" s="200">
        <f>'Cost of Capital'!$G$13</f>
        <v>0.09</v>
      </c>
      <c r="N7" s="200">
        <f>'Cost of Capital'!$G$13</f>
        <v>0.09</v>
      </c>
      <c r="O7" s="200">
        <f>'Cost of Capital'!$G$13</f>
        <v>0.09</v>
      </c>
      <c r="P7" s="200">
        <f>'Cost of Capital'!$G$13</f>
        <v>0.09</v>
      </c>
      <c r="Q7" s="200">
        <f>'Cost of Capital'!$G$13</f>
        <v>0.09</v>
      </c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>
      <c r="A9" s="1" t="s">
        <v>345</v>
      </c>
      <c r="B9" s="1"/>
      <c r="C9" s="1"/>
      <c r="D9" s="1"/>
      <c r="E9" s="1"/>
      <c r="F9" s="10"/>
      <c r="G9" s="10"/>
      <c r="H9" s="27">
        <f>BalSht!G44</f>
        <v>-3116</v>
      </c>
      <c r="I9" s="27">
        <f>BalSht!H44</f>
        <v>1234.521646</v>
      </c>
      <c r="J9" s="27">
        <f>BalSht!I44</f>
        <v>2415.871243</v>
      </c>
      <c r="K9" s="27">
        <f>BalSht!J44</f>
        <v>3539.809063</v>
      </c>
      <c r="L9" s="27">
        <f>BalSht!K44</f>
        <v>4658.928663</v>
      </c>
      <c r="M9" s="27">
        <f>BalSht!L44</f>
        <v>5821.350474</v>
      </c>
      <c r="N9" s="27">
        <f>BalSht!M44</f>
        <v>7026.356652</v>
      </c>
      <c r="O9" s="27">
        <f>BalSht!N44</f>
        <v>8272.434347</v>
      </c>
      <c r="P9" s="27">
        <f>BalSht!O44</f>
        <v>9572.38972</v>
      </c>
      <c r="Q9" s="27">
        <f>BalSht!P44</f>
        <v>10920.44604</v>
      </c>
    </row>
    <row r="10">
      <c r="A10" s="1" t="s">
        <v>346</v>
      </c>
      <c r="B10" s="1"/>
      <c r="C10" s="1"/>
      <c r="D10" s="1"/>
      <c r="E10" s="1"/>
      <c r="F10" s="10"/>
      <c r="G10" s="10"/>
      <c r="H10" s="27">
        <f>CFStat!H8</f>
        <v>12256.009</v>
      </c>
      <c r="I10" s="27">
        <f>CFStat!I8</f>
        <v>12702.56796</v>
      </c>
      <c r="J10" s="27">
        <f>CFStat!J8</f>
        <v>13621.62912</v>
      </c>
      <c r="K10" s="27">
        <f>CFStat!K8</f>
        <v>14464.70215</v>
      </c>
      <c r="L10" s="27">
        <f>CFStat!L8</f>
        <v>15241.27871</v>
      </c>
      <c r="M10" s="27">
        <f>CFStat!M8</f>
        <v>15941.09556</v>
      </c>
      <c r="N10" s="27">
        <f>CFStat!N8</f>
        <v>16668.63839</v>
      </c>
      <c r="O10" s="27">
        <f>CFStat!O8</f>
        <v>17306.36597</v>
      </c>
      <c r="P10" s="27">
        <f>CFStat!P8</f>
        <v>17843.0525</v>
      </c>
      <c r="Q10" s="27">
        <f>CFStat!Q8</f>
        <v>18368.14727</v>
      </c>
    </row>
    <row r="11">
      <c r="A11" s="1" t="s">
        <v>347</v>
      </c>
      <c r="B11" s="1"/>
      <c r="C11" s="1"/>
      <c r="D11" s="1"/>
      <c r="E11" s="1"/>
      <c r="F11" s="10"/>
      <c r="G11" s="10"/>
      <c r="H11" s="27">
        <f t="shared" ref="H11:Q11" si="1">H10-(H7*H9)</f>
        <v>12536.449</v>
      </c>
      <c r="I11" s="27">
        <f t="shared" si="1"/>
        <v>12591.46101</v>
      </c>
      <c r="J11" s="27">
        <f t="shared" si="1"/>
        <v>13404.20071</v>
      </c>
      <c r="K11" s="27">
        <f t="shared" si="1"/>
        <v>14146.11933</v>
      </c>
      <c r="L11" s="27">
        <f t="shared" si="1"/>
        <v>14821.97513</v>
      </c>
      <c r="M11" s="27">
        <f t="shared" si="1"/>
        <v>15417.17401</v>
      </c>
      <c r="N11" s="27">
        <f t="shared" si="1"/>
        <v>16036.2663</v>
      </c>
      <c r="O11" s="27">
        <f t="shared" si="1"/>
        <v>16561.84688</v>
      </c>
      <c r="P11" s="27">
        <f t="shared" si="1"/>
        <v>16981.53743</v>
      </c>
      <c r="Q11" s="27">
        <f t="shared" si="1"/>
        <v>17385.30713</v>
      </c>
    </row>
    <row r="12">
      <c r="A12" s="1" t="s">
        <v>348</v>
      </c>
      <c r="B12" s="1"/>
      <c r="C12" s="1"/>
      <c r="D12" s="1"/>
      <c r="E12" s="1"/>
      <c r="F12" s="10"/>
      <c r="G12" s="10"/>
      <c r="H12" s="201">
        <f>(1+H7)^(1)</f>
        <v>1.09</v>
      </c>
      <c r="I12" s="201">
        <f>(1+I7)^(2)</f>
        <v>1.1881</v>
      </c>
      <c r="J12" s="201">
        <f>(1+J7)^(3)</f>
        <v>1.295029</v>
      </c>
      <c r="K12" s="201">
        <f>(1+K7)^(4)</f>
        <v>1.41158161</v>
      </c>
      <c r="L12" s="201">
        <f>(1+L7)^(5)</f>
        <v>1.538623955</v>
      </c>
      <c r="M12" s="201">
        <f>(1+M7)^(6)</f>
        <v>1.677100111</v>
      </c>
      <c r="N12" s="201">
        <f>(1+N7)^(7)</f>
        <v>1.828039121</v>
      </c>
      <c r="O12" s="201">
        <f>(1+O7)^(8)</f>
        <v>1.992562642</v>
      </c>
      <c r="P12" s="201">
        <f>(1+P7)^(9)</f>
        <v>2.171893279</v>
      </c>
      <c r="Q12" s="201">
        <f>(1+Q7)^(10)</f>
        <v>2.367363675</v>
      </c>
    </row>
    <row r="13">
      <c r="A13" s="1" t="s">
        <v>349</v>
      </c>
      <c r="B13" s="1"/>
      <c r="C13" s="1"/>
      <c r="D13" s="1"/>
      <c r="E13" s="1"/>
      <c r="F13" s="10"/>
      <c r="G13" s="10"/>
      <c r="H13" s="27">
        <f t="shared" ref="H13:Q13" si="2">H11/H12</f>
        <v>11501.32936</v>
      </c>
      <c r="I13" s="27">
        <f t="shared" si="2"/>
        <v>10597.98082</v>
      </c>
      <c r="J13" s="27">
        <f t="shared" si="2"/>
        <v>10350.50235</v>
      </c>
      <c r="K13" s="27">
        <f t="shared" si="2"/>
        <v>10021.46757</v>
      </c>
      <c r="L13" s="27">
        <f t="shared" si="2"/>
        <v>9633.266845</v>
      </c>
      <c r="M13" s="27">
        <f t="shared" si="2"/>
        <v>9192.757137</v>
      </c>
      <c r="N13" s="27">
        <f t="shared" si="2"/>
        <v>8772.386823</v>
      </c>
      <c r="O13" s="27">
        <f t="shared" si="2"/>
        <v>8311.832476</v>
      </c>
      <c r="P13" s="27">
        <f t="shared" si="2"/>
        <v>7818.771571</v>
      </c>
      <c r="Q13" s="27">
        <f t="shared" si="2"/>
        <v>7343.741611</v>
      </c>
    </row>
    <row r="14">
      <c r="A14" s="1" t="s">
        <v>350</v>
      </c>
      <c r="B14" s="1"/>
      <c r="C14" s="1"/>
      <c r="D14" s="1"/>
      <c r="E14" s="1"/>
      <c r="F14" s="27">
        <f>sum(H13:P13)</f>
        <v>86200.29496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"/>
    </row>
    <row r="15">
      <c r="A15" s="1" t="s">
        <v>351</v>
      </c>
      <c r="B15" s="1"/>
      <c r="C15" s="1"/>
      <c r="D15" s="1"/>
      <c r="E15" s="1"/>
      <c r="F15" s="106">
        <v>9.0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"/>
    </row>
    <row r="16">
      <c r="A16" s="1" t="s">
        <v>352</v>
      </c>
      <c r="B16" s="1"/>
      <c r="C16" s="1"/>
      <c r="D16" s="1"/>
      <c r="E16" s="1"/>
      <c r="F16" s="202">
        <v>0.03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"/>
    </row>
    <row r="17">
      <c r="A17" s="1" t="s">
        <v>353</v>
      </c>
      <c r="B17" s="1"/>
      <c r="C17" s="1"/>
      <c r="D17" s="1"/>
      <c r="E17" s="1"/>
      <c r="F17" s="27">
        <f>(Q11/(Q7-F16))/((1+Q7)^9)</f>
        <v>133411.3059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"/>
    </row>
    <row r="18">
      <c r="A18" s="1" t="s">
        <v>354</v>
      </c>
      <c r="B18" s="1"/>
      <c r="C18" s="1"/>
      <c r="D18" s="1"/>
      <c r="E18" s="1"/>
      <c r="F18" s="27">
        <f>F14+F17</f>
        <v>219611.6009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"/>
    </row>
    <row r="19">
      <c r="A19" s="1" t="s">
        <v>355</v>
      </c>
      <c r="B19" s="1"/>
      <c r="C19" s="1"/>
      <c r="D19" s="1"/>
      <c r="E19" s="1"/>
      <c r="F19" s="27">
        <f>'DCF Valuation'!F58</f>
        <v>1077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"/>
    </row>
    <row r="20">
      <c r="A20" s="1" t="s">
        <v>356</v>
      </c>
      <c r="B20" s="1"/>
      <c r="C20" s="1"/>
      <c r="D20" s="1"/>
      <c r="E20" s="1"/>
      <c r="F20" s="27">
        <f>F18/F19</f>
        <v>203.9104929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"/>
    </row>
    <row r="21" ht="15.75" customHeight="1">
      <c r="A21" s="1"/>
      <c r="B21" s="1"/>
      <c r="C21" s="1"/>
      <c r="D21" s="1"/>
      <c r="E21" s="1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"/>
    </row>
    <row r="22" ht="15.75" customHeight="1">
      <c r="A22" s="1" t="s">
        <v>357</v>
      </c>
      <c r="B22" s="1"/>
      <c r="C22" s="1"/>
      <c r="D22" s="1"/>
      <c r="E22" s="1"/>
      <c r="F22" s="10">
        <f>F20-'DCF Valuation'!F60</f>
        <v>7.504539439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2020-10-18T00:16:08Z</dcterms:created>
  <dc:creator>Minnis, Michael</dc:creator>
</cp:coreProperties>
</file>