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melnyk\Box Sync\Booth\30130 FSA\_Final Project\Working Documents\"/>
    </mc:Choice>
  </mc:AlternateContent>
  <bookViews>
    <workbookView xWindow="0" yWindow="0" windowWidth="28800" windowHeight="12432"/>
  </bookViews>
  <sheets>
    <sheet name="Summary Page" sheetId="1" r:id="rId1"/>
    <sheet name="IS Assumptions" sheetId="2" r:id="rId2"/>
    <sheet name="BS Assumptions" sheetId="3" r:id="rId3"/>
    <sheet name="CF Assumptions" sheetId="4" r:id="rId4"/>
    <sheet name="Income Statement" sheetId="5" r:id="rId5"/>
    <sheet name="Balance Sheet" sheetId="6" r:id="rId6"/>
    <sheet name="Cash Flows" sheetId="7" r:id="rId7"/>
    <sheet name="Accrued Liabilities" sheetId="8" r:id="rId8"/>
    <sheet name="Intangible Assets" sheetId="9" r:id="rId9"/>
    <sheet name="Content Assets" sheetId="10" r:id="rId10"/>
    <sheet name="NOPAT" sheetId="11" r:id="rId11"/>
    <sheet name="DCF Valuation" sheetId="12" r:id="rId12"/>
    <sheet name="RI Valuation" sheetId="13" r:id="rId13"/>
    <sheet name="Stock Comp Outstanding" sheetId="14" r:id="rId14"/>
    <sheet name="Cost of Capital" sheetId="15" r:id="rId15"/>
    <sheet name="Financial Summary &amp; Forecasts" sheetId="16" r:id="rId16"/>
  </sheets>
  <externalReferences>
    <externalReference r:id="rId17"/>
  </externalReferences>
  <definedNames>
    <definedName name="WACC">'Cost of Capital'!$G$28</definedName>
  </definedNames>
  <calcPr calcId="162913"/>
</workbook>
</file>

<file path=xl/calcChain.xml><?xml version="1.0" encoding="utf-8"?>
<calcChain xmlns="http://schemas.openxmlformats.org/spreadsheetml/2006/main">
  <c r="L44" i="15" l="1"/>
  <c r="K44" i="15"/>
  <c r="J44" i="15"/>
  <c r="I44" i="15"/>
  <c r="H44" i="15"/>
  <c r="G44" i="15"/>
  <c r="F44" i="15"/>
  <c r="E44" i="15"/>
  <c r="D44" i="15"/>
  <c r="C44" i="15"/>
  <c r="G26" i="15"/>
  <c r="J22" i="15"/>
  <c r="J21" i="15"/>
  <c r="G18" i="15"/>
  <c r="G14" i="15"/>
  <c r="G16" i="15" s="1"/>
  <c r="J24" i="15" l="1"/>
  <c r="G23" i="15" s="1"/>
  <c r="D19" i="16"/>
  <c r="C19" i="16"/>
  <c r="D18" i="16"/>
  <c r="C18" i="16"/>
  <c r="B14" i="14"/>
  <c r="B6" i="14"/>
  <c r="B17" i="14" s="1"/>
  <c r="F15" i="13"/>
  <c r="Q7" i="13"/>
  <c r="Q12" i="13" s="1"/>
  <c r="N7" i="13"/>
  <c r="N12" i="13" s="1"/>
  <c r="I7" i="13"/>
  <c r="I12" i="13" s="1"/>
  <c r="I61" i="12"/>
  <c r="F19" i="13" s="1"/>
  <c r="I57" i="12"/>
  <c r="I50" i="12"/>
  <c r="H8" i="11"/>
  <c r="G8" i="11"/>
  <c r="F8" i="11"/>
  <c r="H7" i="11"/>
  <c r="H9" i="11" s="1"/>
  <c r="H20" i="11" s="1"/>
  <c r="G7" i="11"/>
  <c r="G9" i="11" s="1"/>
  <c r="G20" i="11" s="1"/>
  <c r="F7" i="11"/>
  <c r="F9" i="11" s="1"/>
  <c r="H19" i="10"/>
  <c r="G19" i="10"/>
  <c r="F19" i="10"/>
  <c r="D19" i="10"/>
  <c r="C19" i="10"/>
  <c r="B19" i="10"/>
  <c r="F13" i="10"/>
  <c r="E13" i="10"/>
  <c r="H9" i="10"/>
  <c r="H10" i="10" s="1"/>
  <c r="H13" i="10" s="1"/>
  <c r="G9" i="10"/>
  <c r="G10" i="10" s="1"/>
  <c r="G13" i="10" s="1"/>
  <c r="H16" i="6" s="1"/>
  <c r="I10" i="4" s="1"/>
  <c r="J10" i="4" s="1"/>
  <c r="F9" i="10"/>
  <c r="E9" i="10"/>
  <c r="D9" i="10"/>
  <c r="D10" i="10" s="1"/>
  <c r="D13" i="10" s="1"/>
  <c r="C9" i="10"/>
  <c r="C10" i="10" s="1"/>
  <c r="C13" i="10" s="1"/>
  <c r="B9" i="10"/>
  <c r="B10" i="10" s="1"/>
  <c r="B13" i="10" s="1"/>
  <c r="B9" i="9"/>
  <c r="I12" i="8"/>
  <c r="H12" i="8"/>
  <c r="G12" i="8"/>
  <c r="F12" i="8"/>
  <c r="F11" i="8"/>
  <c r="E11" i="8"/>
  <c r="E12" i="8" s="1"/>
  <c r="I66" i="7"/>
  <c r="E66" i="7"/>
  <c r="U65" i="7"/>
  <c r="T65" i="7"/>
  <c r="S65" i="7"/>
  <c r="R65" i="7"/>
  <c r="Q65" i="7"/>
  <c r="P65" i="7"/>
  <c r="O65" i="7"/>
  <c r="N65" i="7"/>
  <c r="M65" i="7"/>
  <c r="L65" i="7"/>
  <c r="K65" i="7"/>
  <c r="J65" i="7"/>
  <c r="U64" i="7"/>
  <c r="T64" i="7"/>
  <c r="S64" i="7"/>
  <c r="R64" i="7"/>
  <c r="Q64" i="7"/>
  <c r="P64" i="7"/>
  <c r="O64" i="7"/>
  <c r="N64" i="7"/>
  <c r="M64" i="7"/>
  <c r="L64" i="7"/>
  <c r="K64" i="7"/>
  <c r="J64" i="7"/>
  <c r="I63" i="7"/>
  <c r="H63" i="7"/>
  <c r="H66" i="7" s="1"/>
  <c r="G63" i="7"/>
  <c r="G66" i="7" s="1"/>
  <c r="F63" i="7"/>
  <c r="F66" i="7" s="1"/>
  <c r="E63" i="7"/>
  <c r="D63" i="7"/>
  <c r="D66" i="7" s="1"/>
  <c r="C63" i="7"/>
  <c r="C66" i="7" s="1"/>
  <c r="I60" i="7"/>
  <c r="H60" i="7"/>
  <c r="G60" i="7"/>
  <c r="F60" i="7"/>
  <c r="E60" i="7"/>
  <c r="D60" i="7"/>
  <c r="C60" i="7"/>
  <c r="J59" i="7"/>
  <c r="U58" i="7"/>
  <c r="T58" i="7"/>
  <c r="S58" i="7"/>
  <c r="R58" i="7"/>
  <c r="Q58" i="7"/>
  <c r="P58" i="7"/>
  <c r="O58" i="7"/>
  <c r="N58" i="7"/>
  <c r="M58" i="7"/>
  <c r="L58" i="7"/>
  <c r="K58" i="7"/>
  <c r="J58" i="7"/>
  <c r="I55" i="7"/>
  <c r="H55" i="7"/>
  <c r="G55" i="7"/>
  <c r="F55" i="7"/>
  <c r="E55" i="7"/>
  <c r="D55" i="7"/>
  <c r="C55" i="7"/>
  <c r="U53" i="7"/>
  <c r="T53" i="7"/>
  <c r="S53" i="7"/>
  <c r="R53" i="7"/>
  <c r="Q53" i="7"/>
  <c r="P53" i="7"/>
  <c r="O53" i="7"/>
  <c r="N53" i="7"/>
  <c r="M53" i="7"/>
  <c r="L53" i="7"/>
  <c r="K53" i="7"/>
  <c r="J53" i="7"/>
  <c r="U52" i="7"/>
  <c r="T52" i="7"/>
  <c r="S52" i="7"/>
  <c r="R52" i="7"/>
  <c r="Q52" i="7"/>
  <c r="P52" i="7"/>
  <c r="O52" i="7"/>
  <c r="N52" i="7"/>
  <c r="M52" i="7"/>
  <c r="L52" i="7"/>
  <c r="K52" i="7"/>
  <c r="J52" i="7"/>
  <c r="U51" i="7"/>
  <c r="T51" i="7"/>
  <c r="S51" i="7"/>
  <c r="R51" i="7"/>
  <c r="Q51" i="7"/>
  <c r="P51" i="7"/>
  <c r="O51" i="7"/>
  <c r="N51" i="7"/>
  <c r="M51" i="7"/>
  <c r="L51" i="7"/>
  <c r="K51" i="7"/>
  <c r="J51" i="7"/>
  <c r="U50" i="7"/>
  <c r="T50" i="7"/>
  <c r="S50" i="7"/>
  <c r="R50" i="7"/>
  <c r="Q50" i="7"/>
  <c r="P50" i="7"/>
  <c r="O50" i="7"/>
  <c r="N50" i="7"/>
  <c r="M50" i="7"/>
  <c r="L50" i="7"/>
  <c r="K50" i="7"/>
  <c r="J50" i="7"/>
  <c r="U49" i="7"/>
  <c r="T49" i="7"/>
  <c r="S49" i="7"/>
  <c r="R49" i="7"/>
  <c r="Q49" i="7"/>
  <c r="P49" i="7"/>
  <c r="O49" i="7"/>
  <c r="N49" i="7"/>
  <c r="M49" i="7"/>
  <c r="L49" i="7"/>
  <c r="K49" i="7"/>
  <c r="J49" i="7"/>
  <c r="U48" i="7"/>
  <c r="T48" i="7"/>
  <c r="S48" i="7"/>
  <c r="R48" i="7"/>
  <c r="Q48" i="7"/>
  <c r="P48" i="7"/>
  <c r="O48" i="7"/>
  <c r="N48" i="7"/>
  <c r="M48" i="7"/>
  <c r="L48" i="7"/>
  <c r="K48" i="7"/>
  <c r="J48" i="7"/>
  <c r="U47" i="7"/>
  <c r="T47" i="7"/>
  <c r="S47" i="7"/>
  <c r="R47" i="7"/>
  <c r="Q47" i="7"/>
  <c r="P47" i="7"/>
  <c r="O47" i="7"/>
  <c r="N47" i="7"/>
  <c r="M47" i="7"/>
  <c r="L47" i="7"/>
  <c r="K47" i="7"/>
  <c r="J47" i="7"/>
  <c r="U46" i="7"/>
  <c r="T46" i="7"/>
  <c r="S46" i="7"/>
  <c r="R46" i="7"/>
  <c r="Q46" i="7"/>
  <c r="P46" i="7"/>
  <c r="O46" i="7"/>
  <c r="N46" i="7"/>
  <c r="M46" i="7"/>
  <c r="L46" i="7"/>
  <c r="K46" i="7"/>
  <c r="J46" i="7"/>
  <c r="I43" i="7"/>
  <c r="H43" i="7"/>
  <c r="G43" i="7"/>
  <c r="F43" i="7"/>
  <c r="E43" i="7"/>
  <c r="D43" i="7"/>
  <c r="C43" i="7"/>
  <c r="U42" i="7"/>
  <c r="T42" i="7"/>
  <c r="S42" i="7"/>
  <c r="R42" i="7"/>
  <c r="Q42" i="7"/>
  <c r="P42" i="7"/>
  <c r="O42" i="7"/>
  <c r="N42" i="7"/>
  <c r="M42" i="7"/>
  <c r="L42" i="7"/>
  <c r="K42" i="7"/>
  <c r="J42" i="7"/>
  <c r="U41" i="7"/>
  <c r="T41" i="7"/>
  <c r="S41" i="7"/>
  <c r="R41" i="7"/>
  <c r="Q41" i="7"/>
  <c r="P41" i="7"/>
  <c r="O41" i="7"/>
  <c r="N41" i="7"/>
  <c r="M41" i="7"/>
  <c r="L41" i="7"/>
  <c r="K41" i="7"/>
  <c r="J41" i="7"/>
  <c r="U40" i="7"/>
  <c r="T40" i="7"/>
  <c r="S40" i="7"/>
  <c r="R40" i="7"/>
  <c r="Q40" i="7"/>
  <c r="P40" i="7"/>
  <c r="O40" i="7"/>
  <c r="N40" i="7"/>
  <c r="M40" i="7"/>
  <c r="L40" i="7"/>
  <c r="K40" i="7"/>
  <c r="J40" i="7"/>
  <c r="U39" i="7"/>
  <c r="T39" i="7"/>
  <c r="S39" i="7"/>
  <c r="R39" i="7"/>
  <c r="Q39" i="7"/>
  <c r="P39" i="7"/>
  <c r="O39" i="7"/>
  <c r="N39" i="7"/>
  <c r="M39" i="7"/>
  <c r="L39" i="7"/>
  <c r="K39" i="7"/>
  <c r="J39" i="7"/>
  <c r="U38" i="7"/>
  <c r="T38" i="7"/>
  <c r="S38" i="7"/>
  <c r="R38" i="7"/>
  <c r="Q38" i="7"/>
  <c r="P38" i="7"/>
  <c r="O38" i="7"/>
  <c r="N38" i="7"/>
  <c r="M38" i="7"/>
  <c r="L38" i="7"/>
  <c r="K38" i="7"/>
  <c r="J38" i="7"/>
  <c r="U37" i="7"/>
  <c r="T37" i="7"/>
  <c r="S37" i="7"/>
  <c r="R37" i="7"/>
  <c r="Q37" i="7"/>
  <c r="P37" i="7"/>
  <c r="O37" i="7"/>
  <c r="N37" i="7"/>
  <c r="M37" i="7"/>
  <c r="L37" i="7"/>
  <c r="K37" i="7"/>
  <c r="J37" i="7"/>
  <c r="U36" i="7"/>
  <c r="T36" i="7"/>
  <c r="S36" i="7"/>
  <c r="R36" i="7"/>
  <c r="Q36" i="7"/>
  <c r="P36" i="7"/>
  <c r="O36" i="7"/>
  <c r="N36" i="7"/>
  <c r="M36" i="7"/>
  <c r="L36" i="7"/>
  <c r="K36" i="7"/>
  <c r="J36" i="7"/>
  <c r="I32" i="7"/>
  <c r="H32" i="7"/>
  <c r="D32" i="7"/>
  <c r="D26" i="7"/>
  <c r="C26" i="7"/>
  <c r="E24" i="7"/>
  <c r="D24" i="7"/>
  <c r="C24" i="7"/>
  <c r="U19" i="7"/>
  <c r="T19" i="7"/>
  <c r="S19" i="7"/>
  <c r="R19" i="7"/>
  <c r="Q19" i="7"/>
  <c r="P19" i="7"/>
  <c r="O19" i="7"/>
  <c r="N19" i="7"/>
  <c r="M19" i="7"/>
  <c r="L19" i="7"/>
  <c r="K19" i="7"/>
  <c r="J19" i="7"/>
  <c r="D19" i="7"/>
  <c r="C19" i="7"/>
  <c r="C32" i="7" s="1"/>
  <c r="U18" i="7"/>
  <c r="T18" i="7"/>
  <c r="S18" i="7"/>
  <c r="R18" i="7"/>
  <c r="Q18" i="7"/>
  <c r="P18" i="7"/>
  <c r="O18" i="7"/>
  <c r="N18" i="7"/>
  <c r="M18" i="7"/>
  <c r="L18" i="7"/>
  <c r="K18" i="7"/>
  <c r="J18" i="7"/>
  <c r="U17" i="7"/>
  <c r="T17" i="7"/>
  <c r="S17" i="7"/>
  <c r="R17" i="7"/>
  <c r="Q17" i="7"/>
  <c r="P17" i="7"/>
  <c r="O17" i="7"/>
  <c r="N17" i="7"/>
  <c r="M17" i="7"/>
  <c r="L17" i="7"/>
  <c r="K17" i="7"/>
  <c r="J17" i="7"/>
  <c r="U16" i="7"/>
  <c r="T16" i="7"/>
  <c r="S16" i="7"/>
  <c r="R16" i="7"/>
  <c r="Q16" i="7"/>
  <c r="P16" i="7"/>
  <c r="O16" i="7"/>
  <c r="N16" i="7"/>
  <c r="M16" i="7"/>
  <c r="L16" i="7"/>
  <c r="K16" i="7"/>
  <c r="J16" i="7"/>
  <c r="U15" i="7"/>
  <c r="T15" i="7"/>
  <c r="S15" i="7"/>
  <c r="R15" i="7"/>
  <c r="Q15" i="7"/>
  <c r="P15" i="7"/>
  <c r="O15" i="7"/>
  <c r="N15" i="7"/>
  <c r="M15" i="7"/>
  <c r="L15" i="7"/>
  <c r="K15" i="7"/>
  <c r="J15" i="7"/>
  <c r="U14" i="7"/>
  <c r="T14" i="7"/>
  <c r="S14" i="7"/>
  <c r="R14" i="7"/>
  <c r="Q14" i="7"/>
  <c r="P14" i="7"/>
  <c r="O14" i="7"/>
  <c r="N14" i="7"/>
  <c r="M14" i="7"/>
  <c r="L14" i="7"/>
  <c r="K14" i="7"/>
  <c r="J14" i="7"/>
  <c r="U12" i="7"/>
  <c r="T12" i="7"/>
  <c r="S12" i="7"/>
  <c r="R12" i="7"/>
  <c r="Q12" i="7"/>
  <c r="P12" i="7"/>
  <c r="O12" i="7"/>
  <c r="N12" i="7"/>
  <c r="M12" i="7"/>
  <c r="L12" i="7"/>
  <c r="K12" i="7"/>
  <c r="J12" i="7"/>
  <c r="U10" i="7"/>
  <c r="T11" i="12" s="1"/>
  <c r="T10" i="7"/>
  <c r="S11" i="12" s="1"/>
  <c r="S10" i="7"/>
  <c r="R11" i="12" s="1"/>
  <c r="R10" i="7"/>
  <c r="Q11" i="12" s="1"/>
  <c r="Q10" i="7"/>
  <c r="P11" i="12" s="1"/>
  <c r="P10" i="7"/>
  <c r="O11" i="12" s="1"/>
  <c r="O10" i="7"/>
  <c r="N11" i="12" s="1"/>
  <c r="N10" i="7"/>
  <c r="M11" i="12" s="1"/>
  <c r="M10" i="7"/>
  <c r="L11" i="12" s="1"/>
  <c r="L10" i="7"/>
  <c r="K11" i="12" s="1"/>
  <c r="K10" i="7"/>
  <c r="J11" i="12" s="1"/>
  <c r="J10" i="7"/>
  <c r="I11" i="12" s="1"/>
  <c r="I9" i="7"/>
  <c r="H9" i="7"/>
  <c r="G9" i="7"/>
  <c r="G32" i="7" s="1"/>
  <c r="F9" i="7"/>
  <c r="F32" i="7" s="1"/>
  <c r="E9" i="7"/>
  <c r="E32" i="7" s="1"/>
  <c r="D9" i="7"/>
  <c r="H40" i="6"/>
  <c r="G40" i="6"/>
  <c r="F40" i="6"/>
  <c r="D36" i="6"/>
  <c r="C35" i="6"/>
  <c r="U32" i="6"/>
  <c r="T32" i="6"/>
  <c r="S32" i="6"/>
  <c r="R32" i="6"/>
  <c r="Q32" i="6"/>
  <c r="P32" i="6"/>
  <c r="O32" i="6"/>
  <c r="N32" i="6"/>
  <c r="M32" i="6"/>
  <c r="L32" i="6"/>
  <c r="K32" i="6"/>
  <c r="J32" i="6"/>
  <c r="E29" i="6"/>
  <c r="E36" i="6" s="1"/>
  <c r="D29" i="6"/>
  <c r="C29" i="6"/>
  <c r="C36" i="6" s="1"/>
  <c r="G25" i="6"/>
  <c r="F25" i="6"/>
  <c r="C20" i="6"/>
  <c r="I19" i="6"/>
  <c r="D19" i="6"/>
  <c r="C19" i="6"/>
  <c r="U17" i="6"/>
  <c r="T17" i="6"/>
  <c r="S17" i="6"/>
  <c r="R17" i="6"/>
  <c r="Q17" i="6"/>
  <c r="P17" i="6"/>
  <c r="I16" i="6"/>
  <c r="E13" i="6"/>
  <c r="E20" i="6" s="1"/>
  <c r="E7" i="11" s="1"/>
  <c r="D13" i="6"/>
  <c r="D20" i="6" s="1"/>
  <c r="D7" i="11" s="1"/>
  <c r="C13" i="6"/>
  <c r="I12" i="6"/>
  <c r="I10" i="3" s="1"/>
  <c r="J10" i="3" s="1"/>
  <c r="K10" i="3" s="1"/>
  <c r="L10" i="3" s="1"/>
  <c r="M10" i="3" s="1"/>
  <c r="N10" i="3" s="1"/>
  <c r="O10" i="3" s="1"/>
  <c r="P10" i="3" s="1"/>
  <c r="Q10" i="3" s="1"/>
  <c r="R10" i="3" s="1"/>
  <c r="S10" i="3" s="1"/>
  <c r="T10" i="3" s="1"/>
  <c r="U10" i="3" s="1"/>
  <c r="H12" i="6"/>
  <c r="F12" i="6"/>
  <c r="D12" i="6"/>
  <c r="C12" i="6"/>
  <c r="I37" i="5"/>
  <c r="E37" i="5"/>
  <c r="D37" i="5"/>
  <c r="C37" i="5"/>
  <c r="U35" i="5"/>
  <c r="T35" i="5"/>
  <c r="S35" i="5"/>
  <c r="R35" i="5"/>
  <c r="Q35" i="5"/>
  <c r="P35" i="5"/>
  <c r="O35" i="5"/>
  <c r="N35" i="5"/>
  <c r="M35" i="5"/>
  <c r="L35" i="5"/>
  <c r="K35" i="5"/>
  <c r="J35" i="5"/>
  <c r="U34" i="5"/>
  <c r="T34" i="5"/>
  <c r="S34" i="5"/>
  <c r="R34" i="5"/>
  <c r="Q34" i="5"/>
  <c r="P34" i="5"/>
  <c r="O34" i="5"/>
  <c r="N34" i="5"/>
  <c r="M34" i="5"/>
  <c r="L34" i="5"/>
  <c r="K34" i="5"/>
  <c r="J34" i="5"/>
  <c r="H27" i="5"/>
  <c r="I26" i="5"/>
  <c r="I15" i="11" s="1"/>
  <c r="H26" i="5"/>
  <c r="H15" i="11" s="1"/>
  <c r="G26" i="5"/>
  <c r="G15" i="11" s="1"/>
  <c r="F26" i="5"/>
  <c r="F15" i="11" s="1"/>
  <c r="E26" i="5"/>
  <c r="E15" i="11" s="1"/>
  <c r="D26" i="5"/>
  <c r="D15" i="11" s="1"/>
  <c r="C26" i="5"/>
  <c r="I19" i="5"/>
  <c r="I29" i="5" s="1"/>
  <c r="H19" i="5"/>
  <c r="H20" i="5" s="1"/>
  <c r="G19" i="5"/>
  <c r="G29" i="5" s="1"/>
  <c r="F19" i="5"/>
  <c r="F20" i="5" s="1"/>
  <c r="E19" i="5"/>
  <c r="E20" i="5" s="1"/>
  <c r="D19" i="5"/>
  <c r="D20" i="5" s="1"/>
  <c r="C19" i="5"/>
  <c r="C29" i="5" s="1"/>
  <c r="I15" i="5"/>
  <c r="I13" i="11" s="1"/>
  <c r="H15" i="5"/>
  <c r="G15" i="5"/>
  <c r="G13" i="11" s="1"/>
  <c r="F15" i="5"/>
  <c r="F13" i="11" s="1"/>
  <c r="E15" i="5"/>
  <c r="E13" i="11" s="1"/>
  <c r="D15" i="5"/>
  <c r="D13" i="11" s="1"/>
  <c r="C15" i="5"/>
  <c r="C13" i="11" s="1"/>
  <c r="I9" i="5"/>
  <c r="H9" i="5"/>
  <c r="G9" i="5"/>
  <c r="F9" i="5"/>
  <c r="F12" i="11" s="1"/>
  <c r="E9" i="5"/>
  <c r="D9" i="5"/>
  <c r="C9" i="5"/>
  <c r="C12" i="11" s="1"/>
  <c r="C14" i="11" s="1"/>
  <c r="I17" i="4"/>
  <c r="H17" i="4"/>
  <c r="G17" i="4"/>
  <c r="F17" i="4"/>
  <c r="E17" i="4"/>
  <c r="D17" i="4"/>
  <c r="C17" i="4"/>
  <c r="I15" i="4"/>
  <c r="H15" i="4"/>
  <c r="G15" i="4"/>
  <c r="F15" i="4"/>
  <c r="E15" i="4"/>
  <c r="D15" i="4"/>
  <c r="C15" i="4"/>
  <c r="I14" i="4"/>
  <c r="H14" i="4"/>
  <c r="G14" i="4"/>
  <c r="F14" i="4"/>
  <c r="E14" i="4"/>
  <c r="D14" i="4"/>
  <c r="C14" i="4"/>
  <c r="I13" i="4"/>
  <c r="H13" i="4"/>
  <c r="G13" i="4"/>
  <c r="F13" i="4"/>
  <c r="E13" i="4"/>
  <c r="D13" i="4"/>
  <c r="C13" i="4"/>
  <c r="I12" i="4"/>
  <c r="H12" i="4"/>
  <c r="G12" i="4"/>
  <c r="F12" i="4"/>
  <c r="E12" i="4"/>
  <c r="D12" i="4"/>
  <c r="C12" i="4"/>
  <c r="H10" i="4"/>
  <c r="G10" i="4"/>
  <c r="E10" i="4"/>
  <c r="D10" i="4"/>
  <c r="C10" i="4"/>
  <c r="I9" i="4"/>
  <c r="H9" i="4"/>
  <c r="G9" i="4"/>
  <c r="F9" i="4"/>
  <c r="E9" i="4"/>
  <c r="D9" i="4"/>
  <c r="C9" i="4"/>
  <c r="I8" i="4"/>
  <c r="H8" i="4"/>
  <c r="G8" i="4"/>
  <c r="F8" i="4"/>
  <c r="E8" i="4"/>
  <c r="D8" i="4"/>
  <c r="C8" i="4"/>
  <c r="D66" i="3"/>
  <c r="C66" i="3"/>
  <c r="C63" i="3" s="1"/>
  <c r="I65" i="3"/>
  <c r="I66" i="3" s="1"/>
  <c r="I63" i="3" s="1"/>
  <c r="H65" i="3"/>
  <c r="G65" i="3"/>
  <c r="F65" i="3"/>
  <c r="E65" i="3"/>
  <c r="D65" i="3"/>
  <c r="C65" i="3"/>
  <c r="I64" i="3"/>
  <c r="J64" i="3" s="1"/>
  <c r="J27" i="6" s="1"/>
  <c r="H64" i="3"/>
  <c r="H66" i="3" s="1"/>
  <c r="H63" i="3" s="1"/>
  <c r="G64" i="3"/>
  <c r="G66" i="3" s="1"/>
  <c r="G63" i="3" s="1"/>
  <c r="F64" i="3"/>
  <c r="F66" i="3" s="1"/>
  <c r="F63" i="3" s="1"/>
  <c r="E64" i="3"/>
  <c r="E66" i="3" s="1"/>
  <c r="D64" i="3"/>
  <c r="C64" i="3"/>
  <c r="I60" i="3"/>
  <c r="H60" i="3"/>
  <c r="G60" i="3"/>
  <c r="F60" i="3"/>
  <c r="E60" i="3"/>
  <c r="D60" i="3"/>
  <c r="C60" i="3"/>
  <c r="I59" i="3"/>
  <c r="H59" i="3"/>
  <c r="F59" i="3"/>
  <c r="E59" i="3"/>
  <c r="D59" i="3"/>
  <c r="C59" i="3"/>
  <c r="I58" i="3"/>
  <c r="I57" i="3" s="1"/>
  <c r="H58" i="3"/>
  <c r="H57" i="3" s="1"/>
  <c r="G58" i="3"/>
  <c r="G57" i="3" s="1"/>
  <c r="F58" i="3"/>
  <c r="E58" i="3"/>
  <c r="D58" i="3"/>
  <c r="C58" i="3"/>
  <c r="F57" i="3"/>
  <c r="E57" i="3"/>
  <c r="D57" i="3"/>
  <c r="C57" i="3"/>
  <c r="I54" i="3"/>
  <c r="H54" i="3"/>
  <c r="G54" i="3"/>
  <c r="F54" i="3"/>
  <c r="E54" i="3"/>
  <c r="D54" i="3"/>
  <c r="C54" i="3"/>
  <c r="I53" i="3"/>
  <c r="H53" i="3"/>
  <c r="G53" i="3"/>
  <c r="F53" i="3"/>
  <c r="E53" i="3"/>
  <c r="D53" i="3"/>
  <c r="C53" i="3"/>
  <c r="I48" i="3"/>
  <c r="U46" i="3"/>
  <c r="T46" i="3"/>
  <c r="S46" i="3"/>
  <c r="R46" i="3"/>
  <c r="Q46" i="3"/>
  <c r="P46" i="3"/>
  <c r="O46" i="3"/>
  <c r="N46" i="3"/>
  <c r="M46" i="3"/>
  <c r="L46" i="3"/>
  <c r="K46" i="3"/>
  <c r="J46" i="3"/>
  <c r="I46" i="3"/>
  <c r="H46" i="3"/>
  <c r="G46" i="3"/>
  <c r="F46" i="3"/>
  <c r="E46" i="3"/>
  <c r="D46" i="3"/>
  <c r="J45" i="3"/>
  <c r="K45" i="3" s="1"/>
  <c r="I44" i="3"/>
  <c r="J44" i="3" s="1"/>
  <c r="K44" i="3" s="1"/>
  <c r="L44" i="3" s="1"/>
  <c r="M44" i="3" s="1"/>
  <c r="N44" i="3" s="1"/>
  <c r="O44" i="3" s="1"/>
  <c r="P44" i="3" s="1"/>
  <c r="Q44" i="3" s="1"/>
  <c r="R44" i="3" s="1"/>
  <c r="S44" i="3" s="1"/>
  <c r="T44" i="3" s="1"/>
  <c r="U44" i="3" s="1"/>
  <c r="H44" i="3"/>
  <c r="G44" i="3"/>
  <c r="F44" i="3"/>
  <c r="E44" i="3"/>
  <c r="D44" i="3"/>
  <c r="C44" i="3"/>
  <c r="C38" i="3"/>
  <c r="C40" i="3" s="1"/>
  <c r="I37" i="3"/>
  <c r="H37" i="3"/>
  <c r="G37" i="3"/>
  <c r="F37" i="3"/>
  <c r="E37" i="3"/>
  <c r="D37" i="3"/>
  <c r="C37" i="3"/>
  <c r="I36" i="3"/>
  <c r="H36" i="3"/>
  <c r="H26" i="6" s="1"/>
  <c r="H25" i="6" s="1"/>
  <c r="G36" i="3"/>
  <c r="G38" i="3" s="1"/>
  <c r="G39" i="3" s="1"/>
  <c r="F36" i="3"/>
  <c r="F38" i="3" s="1"/>
  <c r="E36" i="3"/>
  <c r="E38" i="3" s="1"/>
  <c r="D36" i="3"/>
  <c r="D38" i="3" s="1"/>
  <c r="D40" i="3" s="1"/>
  <c r="I33" i="3"/>
  <c r="H33" i="3"/>
  <c r="G33" i="3"/>
  <c r="I32" i="3"/>
  <c r="H32" i="3"/>
  <c r="G32" i="3"/>
  <c r="F32" i="3"/>
  <c r="E32" i="3"/>
  <c r="D32" i="3"/>
  <c r="D33" i="3" s="1"/>
  <c r="C32" i="3"/>
  <c r="C33" i="3" s="1"/>
  <c r="I31" i="3"/>
  <c r="H31" i="3"/>
  <c r="G31" i="3"/>
  <c r="F31" i="3"/>
  <c r="E31" i="3"/>
  <c r="D31" i="3"/>
  <c r="C31" i="3"/>
  <c r="I28" i="3"/>
  <c r="H28" i="3"/>
  <c r="F28" i="3"/>
  <c r="E28" i="3"/>
  <c r="D28" i="3"/>
  <c r="C28" i="3"/>
  <c r="U27" i="3"/>
  <c r="U18" i="6" s="1"/>
  <c r="T27" i="3"/>
  <c r="T18" i="6" s="1"/>
  <c r="S27" i="3"/>
  <c r="S18" i="6" s="1"/>
  <c r="R27" i="3"/>
  <c r="R18" i="6" s="1"/>
  <c r="Q27" i="3"/>
  <c r="Q18" i="6" s="1"/>
  <c r="P27" i="3"/>
  <c r="P18" i="6" s="1"/>
  <c r="O27" i="3"/>
  <c r="O18" i="6" s="1"/>
  <c r="N27" i="3"/>
  <c r="N18" i="6" s="1"/>
  <c r="M27" i="3"/>
  <c r="M18" i="6" s="1"/>
  <c r="L27" i="3"/>
  <c r="L18" i="6" s="1"/>
  <c r="K27" i="3"/>
  <c r="K18" i="6" s="1"/>
  <c r="J27" i="3"/>
  <c r="J18" i="6" s="1"/>
  <c r="I27" i="3"/>
  <c r="H27" i="3"/>
  <c r="G27" i="3"/>
  <c r="F27" i="3"/>
  <c r="E27" i="3"/>
  <c r="D27" i="3"/>
  <c r="C27" i="3"/>
  <c r="I26" i="3"/>
  <c r="J26" i="3" s="1"/>
  <c r="H26" i="3"/>
  <c r="G26" i="3"/>
  <c r="F26" i="3"/>
  <c r="E26" i="3"/>
  <c r="D26" i="3"/>
  <c r="C26" i="3"/>
  <c r="I24" i="3"/>
  <c r="H24" i="3"/>
  <c r="G24" i="3"/>
  <c r="F24" i="3"/>
  <c r="E24" i="3"/>
  <c r="D24" i="3"/>
  <c r="C24" i="3"/>
  <c r="J23" i="3"/>
  <c r="I23" i="3"/>
  <c r="I19" i="3" s="1"/>
  <c r="H23" i="3"/>
  <c r="H19" i="3" s="1"/>
  <c r="G23" i="3"/>
  <c r="G19" i="3" s="1"/>
  <c r="F23" i="3"/>
  <c r="E23" i="3"/>
  <c r="D23" i="3"/>
  <c r="C23" i="3"/>
  <c r="I22" i="3"/>
  <c r="H22" i="3"/>
  <c r="G22" i="3"/>
  <c r="F22" i="3"/>
  <c r="E22" i="3"/>
  <c r="D22" i="3"/>
  <c r="C22" i="3"/>
  <c r="C18" i="3" s="1"/>
  <c r="L19" i="3"/>
  <c r="M19" i="3" s="1"/>
  <c r="N19" i="3" s="1"/>
  <c r="O19" i="3" s="1"/>
  <c r="P19" i="3" s="1"/>
  <c r="Q19" i="3" s="1"/>
  <c r="R19" i="3" s="1"/>
  <c r="S19" i="3" s="1"/>
  <c r="T19" i="3" s="1"/>
  <c r="U19" i="3" s="1"/>
  <c r="F19" i="3"/>
  <c r="E19" i="3"/>
  <c r="D19" i="3"/>
  <c r="I18" i="3"/>
  <c r="H18" i="3"/>
  <c r="F18" i="3"/>
  <c r="E18" i="3"/>
  <c r="D18" i="3"/>
  <c r="I15" i="3"/>
  <c r="H15" i="3"/>
  <c r="F15" i="3"/>
  <c r="E15" i="3"/>
  <c r="D15" i="3"/>
  <c r="C15" i="3"/>
  <c r="H14" i="3"/>
  <c r="F14" i="3"/>
  <c r="E14" i="3"/>
  <c r="D14" i="3"/>
  <c r="C14" i="3"/>
  <c r="I13" i="3"/>
  <c r="G13" i="3"/>
  <c r="F13" i="3"/>
  <c r="E13" i="3"/>
  <c r="D13" i="3"/>
  <c r="C13" i="3"/>
  <c r="H10" i="3"/>
  <c r="G10" i="3"/>
  <c r="F10" i="3"/>
  <c r="E10" i="3"/>
  <c r="D10" i="3"/>
  <c r="C10" i="3"/>
  <c r="I9" i="3"/>
  <c r="G9" i="3"/>
  <c r="F9" i="3"/>
  <c r="E9" i="3"/>
  <c r="D9" i="3"/>
  <c r="C9" i="3"/>
  <c r="K8" i="3"/>
  <c r="L8" i="3" s="1"/>
  <c r="M8" i="3" s="1"/>
  <c r="N8" i="3" s="1"/>
  <c r="O8" i="3" s="1"/>
  <c r="P8" i="3" s="1"/>
  <c r="Q8" i="3" s="1"/>
  <c r="R8" i="3" s="1"/>
  <c r="S8" i="3" s="1"/>
  <c r="T8" i="3" s="1"/>
  <c r="U8" i="3" s="1"/>
  <c r="I8" i="3"/>
  <c r="H8" i="3"/>
  <c r="G8" i="3"/>
  <c r="F8" i="3"/>
  <c r="E8" i="3"/>
  <c r="D8" i="3"/>
  <c r="C8" i="3"/>
  <c r="J59" i="2"/>
  <c r="J55" i="2"/>
  <c r="I55" i="2"/>
  <c r="H55" i="2"/>
  <c r="G55" i="2"/>
  <c r="F55" i="2"/>
  <c r="E55" i="2"/>
  <c r="D55" i="2"/>
  <c r="C55" i="2"/>
  <c r="I52" i="2"/>
  <c r="H52" i="2"/>
  <c r="G52" i="2"/>
  <c r="F52" i="2"/>
  <c r="D52" i="2"/>
  <c r="C52" i="2"/>
  <c r="N48" i="2"/>
  <c r="O48" i="2" s="1"/>
  <c r="P48" i="2" s="1"/>
  <c r="Q48" i="2" s="1"/>
  <c r="R48" i="2" s="1"/>
  <c r="S48" i="2" s="1"/>
  <c r="T48" i="2" s="1"/>
  <c r="U48" i="2" s="1"/>
  <c r="M48" i="2"/>
  <c r="I48" i="2"/>
  <c r="H48" i="2"/>
  <c r="I47" i="2"/>
  <c r="H47" i="2"/>
  <c r="G47" i="2"/>
  <c r="G48" i="2" s="1"/>
  <c r="F47" i="2"/>
  <c r="F48" i="2" s="1"/>
  <c r="E47" i="2"/>
  <c r="E48" i="2" s="1"/>
  <c r="D47" i="2"/>
  <c r="D48" i="2" s="1"/>
  <c r="C47" i="2"/>
  <c r="C48" i="2" s="1"/>
  <c r="O46" i="2"/>
  <c r="P46" i="2" s="1"/>
  <c r="Q46" i="2" s="1"/>
  <c r="R46" i="2" s="1"/>
  <c r="S46" i="2" s="1"/>
  <c r="T46" i="2" s="1"/>
  <c r="U46" i="2" s="1"/>
  <c r="N46" i="2"/>
  <c r="M46" i="2"/>
  <c r="H46" i="2"/>
  <c r="G46" i="2"/>
  <c r="F46" i="2"/>
  <c r="E46" i="2"/>
  <c r="I45" i="2"/>
  <c r="I46" i="2" s="1"/>
  <c r="J46" i="2" s="1"/>
  <c r="K46" i="2" s="1"/>
  <c r="H45" i="2"/>
  <c r="G45" i="2"/>
  <c r="F45" i="2"/>
  <c r="E45" i="2"/>
  <c r="D45" i="2"/>
  <c r="D46" i="2" s="1"/>
  <c r="C45" i="2"/>
  <c r="C46" i="2" s="1"/>
  <c r="N44" i="2"/>
  <c r="O44" i="2" s="1"/>
  <c r="P44" i="2" s="1"/>
  <c r="Q44" i="2" s="1"/>
  <c r="R44" i="2" s="1"/>
  <c r="S44" i="2" s="1"/>
  <c r="T44" i="2" s="1"/>
  <c r="U44" i="2" s="1"/>
  <c r="M44" i="2"/>
  <c r="J44" i="2"/>
  <c r="K44" i="2" s="1"/>
  <c r="F44" i="2"/>
  <c r="E44" i="2"/>
  <c r="D44" i="2"/>
  <c r="C44" i="2"/>
  <c r="I43" i="2"/>
  <c r="I44" i="2" s="1"/>
  <c r="H43" i="2"/>
  <c r="H44" i="2" s="1"/>
  <c r="G43" i="2"/>
  <c r="G44" i="2" s="1"/>
  <c r="F43" i="2"/>
  <c r="E43" i="2"/>
  <c r="D43" i="2"/>
  <c r="C43" i="2"/>
  <c r="I40" i="2"/>
  <c r="H40" i="2"/>
  <c r="D40" i="2"/>
  <c r="I39" i="2"/>
  <c r="H39" i="2"/>
  <c r="G39" i="2"/>
  <c r="G40" i="2" s="1"/>
  <c r="F39" i="2"/>
  <c r="F40" i="2" s="1"/>
  <c r="E39" i="2"/>
  <c r="E40" i="2" s="1"/>
  <c r="D39" i="2"/>
  <c r="C39" i="2"/>
  <c r="C40" i="2" s="1"/>
  <c r="R38" i="2"/>
  <c r="S38" i="2" s="1"/>
  <c r="T38" i="2" s="1"/>
  <c r="U38" i="2" s="1"/>
  <c r="I37" i="2"/>
  <c r="I38" i="2" s="1"/>
  <c r="H37" i="2"/>
  <c r="H38" i="2" s="1"/>
  <c r="G37" i="2"/>
  <c r="G38" i="2" s="1"/>
  <c r="F37" i="2"/>
  <c r="F38" i="2" s="1"/>
  <c r="E37" i="2"/>
  <c r="E38" i="2" s="1"/>
  <c r="D37" i="2"/>
  <c r="D38" i="2" s="1"/>
  <c r="C37" i="2"/>
  <c r="C38" i="2" s="1"/>
  <c r="I36" i="2"/>
  <c r="J36" i="2" s="1"/>
  <c r="K36" i="2" s="1"/>
  <c r="L36" i="2" s="1"/>
  <c r="M36" i="2" s="1"/>
  <c r="N36" i="2" s="1"/>
  <c r="O36" i="2" s="1"/>
  <c r="P36" i="2" s="1"/>
  <c r="Q36" i="2" s="1"/>
  <c r="R36" i="2" s="1"/>
  <c r="S36" i="2" s="1"/>
  <c r="T36" i="2" s="1"/>
  <c r="U36" i="2" s="1"/>
  <c r="H36" i="2"/>
  <c r="F36" i="2"/>
  <c r="I35" i="2"/>
  <c r="H35" i="2"/>
  <c r="G35" i="2"/>
  <c r="G36" i="2" s="1"/>
  <c r="F35" i="2"/>
  <c r="E35" i="2"/>
  <c r="E36" i="2" s="1"/>
  <c r="D35" i="2"/>
  <c r="D36" i="2" s="1"/>
  <c r="C35" i="2"/>
  <c r="C36" i="2" s="1"/>
  <c r="G32" i="2"/>
  <c r="F32" i="2"/>
  <c r="I31" i="2"/>
  <c r="I32" i="2" s="1"/>
  <c r="G31" i="2"/>
  <c r="F31" i="2"/>
  <c r="E31" i="2"/>
  <c r="E32" i="2" s="1"/>
  <c r="D31" i="2"/>
  <c r="D32" i="2" s="1"/>
  <c r="C31" i="2"/>
  <c r="C32" i="2" s="1"/>
  <c r="F30" i="2"/>
  <c r="E30" i="2"/>
  <c r="D30" i="2"/>
  <c r="I29" i="2"/>
  <c r="I30" i="2" s="1"/>
  <c r="H29" i="2"/>
  <c r="H30" i="2" s="1"/>
  <c r="G29" i="2"/>
  <c r="G30" i="2" s="1"/>
  <c r="F29" i="2"/>
  <c r="E29" i="2"/>
  <c r="D29" i="2"/>
  <c r="C29" i="2"/>
  <c r="C30" i="2" s="1"/>
  <c r="H28" i="2"/>
  <c r="D28" i="2"/>
  <c r="C28" i="2"/>
  <c r="I27" i="2"/>
  <c r="I28" i="2" s="1"/>
  <c r="H27" i="2"/>
  <c r="G27" i="2"/>
  <c r="G28" i="2" s="1"/>
  <c r="F27" i="2"/>
  <c r="F28" i="2" s="1"/>
  <c r="E27" i="2"/>
  <c r="E28" i="2" s="1"/>
  <c r="D27" i="2"/>
  <c r="C27" i="2"/>
  <c r="I24" i="2"/>
  <c r="H24" i="2"/>
  <c r="I23" i="2"/>
  <c r="H23" i="2"/>
  <c r="G23" i="2"/>
  <c r="G24" i="2" s="1"/>
  <c r="F23" i="2"/>
  <c r="F24" i="2" s="1"/>
  <c r="E23" i="2"/>
  <c r="D23" i="2"/>
  <c r="D24" i="2" s="1"/>
  <c r="C23" i="2"/>
  <c r="F22" i="2"/>
  <c r="E22" i="2"/>
  <c r="I21" i="2"/>
  <c r="H21" i="2"/>
  <c r="H22" i="2" s="1"/>
  <c r="G21" i="2"/>
  <c r="G22" i="2" s="1"/>
  <c r="F21" i="2"/>
  <c r="E21" i="2"/>
  <c r="D21" i="2"/>
  <c r="D22" i="2" s="1"/>
  <c r="C21" i="2"/>
  <c r="I19" i="2"/>
  <c r="I20" i="2" s="1"/>
  <c r="H19" i="2"/>
  <c r="H20" i="2" s="1"/>
  <c r="G19" i="2"/>
  <c r="F19" i="2"/>
  <c r="E19" i="2"/>
  <c r="D19" i="2"/>
  <c r="D20" i="2" s="1"/>
  <c r="C19" i="2"/>
  <c r="H16" i="2"/>
  <c r="G16" i="2"/>
  <c r="H15" i="2"/>
  <c r="G15" i="2"/>
  <c r="I13" i="2"/>
  <c r="H13" i="2"/>
  <c r="G13" i="2"/>
  <c r="F13" i="2"/>
  <c r="E13" i="2"/>
  <c r="D13" i="2"/>
  <c r="I11" i="2"/>
  <c r="I16" i="2" s="1"/>
  <c r="H11" i="2"/>
  <c r="G11" i="2"/>
  <c r="F11" i="2"/>
  <c r="F16" i="2" s="1"/>
  <c r="E11" i="2"/>
  <c r="E16" i="2" s="1"/>
  <c r="D11" i="2"/>
  <c r="I10" i="2"/>
  <c r="I15" i="2" s="1"/>
  <c r="H10" i="2"/>
  <c r="G10" i="2"/>
  <c r="F10" i="2"/>
  <c r="E10" i="2"/>
  <c r="E15" i="2" s="1"/>
  <c r="D10" i="2"/>
  <c r="M9" i="2"/>
  <c r="J9" i="2"/>
  <c r="K9" i="2" s="1"/>
  <c r="L9" i="2" s="1"/>
  <c r="I9" i="2"/>
  <c r="I14" i="2" s="1"/>
  <c r="H9" i="2"/>
  <c r="G9" i="2"/>
  <c r="F9" i="2"/>
  <c r="F14" i="2" s="1"/>
  <c r="E9" i="2"/>
  <c r="E14" i="2" s="1"/>
  <c r="D9" i="2"/>
  <c r="J8" i="2"/>
  <c r="J19" i="2" s="1"/>
  <c r="G21" i="15" l="1"/>
  <c r="G22" i="15"/>
  <c r="H48" i="3"/>
  <c r="J50" i="3"/>
  <c r="I22" i="2"/>
  <c r="J7" i="5"/>
  <c r="J35" i="2"/>
  <c r="J27" i="2"/>
  <c r="F15" i="2"/>
  <c r="J15" i="2" s="1"/>
  <c r="J10" i="2" s="1"/>
  <c r="J17" i="6"/>
  <c r="K26" i="3"/>
  <c r="E40" i="3"/>
  <c r="J25" i="7"/>
  <c r="G14" i="2"/>
  <c r="J57" i="3"/>
  <c r="F40" i="3"/>
  <c r="F39" i="3"/>
  <c r="F33" i="3"/>
  <c r="G20" i="2"/>
  <c r="J9" i="7"/>
  <c r="I10" i="12" s="1"/>
  <c r="J21" i="3"/>
  <c r="K50" i="3"/>
  <c r="K25" i="7" s="1"/>
  <c r="L45" i="3"/>
  <c r="G40" i="3"/>
  <c r="H13" i="11"/>
  <c r="H13" i="3"/>
  <c r="J13" i="3" s="1"/>
  <c r="H31" i="2"/>
  <c r="H32" i="2" s="1"/>
  <c r="H9" i="3"/>
  <c r="J9" i="3" s="1"/>
  <c r="H14" i="2"/>
  <c r="E20" i="2"/>
  <c r="E33" i="3"/>
  <c r="F20" i="2"/>
  <c r="J20" i="2"/>
  <c r="N9" i="2"/>
  <c r="E24" i="2"/>
  <c r="J33" i="5"/>
  <c r="J49" i="3"/>
  <c r="J13" i="7" s="1"/>
  <c r="I12" i="12" s="1"/>
  <c r="K10" i="4"/>
  <c r="C39" i="5"/>
  <c r="C30" i="5"/>
  <c r="H47" i="3"/>
  <c r="I47" i="3"/>
  <c r="J63" i="3"/>
  <c r="K64" i="3"/>
  <c r="G12" i="11"/>
  <c r="G20" i="5"/>
  <c r="G10" i="5"/>
  <c r="G44" i="5"/>
  <c r="H10" i="5"/>
  <c r="G28" i="3"/>
  <c r="G15" i="3"/>
  <c r="G18" i="3"/>
  <c r="J18" i="3" s="1"/>
  <c r="G14" i="3"/>
  <c r="G59" i="3"/>
  <c r="K8" i="2"/>
  <c r="J66" i="3"/>
  <c r="J8" i="4"/>
  <c r="E29" i="5"/>
  <c r="I26" i="6"/>
  <c r="I25" i="6" s="1"/>
  <c r="I38" i="3"/>
  <c r="C16" i="11"/>
  <c r="G30" i="5"/>
  <c r="G39" i="5"/>
  <c r="G41" i="5" s="1"/>
  <c r="H38" i="3"/>
  <c r="H40" i="3" s="1"/>
  <c r="D12" i="11"/>
  <c r="D10" i="5"/>
  <c r="E8" i="11"/>
  <c r="E40" i="6"/>
  <c r="E41" i="6" s="1"/>
  <c r="E12" i="11"/>
  <c r="E27" i="5"/>
  <c r="E10" i="5"/>
  <c r="I39" i="5"/>
  <c r="I30" i="5"/>
  <c r="F14" i="11"/>
  <c r="F16" i="11" s="1"/>
  <c r="F23" i="11"/>
  <c r="C15" i="11"/>
  <c r="C27" i="5"/>
  <c r="I20" i="5"/>
  <c r="G27" i="5"/>
  <c r="D29" i="5"/>
  <c r="D8" i="11"/>
  <c r="D41" i="6"/>
  <c r="C20" i="5"/>
  <c r="I27" i="5"/>
  <c r="F29" i="5"/>
  <c r="F44" i="5"/>
  <c r="C5" i="16"/>
  <c r="C3" i="16"/>
  <c r="H12" i="11"/>
  <c r="C7" i="16"/>
  <c r="F10" i="5"/>
  <c r="H29" i="5"/>
  <c r="H44" i="5"/>
  <c r="D9" i="11"/>
  <c r="D20" i="11" s="1"/>
  <c r="D5" i="16"/>
  <c r="D6" i="16" s="1"/>
  <c r="D3" i="16"/>
  <c r="D4" i="16" s="1"/>
  <c r="I12" i="11"/>
  <c r="D7" i="16"/>
  <c r="D8" i="16" s="1"/>
  <c r="D27" i="5"/>
  <c r="E9" i="11"/>
  <c r="I13" i="6"/>
  <c r="I20" i="6" s="1"/>
  <c r="C8" i="11"/>
  <c r="D40" i="6"/>
  <c r="I10" i="5"/>
  <c r="F27" i="5"/>
  <c r="C40" i="6"/>
  <c r="C41" i="6" s="1"/>
  <c r="C7" i="11"/>
  <c r="C9" i="11" s="1"/>
  <c r="B19" i="14"/>
  <c r="B18" i="14"/>
  <c r="B20" i="14" s="1"/>
  <c r="M7" i="13"/>
  <c r="M12" i="13" s="1"/>
  <c r="L7" i="13"/>
  <c r="L12" i="13" s="1"/>
  <c r="S7" i="13"/>
  <c r="S12" i="13" s="1"/>
  <c r="K7" i="13"/>
  <c r="K12" i="13" s="1"/>
  <c r="R7" i="13"/>
  <c r="R12" i="13" s="1"/>
  <c r="J7" i="13"/>
  <c r="J12" i="13" s="1"/>
  <c r="P7" i="13"/>
  <c r="P12" i="13" s="1"/>
  <c r="H7" i="13"/>
  <c r="H12" i="13" s="1"/>
  <c r="O7" i="13"/>
  <c r="O12" i="13" s="1"/>
  <c r="B25" i="14"/>
  <c r="G24" i="15" l="1"/>
  <c r="G28" i="15"/>
  <c r="J48" i="3"/>
  <c r="J11" i="2"/>
  <c r="J16" i="2" s="1"/>
  <c r="K10" i="2"/>
  <c r="J21" i="2"/>
  <c r="I7" i="11"/>
  <c r="C18" i="11"/>
  <c r="C17" i="11"/>
  <c r="F17" i="11"/>
  <c r="F18" i="11"/>
  <c r="I40" i="3"/>
  <c r="K19" i="2"/>
  <c r="L8" i="2"/>
  <c r="K21" i="2"/>
  <c r="O9" i="2"/>
  <c r="J13" i="5"/>
  <c r="J28" i="2"/>
  <c r="E20" i="11"/>
  <c r="F20" i="11"/>
  <c r="H30" i="5"/>
  <c r="H39" i="5"/>
  <c r="H41" i="5" s="1"/>
  <c r="I39" i="3"/>
  <c r="J17" i="5"/>
  <c r="F30" i="5"/>
  <c r="F39" i="5"/>
  <c r="F41" i="5" s="1"/>
  <c r="D39" i="5"/>
  <c r="D30" i="5"/>
  <c r="I43" i="5"/>
  <c r="I44" i="5" s="1"/>
  <c r="I41" i="5"/>
  <c r="D23" i="11"/>
  <c r="D14" i="11"/>
  <c r="D16" i="11" s="1"/>
  <c r="I29" i="6"/>
  <c r="I36" i="6" s="1"/>
  <c r="I14" i="3"/>
  <c r="J14" i="3" s="1"/>
  <c r="K14" i="3" s="1"/>
  <c r="C43" i="5"/>
  <c r="C44" i="5" s="1"/>
  <c r="C41" i="5"/>
  <c r="J16" i="6"/>
  <c r="R37" i="12"/>
  <c r="J37" i="12"/>
  <c r="Q37" i="12"/>
  <c r="I37" i="12"/>
  <c r="P37" i="12"/>
  <c r="O37" i="12"/>
  <c r="M37" i="12"/>
  <c r="T37" i="12"/>
  <c r="L37" i="12"/>
  <c r="S37" i="12"/>
  <c r="N37" i="12"/>
  <c r="K37" i="12"/>
  <c r="H39" i="3"/>
  <c r="G14" i="11"/>
  <c r="G16" i="11" s="1"/>
  <c r="G23" i="11"/>
  <c r="L10" i="4"/>
  <c r="K49" i="3"/>
  <c r="K13" i="7" s="1"/>
  <c r="J12" i="12" s="1"/>
  <c r="I23" i="11"/>
  <c r="D13" i="16" s="1"/>
  <c r="D14" i="16" s="1"/>
  <c r="I14" i="11"/>
  <c r="I16" i="11" s="1"/>
  <c r="H14" i="11"/>
  <c r="H16" i="11" s="1"/>
  <c r="H23" i="11"/>
  <c r="C13" i="16" s="1"/>
  <c r="E39" i="5"/>
  <c r="E30" i="5"/>
  <c r="K27" i="6"/>
  <c r="K66" i="3"/>
  <c r="L64" i="3"/>
  <c r="B21" i="14"/>
  <c r="B22" i="14" s="1"/>
  <c r="B27" i="14" s="1"/>
  <c r="E23" i="11"/>
  <c r="E14" i="11"/>
  <c r="E16" i="11" s="1"/>
  <c r="K8" i="4"/>
  <c r="L50" i="3"/>
  <c r="L25" i="7" s="1"/>
  <c r="M45" i="3"/>
  <c r="K17" i="6"/>
  <c r="L26" i="3"/>
  <c r="B30" i="14" l="1"/>
  <c r="I58" i="12" s="1"/>
  <c r="B29" i="14"/>
  <c r="I17" i="11"/>
  <c r="I18" i="11" s="1"/>
  <c r="D41" i="5"/>
  <c r="D43" i="5"/>
  <c r="D44" i="5" s="1"/>
  <c r="M8" i="2"/>
  <c r="L19" i="2"/>
  <c r="I8" i="11"/>
  <c r="I9" i="11" s="1"/>
  <c r="I20" i="11" s="1"/>
  <c r="K33" i="5"/>
  <c r="D17" i="11"/>
  <c r="D18" i="11" s="1"/>
  <c r="I40" i="6"/>
  <c r="M50" i="3"/>
  <c r="M25" i="7" s="1"/>
  <c r="N45" i="3"/>
  <c r="L27" i="6"/>
  <c r="L33" i="5" s="1"/>
  <c r="L66" i="3"/>
  <c r="M64" i="3"/>
  <c r="L8" i="4"/>
  <c r="L49" i="3"/>
  <c r="L13" i="7" s="1"/>
  <c r="K12" i="12" s="1"/>
  <c r="M10" i="4"/>
  <c r="K7" i="5"/>
  <c r="K20" i="2"/>
  <c r="K35" i="2"/>
  <c r="K23" i="2"/>
  <c r="E41" i="5"/>
  <c r="E43" i="5"/>
  <c r="E44" i="5" s="1"/>
  <c r="K48" i="3"/>
  <c r="P9" i="2"/>
  <c r="F21" i="11"/>
  <c r="J8" i="5"/>
  <c r="J9" i="5" s="1"/>
  <c r="J37" i="2"/>
  <c r="J29" i="2" s="1"/>
  <c r="J22" i="2"/>
  <c r="J23" i="2"/>
  <c r="E17" i="11"/>
  <c r="E18" i="11"/>
  <c r="F22" i="11" s="1"/>
  <c r="G17" i="11"/>
  <c r="G18" i="11"/>
  <c r="L10" i="2"/>
  <c r="L21" i="2" s="1"/>
  <c r="K11" i="2"/>
  <c r="K16" i="2" s="1"/>
  <c r="L17" i="6"/>
  <c r="M26" i="3"/>
  <c r="H17" i="11"/>
  <c r="H18" i="11"/>
  <c r="K37" i="2"/>
  <c r="K18" i="5" s="1"/>
  <c r="K22" i="2"/>
  <c r="K29" i="2"/>
  <c r="K8" i="5"/>
  <c r="L37" i="2" l="1"/>
  <c r="L18" i="5" s="1"/>
  <c r="L22" i="2"/>
  <c r="L29" i="2"/>
  <c r="L8" i="5"/>
  <c r="J14" i="5"/>
  <c r="J15" i="5" s="1"/>
  <c r="J30" i="2"/>
  <c r="J31" i="2"/>
  <c r="J32" i="2" s="1"/>
  <c r="D21" i="11"/>
  <c r="D24" i="11"/>
  <c r="I24" i="11"/>
  <c r="D15" i="16" s="1"/>
  <c r="I22" i="11"/>
  <c r="I21" i="11"/>
  <c r="D11" i="16" s="1"/>
  <c r="D12" i="16" s="1"/>
  <c r="L7" i="5"/>
  <c r="L9" i="5" s="1"/>
  <c r="L35" i="2"/>
  <c r="L27" i="2" s="1"/>
  <c r="L23" i="2"/>
  <c r="L20" i="2"/>
  <c r="M8" i="4"/>
  <c r="H9" i="13"/>
  <c r="E22" i="11"/>
  <c r="E21" i="11"/>
  <c r="E24" i="11"/>
  <c r="M17" i="6"/>
  <c r="N26" i="3"/>
  <c r="N8" i="2"/>
  <c r="M21" i="2"/>
  <c r="M19" i="2"/>
  <c r="K9" i="5"/>
  <c r="J47" i="2"/>
  <c r="J25" i="5" s="1"/>
  <c r="J43" i="2"/>
  <c r="J23" i="5" s="1"/>
  <c r="J45" i="2"/>
  <c r="J24" i="5" s="1"/>
  <c r="J24" i="2"/>
  <c r="K16" i="6"/>
  <c r="L48" i="3"/>
  <c r="J18" i="5"/>
  <c r="J19" i="5" s="1"/>
  <c r="J39" i="2"/>
  <c r="J40" i="2" s="1"/>
  <c r="H21" i="11"/>
  <c r="C11" i="16" s="1"/>
  <c r="H24" i="11"/>
  <c r="C15" i="16" s="1"/>
  <c r="H22" i="11"/>
  <c r="K17" i="5"/>
  <c r="K19" i="5" s="1"/>
  <c r="K39" i="2"/>
  <c r="K40" i="2" s="1"/>
  <c r="K27" i="2"/>
  <c r="M27" i="6"/>
  <c r="M66" i="3"/>
  <c r="N64" i="3"/>
  <c r="I41" i="6"/>
  <c r="Q9" i="2"/>
  <c r="K30" i="2"/>
  <c r="K14" i="5"/>
  <c r="M10" i="2"/>
  <c r="L11" i="2"/>
  <c r="L16" i="2" s="1"/>
  <c r="G22" i="11"/>
  <c r="G21" i="11"/>
  <c r="G24" i="11"/>
  <c r="E5" i="16"/>
  <c r="E6" i="16" s="1"/>
  <c r="E3" i="16"/>
  <c r="E4" i="16" s="1"/>
  <c r="J35" i="6"/>
  <c r="J30" i="7" s="1"/>
  <c r="J33" i="6"/>
  <c r="J28" i="6"/>
  <c r="J12" i="6"/>
  <c r="J12" i="11"/>
  <c r="J25" i="6"/>
  <c r="J28" i="7" s="1"/>
  <c r="J19" i="6"/>
  <c r="J10" i="6"/>
  <c r="J10" i="5"/>
  <c r="J60" i="3"/>
  <c r="J9" i="6" s="1"/>
  <c r="J58" i="3"/>
  <c r="J8" i="6" s="1"/>
  <c r="J22" i="3"/>
  <c r="F24" i="11"/>
  <c r="K43" i="2"/>
  <c r="K23" i="5" s="1"/>
  <c r="K47" i="2"/>
  <c r="K25" i="5" s="1"/>
  <c r="K24" i="2"/>
  <c r="K45" i="2"/>
  <c r="K24" i="5" s="1"/>
  <c r="M49" i="3"/>
  <c r="M13" i="7" s="1"/>
  <c r="L12" i="12" s="1"/>
  <c r="N10" i="4"/>
  <c r="N50" i="3"/>
  <c r="N25" i="7" s="1"/>
  <c r="O45" i="3"/>
  <c r="J31" i="7" l="1"/>
  <c r="L13" i="5"/>
  <c r="L31" i="2"/>
  <c r="L32" i="2" s="1"/>
  <c r="L28" i="2"/>
  <c r="F18" i="16"/>
  <c r="J26" i="7"/>
  <c r="I22" i="12" s="1"/>
  <c r="K13" i="5"/>
  <c r="K15" i="5" s="1"/>
  <c r="F7" i="16" s="1"/>
  <c r="F8" i="16" s="1"/>
  <c r="K28" i="2"/>
  <c r="K31" i="2"/>
  <c r="K32" i="2" s="1"/>
  <c r="J20" i="5"/>
  <c r="F3" i="16"/>
  <c r="F4" i="16" s="1"/>
  <c r="K12" i="11"/>
  <c r="F5" i="16"/>
  <c r="F6" i="16" s="1"/>
  <c r="K25" i="6"/>
  <c r="K28" i="7" s="1"/>
  <c r="K33" i="6"/>
  <c r="K28" i="6"/>
  <c r="K31" i="7" s="1"/>
  <c r="K35" i="6"/>
  <c r="K30" i="7" s="1"/>
  <c r="K19" i="6"/>
  <c r="K26" i="7" s="1"/>
  <c r="K10" i="6"/>
  <c r="K22" i="7" s="1"/>
  <c r="K12" i="6"/>
  <c r="K60" i="3"/>
  <c r="K9" i="6" s="1"/>
  <c r="K58" i="3"/>
  <c r="K8" i="6" s="1"/>
  <c r="K10" i="5"/>
  <c r="K22" i="3"/>
  <c r="J22" i="7"/>
  <c r="R9" i="2"/>
  <c r="L16" i="6"/>
  <c r="M48" i="3"/>
  <c r="M7" i="5"/>
  <c r="M23" i="2"/>
  <c r="M20" i="2"/>
  <c r="M27" i="2"/>
  <c r="M35" i="2"/>
  <c r="G3" i="16"/>
  <c r="G4" i="16" s="1"/>
  <c r="L12" i="11"/>
  <c r="L25" i="6"/>
  <c r="L35" i="6"/>
  <c r="L30" i="7" s="1"/>
  <c r="L19" i="6"/>
  <c r="L10" i="6"/>
  <c r="L33" i="6"/>
  <c r="L28" i="6"/>
  <c r="L10" i="5"/>
  <c r="L12" i="6"/>
  <c r="L58" i="3"/>
  <c r="L8" i="6" s="1"/>
  <c r="L60" i="3"/>
  <c r="L9" i="6" s="1"/>
  <c r="L22" i="3"/>
  <c r="L17" i="5"/>
  <c r="L19" i="5" s="1"/>
  <c r="L39" i="2"/>
  <c r="L40" i="2" s="1"/>
  <c r="P45" i="3"/>
  <c r="O50" i="3"/>
  <c r="O25" i="7" s="1"/>
  <c r="J23" i="11"/>
  <c r="E13" i="16" s="1"/>
  <c r="E14" i="16" s="1"/>
  <c r="K20" i="5"/>
  <c r="M29" i="2"/>
  <c r="M8" i="5"/>
  <c r="M37" i="2"/>
  <c r="M18" i="5" s="1"/>
  <c r="M22" i="2"/>
  <c r="J13" i="11"/>
  <c r="J14" i="11" s="1"/>
  <c r="J11" i="6"/>
  <c r="J24" i="6" s="1"/>
  <c r="F19" i="16"/>
  <c r="K26" i="5"/>
  <c r="J14" i="6"/>
  <c r="J20" i="3"/>
  <c r="J24" i="7"/>
  <c r="N19" i="2"/>
  <c r="O8" i="2"/>
  <c r="N8" i="4"/>
  <c r="K32" i="3"/>
  <c r="K11" i="7"/>
  <c r="M33" i="5"/>
  <c r="J32" i="3"/>
  <c r="J11" i="7"/>
  <c r="N17" i="6"/>
  <c r="O26" i="3"/>
  <c r="O17" i="6" s="1"/>
  <c r="L14" i="5"/>
  <c r="L30" i="2"/>
  <c r="N49" i="3"/>
  <c r="N13" i="7" s="1"/>
  <c r="M12" i="12" s="1"/>
  <c r="O10" i="4"/>
  <c r="K36" i="5"/>
  <c r="K37" i="5" s="1"/>
  <c r="J36" i="5"/>
  <c r="J37" i="5" s="1"/>
  <c r="N27" i="6"/>
  <c r="N66" i="3"/>
  <c r="O64" i="3"/>
  <c r="E19" i="16"/>
  <c r="J26" i="5"/>
  <c r="D16" i="16"/>
  <c r="N10" i="2"/>
  <c r="N21" i="2" s="1"/>
  <c r="M11" i="2"/>
  <c r="M16" i="2" s="1"/>
  <c r="E18" i="16"/>
  <c r="E7" i="16" s="1"/>
  <c r="E8" i="16" s="1"/>
  <c r="L43" i="2"/>
  <c r="L23" i="5" s="1"/>
  <c r="L47" i="2"/>
  <c r="L25" i="5" s="1"/>
  <c r="L24" i="2"/>
  <c r="L45" i="2"/>
  <c r="L24" i="5" s="1"/>
  <c r="L31" i="7" l="1"/>
  <c r="J22" i="12"/>
  <c r="L24" i="7"/>
  <c r="N8" i="5"/>
  <c r="N37" i="2"/>
  <c r="N18" i="5" s="1"/>
  <c r="N22" i="2"/>
  <c r="J27" i="7"/>
  <c r="I18" i="12" s="1"/>
  <c r="J16" i="11"/>
  <c r="K15" i="11"/>
  <c r="K27" i="5"/>
  <c r="Q45" i="3"/>
  <c r="P50" i="3"/>
  <c r="P25" i="7" s="1"/>
  <c r="M16" i="6"/>
  <c r="N48" i="3"/>
  <c r="L36" i="5"/>
  <c r="L37" i="5" s="1"/>
  <c r="J13" i="6"/>
  <c r="J15" i="6"/>
  <c r="J33" i="3"/>
  <c r="N33" i="5"/>
  <c r="M17" i="5"/>
  <c r="M19" i="5" s="1"/>
  <c r="M39" i="2"/>
  <c r="M40" i="2" s="1"/>
  <c r="S9" i="2"/>
  <c r="L22" i="7"/>
  <c r="K23" i="11"/>
  <c r="F13" i="16" s="1"/>
  <c r="F14" i="16" s="1"/>
  <c r="N23" i="2"/>
  <c r="N20" i="2"/>
  <c r="N7" i="5"/>
  <c r="N9" i="5" s="1"/>
  <c r="N35" i="2"/>
  <c r="N27" i="2"/>
  <c r="M13" i="5"/>
  <c r="M31" i="2"/>
  <c r="M32" i="2" s="1"/>
  <c r="M28" i="2"/>
  <c r="L26" i="7"/>
  <c r="K22" i="12" s="1"/>
  <c r="O10" i="2"/>
  <c r="N11" i="2"/>
  <c r="N16" i="2" s="1"/>
  <c r="L20" i="5"/>
  <c r="L29" i="5"/>
  <c r="L32" i="3"/>
  <c r="L11" i="7"/>
  <c r="O49" i="3"/>
  <c r="O13" i="7" s="1"/>
  <c r="N12" i="12" s="1"/>
  <c r="P10" i="4"/>
  <c r="K24" i="7"/>
  <c r="O19" i="2"/>
  <c r="P8" i="2"/>
  <c r="O21" i="2"/>
  <c r="M14" i="5"/>
  <c r="M30" i="2"/>
  <c r="J15" i="11"/>
  <c r="J27" i="5"/>
  <c r="J23" i="7"/>
  <c r="I17" i="12" s="1"/>
  <c r="K29" i="5"/>
  <c r="K15" i="6"/>
  <c r="K33" i="3"/>
  <c r="K40" i="3" s="1"/>
  <c r="J24" i="3"/>
  <c r="J35" i="7" s="1"/>
  <c r="K23" i="3"/>
  <c r="L28" i="7"/>
  <c r="M45" i="2"/>
  <c r="M24" i="5" s="1"/>
  <c r="M47" i="2"/>
  <c r="M25" i="5" s="1"/>
  <c r="H18" i="16" s="1"/>
  <c r="M24" i="2"/>
  <c r="M43" i="2"/>
  <c r="M23" i="5" s="1"/>
  <c r="K14" i="6"/>
  <c r="J29" i="5"/>
  <c r="L23" i="11"/>
  <c r="G13" i="16" s="1"/>
  <c r="G14" i="16" s="1"/>
  <c r="K13" i="11"/>
  <c r="K14" i="11" s="1"/>
  <c r="K16" i="11" s="1"/>
  <c r="K24" i="6"/>
  <c r="K11" i="6"/>
  <c r="K23" i="7" s="1"/>
  <c r="J17" i="12" s="1"/>
  <c r="L14" i="6"/>
  <c r="G18" i="16"/>
  <c r="O27" i="6"/>
  <c r="O66" i="3"/>
  <c r="P64" i="3"/>
  <c r="G19" i="16"/>
  <c r="L26" i="5"/>
  <c r="O8" i="4"/>
  <c r="G5" i="16"/>
  <c r="G6" i="16" s="1"/>
  <c r="M9" i="5"/>
  <c r="L15" i="5"/>
  <c r="K13" i="6" l="1"/>
  <c r="K20" i="6" s="1"/>
  <c r="K7" i="11" s="1"/>
  <c r="J20" i="6"/>
  <c r="K17" i="11"/>
  <c r="K18" i="11" s="1"/>
  <c r="K27" i="7"/>
  <c r="J18" i="12" s="1"/>
  <c r="N45" i="2"/>
  <c r="N24" i="5" s="1"/>
  <c r="N47" i="2"/>
  <c r="N25" i="5" s="1"/>
  <c r="N24" i="2"/>
  <c r="N43" i="2"/>
  <c r="N23" i="5" s="1"/>
  <c r="N26" i="5" s="1"/>
  <c r="M32" i="3"/>
  <c r="M11" i="7"/>
  <c r="O8" i="5"/>
  <c r="O22" i="2"/>
  <c r="O37" i="2"/>
  <c r="O18" i="5" s="1"/>
  <c r="L15" i="6"/>
  <c r="L33" i="3"/>
  <c r="L40" i="3" s="1"/>
  <c r="N16" i="6"/>
  <c r="O48" i="3"/>
  <c r="P27" i="6"/>
  <c r="P66" i="3"/>
  <c r="Q64" i="3"/>
  <c r="M15" i="5"/>
  <c r="N13" i="5"/>
  <c r="N28" i="2"/>
  <c r="J40" i="3"/>
  <c r="J38" i="3"/>
  <c r="R45" i="3"/>
  <c r="Q50" i="3"/>
  <c r="Q25" i="7" s="1"/>
  <c r="H3" i="16"/>
  <c r="H4" i="16" s="1"/>
  <c r="M12" i="11"/>
  <c r="H7" i="16"/>
  <c r="H5" i="16"/>
  <c r="H6" i="16" s="1"/>
  <c r="M25" i="6"/>
  <c r="M28" i="7" s="1"/>
  <c r="M35" i="6"/>
  <c r="M30" i="7" s="1"/>
  <c r="M33" i="6"/>
  <c r="M28" i="6"/>
  <c r="M31" i="7" s="1"/>
  <c r="M19" i="6"/>
  <c r="M10" i="6"/>
  <c r="M10" i="5"/>
  <c r="M12" i="6"/>
  <c r="M58" i="3"/>
  <c r="M8" i="6" s="1"/>
  <c r="M60" i="3"/>
  <c r="M9" i="6" s="1"/>
  <c r="M22" i="3"/>
  <c r="M20" i="5"/>
  <c r="M29" i="5"/>
  <c r="J18" i="11"/>
  <c r="J17" i="11"/>
  <c r="P19" i="2"/>
  <c r="Q8" i="2"/>
  <c r="J39" i="5"/>
  <c r="J30" i="5"/>
  <c r="O23" i="2"/>
  <c r="O20" i="2"/>
  <c r="O7" i="5"/>
  <c r="O9" i="5" s="1"/>
  <c r="O35" i="2"/>
  <c r="O27" i="2"/>
  <c r="L15" i="11"/>
  <c r="L27" i="5"/>
  <c r="K9" i="7"/>
  <c r="J10" i="12" s="1"/>
  <c r="K21" i="3"/>
  <c r="P10" i="2"/>
  <c r="O11" i="2"/>
  <c r="O16" i="2" s="1"/>
  <c r="N17" i="5"/>
  <c r="N19" i="5" s="1"/>
  <c r="N39" i="2"/>
  <c r="N40" i="2" s="1"/>
  <c r="T9" i="2"/>
  <c r="O33" i="5"/>
  <c r="N29" i="2"/>
  <c r="N31" i="2" s="1"/>
  <c r="N32" i="2" s="1"/>
  <c r="K39" i="5"/>
  <c r="K30" i="5"/>
  <c r="L39" i="5"/>
  <c r="L30" i="5"/>
  <c r="P8" i="4"/>
  <c r="L13" i="11"/>
  <c r="L14" i="11" s="1"/>
  <c r="L16" i="11" s="1"/>
  <c r="L11" i="6"/>
  <c r="L23" i="7" s="1"/>
  <c r="K17" i="12" s="1"/>
  <c r="G7" i="16"/>
  <c r="G8" i="16" s="1"/>
  <c r="H19" i="16"/>
  <c r="M26" i="5"/>
  <c r="I21" i="12"/>
  <c r="J43" i="7"/>
  <c r="P49" i="3"/>
  <c r="P13" i="7" s="1"/>
  <c r="O12" i="12" s="1"/>
  <c r="Q10" i="4"/>
  <c r="N12" i="11"/>
  <c r="N35" i="6"/>
  <c r="N30" i="7" s="1"/>
  <c r="N33" i="6"/>
  <c r="N28" i="6"/>
  <c r="N31" i="7" s="1"/>
  <c r="N10" i="6"/>
  <c r="N25" i="6"/>
  <c r="N19" i="6"/>
  <c r="N10" i="5"/>
  <c r="N12" i="6"/>
  <c r="N22" i="3"/>
  <c r="N60" i="3"/>
  <c r="N9" i="6" s="1"/>
  <c r="N58" i="3"/>
  <c r="N8" i="6" s="1"/>
  <c r="J7" i="11"/>
  <c r="K24" i="11" l="1"/>
  <c r="F15" i="16" s="1"/>
  <c r="J7" i="12"/>
  <c r="N14" i="6"/>
  <c r="L60" i="2"/>
  <c r="N24" i="7"/>
  <c r="M24" i="7"/>
  <c r="K60" i="2"/>
  <c r="Q10" i="2"/>
  <c r="P11" i="2"/>
  <c r="P16" i="2" s="1"/>
  <c r="O33" i="6"/>
  <c r="O28" i="6"/>
  <c r="O19" i="6"/>
  <c r="O26" i="7" s="1"/>
  <c r="O12" i="11"/>
  <c r="O10" i="6"/>
  <c r="O35" i="6"/>
  <c r="O30" i="7" s="1"/>
  <c r="O25" i="6"/>
  <c r="O28" i="7" s="1"/>
  <c r="O10" i="5"/>
  <c r="O12" i="6"/>
  <c r="O22" i="3"/>
  <c r="O60" i="3"/>
  <c r="O9" i="6" s="1"/>
  <c r="O58" i="3"/>
  <c r="O8" i="6" s="1"/>
  <c r="H8" i="16"/>
  <c r="N36" i="5"/>
  <c r="N37" i="5" s="1"/>
  <c r="M36" i="5"/>
  <c r="M37" i="5" s="1"/>
  <c r="M39" i="5" s="1"/>
  <c r="O16" i="6"/>
  <c r="P48" i="3"/>
  <c r="O17" i="5"/>
  <c r="O19" i="5" s="1"/>
  <c r="O39" i="2"/>
  <c r="O40" i="2" s="1"/>
  <c r="N14" i="5"/>
  <c r="N30" i="2"/>
  <c r="N15" i="5"/>
  <c r="N28" i="7"/>
  <c r="M30" i="5"/>
  <c r="N26" i="7"/>
  <c r="M22" i="12" s="1"/>
  <c r="M26" i="7"/>
  <c r="L22" i="12" s="1"/>
  <c r="M13" i="11"/>
  <c r="M11" i="6"/>
  <c r="M13" i="6" s="1"/>
  <c r="N20" i="5"/>
  <c r="N29" i="5"/>
  <c r="N15" i="11"/>
  <c r="N27" i="5"/>
  <c r="L13" i="6"/>
  <c r="L20" i="6" s="1"/>
  <c r="K20" i="3"/>
  <c r="J24" i="11"/>
  <c r="E15" i="16" s="1"/>
  <c r="E16" i="16" s="1"/>
  <c r="I7" i="12"/>
  <c r="N32" i="3"/>
  <c r="N11" i="7"/>
  <c r="L18" i="11"/>
  <c r="L17" i="11"/>
  <c r="Q8" i="4"/>
  <c r="Q27" i="6"/>
  <c r="R64" i="3"/>
  <c r="Q66" i="3"/>
  <c r="O28" i="2"/>
  <c r="O13" i="5"/>
  <c r="Q49" i="3"/>
  <c r="Q13" i="7" s="1"/>
  <c r="P12" i="12" s="1"/>
  <c r="R10" i="4"/>
  <c r="L24" i="6"/>
  <c r="M23" i="11"/>
  <c r="H13" i="16" s="1"/>
  <c r="H14" i="16" s="1"/>
  <c r="M14" i="11"/>
  <c r="O29" i="2"/>
  <c r="O45" i="2"/>
  <c r="O24" i="5" s="1"/>
  <c r="O47" i="2"/>
  <c r="O25" i="5" s="1"/>
  <c r="O24" i="2"/>
  <c r="O43" i="2"/>
  <c r="O23" i="5" s="1"/>
  <c r="M15" i="11"/>
  <c r="M27" i="5"/>
  <c r="U9" i="2"/>
  <c r="J60" i="2"/>
  <c r="J61" i="2" s="1"/>
  <c r="M14" i="6"/>
  <c r="S45" i="3"/>
  <c r="R50" i="3"/>
  <c r="R25" i="7" s="1"/>
  <c r="M15" i="6"/>
  <c r="M33" i="3"/>
  <c r="M40" i="3" s="1"/>
  <c r="R8" i="2"/>
  <c r="Q19" i="2"/>
  <c r="Q21" i="2"/>
  <c r="N23" i="11"/>
  <c r="P23" i="2"/>
  <c r="P20" i="2"/>
  <c r="P7" i="5"/>
  <c r="P35" i="2"/>
  <c r="P27" i="2"/>
  <c r="N22" i="7"/>
  <c r="M22" i="7"/>
  <c r="O36" i="5"/>
  <c r="O37" i="5" s="1"/>
  <c r="P21" i="2"/>
  <c r="K38" i="3"/>
  <c r="K42" i="3" s="1"/>
  <c r="J36" i="3"/>
  <c r="J37" i="3" s="1"/>
  <c r="J34" i="6" s="1"/>
  <c r="J42" i="3"/>
  <c r="Q33" i="5"/>
  <c r="P33" i="5"/>
  <c r="M20" i="6" l="1"/>
  <c r="M7" i="11" s="1"/>
  <c r="M60" i="2"/>
  <c r="P47" i="2"/>
  <c r="P25" i="5" s="1"/>
  <c r="P45" i="2"/>
  <c r="P24" i="5" s="1"/>
  <c r="P43" i="2"/>
  <c r="P23" i="5" s="1"/>
  <c r="P24" i="2"/>
  <c r="M16" i="11"/>
  <c r="L23" i="3"/>
  <c r="K24" i="3"/>
  <c r="K35" i="7" s="1"/>
  <c r="O14" i="6"/>
  <c r="O31" i="7"/>
  <c r="N22" i="12" s="1"/>
  <c r="R27" i="6"/>
  <c r="S64" i="3"/>
  <c r="R66" i="3"/>
  <c r="Q8" i="5"/>
  <c r="Q37" i="2"/>
  <c r="Q18" i="5" s="1"/>
  <c r="Q22" i="2"/>
  <c r="O26" i="5"/>
  <c r="R49" i="3"/>
  <c r="R13" i="7" s="1"/>
  <c r="Q12" i="12" s="1"/>
  <c r="S10" i="4"/>
  <c r="N15" i="6"/>
  <c r="N33" i="3"/>
  <c r="N40" i="3" s="1"/>
  <c r="M23" i="7"/>
  <c r="L17" i="12" s="1"/>
  <c r="R10" i="2"/>
  <c r="Q11" i="2"/>
  <c r="Q16" i="2" s="1"/>
  <c r="S50" i="3"/>
  <c r="S25" i="7" s="1"/>
  <c r="T45" i="3"/>
  <c r="L7" i="11"/>
  <c r="R8" i="4"/>
  <c r="J62" i="2"/>
  <c r="J63" i="2" s="1"/>
  <c r="J40" i="5" s="1"/>
  <c r="K59" i="2"/>
  <c r="K61" i="2" s="1"/>
  <c r="O20" i="5"/>
  <c r="O29" i="5"/>
  <c r="J28" i="12"/>
  <c r="J14" i="12"/>
  <c r="K7" i="12"/>
  <c r="L24" i="11"/>
  <c r="G15" i="16" s="1"/>
  <c r="G16" i="16" s="1"/>
  <c r="N13" i="11"/>
  <c r="N14" i="11" s="1"/>
  <c r="N16" i="11" s="1"/>
  <c r="N11" i="6"/>
  <c r="N24" i="6" s="1"/>
  <c r="R33" i="5"/>
  <c r="J26" i="6"/>
  <c r="J29" i="6" s="1"/>
  <c r="J36" i="6" s="1"/>
  <c r="J35" i="3"/>
  <c r="Q23" i="2"/>
  <c r="Q20" i="2"/>
  <c r="Q7" i="5"/>
  <c r="Q9" i="5" s="1"/>
  <c r="Q35" i="2"/>
  <c r="Q27" i="2"/>
  <c r="L38" i="3"/>
  <c r="L42" i="3" s="1"/>
  <c r="K36" i="3"/>
  <c r="K37" i="3" s="1"/>
  <c r="K34" i="6" s="1"/>
  <c r="R19" i="2"/>
  <c r="S8" i="2"/>
  <c r="R21" i="2"/>
  <c r="O15" i="5"/>
  <c r="P8" i="5"/>
  <c r="P9" i="5" s="1"/>
  <c r="P37" i="2"/>
  <c r="P18" i="5" s="1"/>
  <c r="P22" i="2"/>
  <c r="P29" i="2"/>
  <c r="O32" i="3"/>
  <c r="O11" i="7"/>
  <c r="O22" i="7"/>
  <c r="I28" i="12"/>
  <c r="I14" i="12"/>
  <c r="I24" i="12" s="1"/>
  <c r="I36" i="12" s="1"/>
  <c r="I38" i="12" s="1"/>
  <c r="O24" i="7"/>
  <c r="O23" i="11"/>
  <c r="L27" i="7"/>
  <c r="K18" i="12" s="1"/>
  <c r="M24" i="6"/>
  <c r="P13" i="5"/>
  <c r="P31" i="2"/>
  <c r="P32" i="2" s="1"/>
  <c r="P28" i="2"/>
  <c r="P17" i="5"/>
  <c r="P19" i="5" s="1"/>
  <c r="P39" i="2"/>
  <c r="P40" i="2" s="1"/>
  <c r="O14" i="5"/>
  <c r="O30" i="2"/>
  <c r="O31" i="2"/>
  <c r="O32" i="2" s="1"/>
  <c r="N30" i="5"/>
  <c r="N39" i="5"/>
  <c r="P16" i="6"/>
  <c r="Q48" i="3"/>
  <c r="F16" i="16"/>
  <c r="N23" i="7" l="1"/>
  <c r="M17" i="12" s="1"/>
  <c r="P12" i="11"/>
  <c r="P19" i="6"/>
  <c r="P25" i="6"/>
  <c r="P28" i="7" s="1"/>
  <c r="P35" i="6"/>
  <c r="P30" i="7" s="1"/>
  <c r="P10" i="5"/>
  <c r="P12" i="6"/>
  <c r="P33" i="6"/>
  <c r="P28" i="6"/>
  <c r="P10" i="6"/>
  <c r="P22" i="3"/>
  <c r="P60" i="3"/>
  <c r="P9" i="6" s="1"/>
  <c r="P58" i="3"/>
  <c r="P8" i="6" s="1"/>
  <c r="N27" i="7"/>
  <c r="M18" i="12" s="1"/>
  <c r="S8" i="4"/>
  <c r="P26" i="5"/>
  <c r="N60" i="2"/>
  <c r="O13" i="11"/>
  <c r="O14" i="11" s="1"/>
  <c r="O16" i="11" s="1"/>
  <c r="O24" i="6"/>
  <c r="O11" i="6"/>
  <c r="P32" i="3"/>
  <c r="P11" i="7"/>
  <c r="R37" i="2"/>
  <c r="R18" i="5" s="1"/>
  <c r="R22" i="2"/>
  <c r="R8" i="5"/>
  <c r="R29" i="2"/>
  <c r="Q17" i="5"/>
  <c r="Q19" i="5" s="1"/>
  <c r="Q39" i="2"/>
  <c r="Q40" i="2" s="1"/>
  <c r="O23" i="7"/>
  <c r="N13" i="6"/>
  <c r="N20" i="6" s="1"/>
  <c r="O15" i="6"/>
  <c r="O33" i="3"/>
  <c r="O40" i="3" s="1"/>
  <c r="S19" i="2"/>
  <c r="T8" i="2"/>
  <c r="Q12" i="11"/>
  <c r="Q19" i="6"/>
  <c r="Q25" i="6"/>
  <c r="Q28" i="7" s="1"/>
  <c r="Q35" i="6"/>
  <c r="Q30" i="7" s="1"/>
  <c r="Q10" i="5"/>
  <c r="Q12" i="6"/>
  <c r="Q33" i="6"/>
  <c r="Q28" i="6"/>
  <c r="Q10" i="6"/>
  <c r="Q60" i="3"/>
  <c r="Q9" i="6" s="1"/>
  <c r="Q58" i="3"/>
  <c r="Q8" i="6" s="1"/>
  <c r="Q22" i="3"/>
  <c r="N17" i="11"/>
  <c r="N18" i="11"/>
  <c r="O30" i="5"/>
  <c r="O39" i="5"/>
  <c r="N17" i="12"/>
  <c r="R7" i="5"/>
  <c r="R9" i="5" s="1"/>
  <c r="R35" i="2"/>
  <c r="R27" i="2"/>
  <c r="R23" i="2"/>
  <c r="R20" i="2"/>
  <c r="T50" i="3"/>
  <c r="T25" i="7" s="1"/>
  <c r="U45" i="3"/>
  <c r="U50" i="3" s="1"/>
  <c r="U25" i="7" s="1"/>
  <c r="T10" i="4"/>
  <c r="S49" i="3"/>
  <c r="S13" i="7" s="1"/>
  <c r="R12" i="12" s="1"/>
  <c r="J21" i="12"/>
  <c r="J24" i="12" s="1"/>
  <c r="J36" i="12" s="1"/>
  <c r="J38" i="12" s="1"/>
  <c r="K43" i="7"/>
  <c r="M27" i="7"/>
  <c r="L18" i="12" s="1"/>
  <c r="L9" i="7"/>
  <c r="K10" i="12" s="1"/>
  <c r="K14" i="12" s="1"/>
  <c r="L21" i="3"/>
  <c r="P14" i="5"/>
  <c r="P15" i="5" s="1"/>
  <c r="P30" i="2"/>
  <c r="Q47" i="2"/>
  <c r="Q25" i="5" s="1"/>
  <c r="Q45" i="2"/>
  <c r="Q24" i="5" s="1"/>
  <c r="Q43" i="2"/>
  <c r="Q23" i="5" s="1"/>
  <c r="Q26" i="5" s="1"/>
  <c r="Q24" i="2"/>
  <c r="K62" i="2"/>
  <c r="K63" i="2" s="1"/>
  <c r="K40" i="5" s="1"/>
  <c r="L59" i="2"/>
  <c r="L61" i="2" s="1"/>
  <c r="K26" i="6"/>
  <c r="K29" i="6" s="1"/>
  <c r="K36" i="6" s="1"/>
  <c r="K35" i="3"/>
  <c r="J41" i="5"/>
  <c r="J43" i="5"/>
  <c r="O15" i="11"/>
  <c r="O27" i="5"/>
  <c r="M17" i="11"/>
  <c r="M18" i="11"/>
  <c r="P20" i="5"/>
  <c r="P29" i="5"/>
  <c r="Q13" i="5"/>
  <c r="Q28" i="2"/>
  <c r="Q31" i="2"/>
  <c r="Q32" i="2" s="1"/>
  <c r="Q16" i="6"/>
  <c r="R48" i="3"/>
  <c r="M38" i="3"/>
  <c r="L36" i="3"/>
  <c r="L37" i="3" s="1"/>
  <c r="L34" i="6" s="1"/>
  <c r="M42" i="3"/>
  <c r="J8" i="11"/>
  <c r="J9" i="11" s="1"/>
  <c r="J40" i="6"/>
  <c r="J41" i="6" s="1"/>
  <c r="K28" i="12"/>
  <c r="S10" i="2"/>
  <c r="R11" i="2"/>
  <c r="R16" i="2" s="1"/>
  <c r="Q29" i="2"/>
  <c r="S27" i="6"/>
  <c r="S66" i="3"/>
  <c r="T64" i="3"/>
  <c r="P31" i="7" l="1"/>
  <c r="P13" i="11"/>
  <c r="P11" i="6"/>
  <c r="R17" i="5"/>
  <c r="R19" i="5" s="1"/>
  <c r="R39" i="2"/>
  <c r="R40" i="2" s="1"/>
  <c r="Q24" i="7"/>
  <c r="P24" i="7"/>
  <c r="U8" i="2"/>
  <c r="T19" i="2"/>
  <c r="K8" i="11"/>
  <c r="K9" i="11" s="1"/>
  <c r="K40" i="6"/>
  <c r="R14" i="5"/>
  <c r="R30" i="2"/>
  <c r="K41" i="5"/>
  <c r="K43" i="5"/>
  <c r="R12" i="11"/>
  <c r="R35" i="6"/>
  <c r="R30" i="7" s="1"/>
  <c r="R33" i="6"/>
  <c r="R28" i="6"/>
  <c r="R31" i="7" s="1"/>
  <c r="R12" i="6"/>
  <c r="R24" i="7" s="1"/>
  <c r="R25" i="6"/>
  <c r="R28" i="7" s="1"/>
  <c r="R19" i="6"/>
  <c r="R10" i="6"/>
  <c r="R22" i="7" s="1"/>
  <c r="R10" i="5"/>
  <c r="R60" i="3"/>
  <c r="R9" i="6" s="1"/>
  <c r="R58" i="3"/>
  <c r="R8" i="6" s="1"/>
  <c r="R22" i="3"/>
  <c r="Q14" i="6"/>
  <c r="O27" i="7"/>
  <c r="N18" i="12" s="1"/>
  <c r="M7" i="12"/>
  <c r="N24" i="11"/>
  <c r="S7" i="5"/>
  <c r="S20" i="2"/>
  <c r="S35" i="2"/>
  <c r="L62" i="2"/>
  <c r="L63" i="2" s="1"/>
  <c r="L40" i="5" s="1"/>
  <c r="M59" i="2"/>
  <c r="M61" i="2" s="1"/>
  <c r="L20" i="3"/>
  <c r="U10" i="4"/>
  <c r="U49" i="3" s="1"/>
  <c r="U13" i="7" s="1"/>
  <c r="T12" i="12" s="1"/>
  <c r="T49" i="3"/>
  <c r="T13" i="7" s="1"/>
  <c r="S12" i="12" s="1"/>
  <c r="P13" i="6"/>
  <c r="Q36" i="5"/>
  <c r="Q37" i="5" s="1"/>
  <c r="P36" i="5"/>
  <c r="P37" i="5" s="1"/>
  <c r="P39" i="5" s="1"/>
  <c r="O17" i="11"/>
  <c r="O18" i="11" s="1"/>
  <c r="I9" i="13"/>
  <c r="Q27" i="5"/>
  <c r="Q15" i="11"/>
  <c r="R26" i="7"/>
  <c r="N7" i="11"/>
  <c r="P15" i="11"/>
  <c r="P27" i="5"/>
  <c r="R13" i="5"/>
  <c r="R15" i="5" s="1"/>
  <c r="R31" i="2"/>
  <c r="R32" i="2" s="1"/>
  <c r="R28" i="2"/>
  <c r="R16" i="6"/>
  <c r="S48" i="3"/>
  <c r="Q14" i="5"/>
  <c r="Q15" i="5" s="1"/>
  <c r="Q30" i="2"/>
  <c r="L26" i="6"/>
  <c r="L29" i="6" s="1"/>
  <c r="L36" i="6" s="1"/>
  <c r="L35" i="3"/>
  <c r="H10" i="13"/>
  <c r="H11" i="13" s="1"/>
  <c r="H13" i="13" s="1"/>
  <c r="J7" i="7"/>
  <c r="J32" i="7" s="1"/>
  <c r="J44" i="5"/>
  <c r="Q32" i="3"/>
  <c r="Q11" i="7"/>
  <c r="Q23" i="11"/>
  <c r="P15" i="6"/>
  <c r="P33" i="3"/>
  <c r="P40" i="3" s="1"/>
  <c r="S33" i="5"/>
  <c r="P14" i="6"/>
  <c r="Q26" i="7"/>
  <c r="P22" i="12" s="1"/>
  <c r="P26" i="7"/>
  <c r="R47" i="2"/>
  <c r="R25" i="5" s="1"/>
  <c r="R43" i="2"/>
  <c r="R23" i="5" s="1"/>
  <c r="R45" i="2"/>
  <c r="R24" i="5" s="1"/>
  <c r="R24" i="2"/>
  <c r="Q29" i="5"/>
  <c r="Q20" i="5"/>
  <c r="T27" i="6"/>
  <c r="T33" i="5" s="1"/>
  <c r="T66" i="3"/>
  <c r="U64" i="3"/>
  <c r="L7" i="12"/>
  <c r="M24" i="11"/>
  <c r="H15" i="16" s="1"/>
  <c r="H16" i="16" s="1"/>
  <c r="J20" i="11"/>
  <c r="K21" i="11"/>
  <c r="F11" i="16" s="1"/>
  <c r="J21" i="11"/>
  <c r="E11" i="16" s="1"/>
  <c r="E12" i="16" s="1"/>
  <c r="T10" i="2"/>
  <c r="S11" i="2"/>
  <c r="S16" i="2" s="1"/>
  <c r="N38" i="3"/>
  <c r="N42" i="3" s="1"/>
  <c r="M36" i="3"/>
  <c r="P30" i="5"/>
  <c r="O60" i="2"/>
  <c r="Q31" i="7"/>
  <c r="S21" i="2"/>
  <c r="P23" i="7"/>
  <c r="O13" i="6"/>
  <c r="O20" i="6" s="1"/>
  <c r="T8" i="4"/>
  <c r="Q22" i="7"/>
  <c r="P22" i="7"/>
  <c r="P14" i="11"/>
  <c r="P16" i="11" s="1"/>
  <c r="P23" i="11"/>
  <c r="F12" i="16" l="1"/>
  <c r="J54" i="7"/>
  <c r="J55" i="7" s="1"/>
  <c r="J57" i="7" s="1"/>
  <c r="J60" i="7" s="1"/>
  <c r="K59" i="7" s="1"/>
  <c r="O22" i="12"/>
  <c r="N7" i="12"/>
  <c r="O24" i="11"/>
  <c r="P60" i="2"/>
  <c r="Q13" i="11"/>
  <c r="Q14" i="11" s="1"/>
  <c r="Q16" i="11" s="1"/>
  <c r="Q11" i="6"/>
  <c r="M26" i="6"/>
  <c r="M29" i="6" s="1"/>
  <c r="M35" i="3"/>
  <c r="S37" i="2"/>
  <c r="S18" i="5" s="1"/>
  <c r="S22" i="2"/>
  <c r="S8" i="5"/>
  <c r="N36" i="3"/>
  <c r="O38" i="3"/>
  <c r="O42" i="3" s="1"/>
  <c r="N37" i="3"/>
  <c r="N34" i="6" s="1"/>
  <c r="Q39" i="5"/>
  <c r="Q30" i="5"/>
  <c r="P20" i="6"/>
  <c r="L41" i="5"/>
  <c r="L43" i="5"/>
  <c r="K41" i="6"/>
  <c r="O7" i="11"/>
  <c r="P17" i="11"/>
  <c r="P18" i="11" s="1"/>
  <c r="M28" i="12"/>
  <c r="K20" i="11"/>
  <c r="R32" i="3"/>
  <c r="R11" i="7"/>
  <c r="Q15" i="6"/>
  <c r="Q33" i="3"/>
  <c r="Q40" i="3" s="1"/>
  <c r="S23" i="2"/>
  <c r="I10" i="13"/>
  <c r="I11" i="13" s="1"/>
  <c r="I13" i="13" s="1"/>
  <c r="K7" i="7"/>
  <c r="K32" i="7" s="1"/>
  <c r="K44" i="5"/>
  <c r="T7" i="5"/>
  <c r="T20" i="2"/>
  <c r="T35" i="2"/>
  <c r="Q23" i="7"/>
  <c r="P17" i="12" s="1"/>
  <c r="L8" i="11"/>
  <c r="L9" i="11" s="1"/>
  <c r="L21" i="11" s="1"/>
  <c r="G11" i="16" s="1"/>
  <c r="G12" i="16" s="1"/>
  <c r="L40" i="6"/>
  <c r="N59" i="2"/>
  <c r="N61" i="2" s="1"/>
  <c r="M62" i="2"/>
  <c r="M63" i="2" s="1"/>
  <c r="M40" i="5" s="1"/>
  <c r="J9" i="13"/>
  <c r="M37" i="3"/>
  <c r="M34" i="6" s="1"/>
  <c r="S17" i="5"/>
  <c r="S19" i="5" s="1"/>
  <c r="S39" i="2"/>
  <c r="S40" i="2" s="1"/>
  <c r="R20" i="5"/>
  <c r="U10" i="2"/>
  <c r="U11" i="2" s="1"/>
  <c r="U16" i="2" s="1"/>
  <c r="T11" i="2"/>
  <c r="T16" i="2" s="1"/>
  <c r="L28" i="12"/>
  <c r="R26" i="5"/>
  <c r="S16" i="6"/>
  <c r="T48" i="3"/>
  <c r="T21" i="2"/>
  <c r="T23" i="2" s="1"/>
  <c r="P24" i="6"/>
  <c r="R14" i="6"/>
  <c r="I29" i="12"/>
  <c r="I31" i="12" s="1"/>
  <c r="I33" i="12" s="1"/>
  <c r="J22" i="11"/>
  <c r="R36" i="5"/>
  <c r="R37" i="5" s="1"/>
  <c r="R23" i="11"/>
  <c r="R14" i="11"/>
  <c r="O17" i="12"/>
  <c r="U8" i="4"/>
  <c r="U27" i="6"/>
  <c r="U66" i="3"/>
  <c r="S27" i="2"/>
  <c r="U21" i="2"/>
  <c r="U19" i="2"/>
  <c r="U33" i="5"/>
  <c r="R13" i="11"/>
  <c r="R11" i="6"/>
  <c r="R24" i="6" s="1"/>
  <c r="Q22" i="12"/>
  <c r="M23" i="3"/>
  <c r="L24" i="3"/>
  <c r="L35" i="7" s="1"/>
  <c r="S9" i="5"/>
  <c r="J63" i="7" l="1"/>
  <c r="J66" i="7" s="1"/>
  <c r="J67" i="7" s="1"/>
  <c r="T43" i="2"/>
  <c r="T23" i="5" s="1"/>
  <c r="T24" i="2"/>
  <c r="T47" i="2"/>
  <c r="T25" i="5" s="1"/>
  <c r="T45" i="2"/>
  <c r="T24" i="5" s="1"/>
  <c r="P24" i="11"/>
  <c r="O7" i="12"/>
  <c r="P27" i="7"/>
  <c r="O18" i="12" s="1"/>
  <c r="Q60" i="2"/>
  <c r="L43" i="7"/>
  <c r="K21" i="12"/>
  <c r="K24" i="12" s="1"/>
  <c r="K36" i="12" s="1"/>
  <c r="K38" i="12" s="1"/>
  <c r="K54" i="7"/>
  <c r="K55" i="7" s="1"/>
  <c r="K57" i="7" s="1"/>
  <c r="K60" i="7" s="1"/>
  <c r="J29" i="12"/>
  <c r="J31" i="12" s="1"/>
  <c r="J33" i="12" s="1"/>
  <c r="K22" i="11"/>
  <c r="S20" i="5"/>
  <c r="P7" i="11"/>
  <c r="L20" i="11"/>
  <c r="S13" i="5"/>
  <c r="S28" i="2"/>
  <c r="S43" i="2"/>
  <c r="S23" i="5" s="1"/>
  <c r="S45" i="2"/>
  <c r="S24" i="5" s="1"/>
  <c r="S24" i="2"/>
  <c r="S47" i="2"/>
  <c r="S25" i="5" s="1"/>
  <c r="M36" i="6"/>
  <c r="S12" i="11"/>
  <c r="S25" i="6"/>
  <c r="S28" i="7" s="1"/>
  <c r="S33" i="6"/>
  <c r="S28" i="6"/>
  <c r="S31" i="7" s="1"/>
  <c r="S35" i="6"/>
  <c r="S30" i="7" s="1"/>
  <c r="S19" i="6"/>
  <c r="S10" i="6"/>
  <c r="S12" i="6"/>
  <c r="S60" i="3"/>
  <c r="S9" i="6" s="1"/>
  <c r="S58" i="3"/>
  <c r="S8" i="6" s="1"/>
  <c r="S22" i="3"/>
  <c r="S10" i="5"/>
  <c r="U7" i="5"/>
  <c r="U23" i="2"/>
  <c r="U20" i="2"/>
  <c r="U35" i="2"/>
  <c r="U27" i="2"/>
  <c r="U8" i="5"/>
  <c r="U37" i="2"/>
  <c r="U18" i="5" s="1"/>
  <c r="U22" i="2"/>
  <c r="R15" i="6"/>
  <c r="R33" i="3"/>
  <c r="R40" i="3" s="1"/>
  <c r="T37" i="2"/>
  <c r="T18" i="5" s="1"/>
  <c r="T22" i="2"/>
  <c r="T8" i="5"/>
  <c r="T9" i="5" s="1"/>
  <c r="T17" i="5"/>
  <c r="M41" i="5"/>
  <c r="M43" i="5"/>
  <c r="O36" i="3"/>
  <c r="P38" i="3"/>
  <c r="P42" i="3" s="1"/>
  <c r="R23" i="7"/>
  <c r="Q17" i="12" s="1"/>
  <c r="Q13" i="6"/>
  <c r="Q20" i="6" s="1"/>
  <c r="R15" i="11"/>
  <c r="R16" i="11" s="1"/>
  <c r="R27" i="5"/>
  <c r="K9" i="13"/>
  <c r="L41" i="6"/>
  <c r="M9" i="7"/>
  <c r="L10" i="12" s="1"/>
  <c r="L14" i="12" s="1"/>
  <c r="M21" i="3"/>
  <c r="R13" i="6"/>
  <c r="R20" i="6" s="1"/>
  <c r="T16" i="6"/>
  <c r="U48" i="3"/>
  <c r="U16" i="6" s="1"/>
  <c r="R29" i="5"/>
  <c r="O59" i="2"/>
  <c r="O61" i="2" s="1"/>
  <c r="N62" i="2"/>
  <c r="N63" i="2" s="1"/>
  <c r="N40" i="5" s="1"/>
  <c r="T27" i="2"/>
  <c r="J10" i="13"/>
  <c r="J11" i="13" s="1"/>
  <c r="J13" i="13" s="1"/>
  <c r="L7" i="7"/>
  <c r="L32" i="7" s="1"/>
  <c r="L44" i="5"/>
  <c r="N26" i="6"/>
  <c r="N29" i="6" s="1"/>
  <c r="N36" i="6" s="1"/>
  <c r="N35" i="3"/>
  <c r="Q24" i="6"/>
  <c r="R27" i="7" s="1"/>
  <c r="Q18" i="12" s="1"/>
  <c r="S29" i="2"/>
  <c r="S31" i="2" s="1"/>
  <c r="S32" i="2" s="1"/>
  <c r="Q17" i="11"/>
  <c r="Q18" i="11" s="1"/>
  <c r="N28" i="12"/>
  <c r="L54" i="7" l="1"/>
  <c r="L55" i="7" s="1"/>
  <c r="L57" i="7" s="1"/>
  <c r="Q24" i="11"/>
  <c r="P7" i="12"/>
  <c r="R17" i="11"/>
  <c r="R18" i="11" s="1"/>
  <c r="T12" i="11"/>
  <c r="T25" i="6"/>
  <c r="T28" i="7" s="1"/>
  <c r="T35" i="6"/>
  <c r="T30" i="7" s="1"/>
  <c r="T19" i="6"/>
  <c r="T26" i="7" s="1"/>
  <c r="T33" i="6"/>
  <c r="T28" i="6"/>
  <c r="T10" i="6"/>
  <c r="T10" i="5"/>
  <c r="T12" i="6"/>
  <c r="T24" i="7" s="1"/>
  <c r="T58" i="3"/>
  <c r="T8" i="6" s="1"/>
  <c r="T36" i="5" s="1"/>
  <c r="T37" i="5" s="1"/>
  <c r="T22" i="3"/>
  <c r="T60" i="3"/>
  <c r="T9" i="6" s="1"/>
  <c r="K29" i="12"/>
  <c r="K31" i="12" s="1"/>
  <c r="K33" i="12" s="1"/>
  <c r="L22" i="11"/>
  <c r="O28" i="12"/>
  <c r="O26" i="6"/>
  <c r="O29" i="6" s="1"/>
  <c r="O35" i="3"/>
  <c r="U29" i="2"/>
  <c r="S14" i="6"/>
  <c r="S26" i="5"/>
  <c r="K63" i="7"/>
  <c r="K66" i="7" s="1"/>
  <c r="K67" i="7" s="1"/>
  <c r="L59" i="7"/>
  <c r="R7" i="11"/>
  <c r="S36" i="5"/>
  <c r="S37" i="5" s="1"/>
  <c r="S32" i="3"/>
  <c r="S11" i="7"/>
  <c r="T13" i="5"/>
  <c r="T28" i="2"/>
  <c r="U13" i="5"/>
  <c r="U31" i="2"/>
  <c r="U32" i="2" s="1"/>
  <c r="U28" i="2"/>
  <c r="N41" i="5"/>
  <c r="N43" i="5"/>
  <c r="M20" i="3"/>
  <c r="Q7" i="11"/>
  <c r="U17" i="5"/>
  <c r="U19" i="5" s="1"/>
  <c r="U39" i="2"/>
  <c r="U40" i="2" s="1"/>
  <c r="S24" i="7"/>
  <c r="M8" i="11"/>
  <c r="M9" i="11" s="1"/>
  <c r="M40" i="6"/>
  <c r="T32" i="3"/>
  <c r="T11" i="7"/>
  <c r="K10" i="13"/>
  <c r="K11" i="13" s="1"/>
  <c r="K13" i="13" s="1"/>
  <c r="M7" i="7"/>
  <c r="M32" i="7" s="1"/>
  <c r="M44" i="5"/>
  <c r="T39" i="2"/>
  <c r="T40" i="2" s="1"/>
  <c r="T22" i="7"/>
  <c r="S22" i="7"/>
  <c r="Q27" i="7"/>
  <c r="P18" i="12" s="1"/>
  <c r="R39" i="5"/>
  <c r="R30" i="5"/>
  <c r="T19" i="5"/>
  <c r="U45" i="2"/>
  <c r="U24" i="5" s="1"/>
  <c r="U43" i="2"/>
  <c r="U23" i="5" s="1"/>
  <c r="U24" i="2"/>
  <c r="U47" i="2"/>
  <c r="U25" i="5" s="1"/>
  <c r="S26" i="7"/>
  <c r="R22" i="12" s="1"/>
  <c r="P36" i="3"/>
  <c r="Q38" i="3"/>
  <c r="Q42" i="3" s="1"/>
  <c r="P37" i="3"/>
  <c r="P34" i="6" s="1"/>
  <c r="S14" i="5"/>
  <c r="S15" i="5" s="1"/>
  <c r="S30" i="2"/>
  <c r="S23" i="11"/>
  <c r="P59" i="2"/>
  <c r="P61" i="2" s="1"/>
  <c r="O62" i="2"/>
  <c r="O63" i="2" s="1"/>
  <c r="O40" i="5" s="1"/>
  <c r="N8" i="11"/>
  <c r="N9" i="11" s="1"/>
  <c r="N40" i="6"/>
  <c r="O37" i="3"/>
  <c r="O34" i="6" s="1"/>
  <c r="T29" i="2"/>
  <c r="U9" i="5"/>
  <c r="T26" i="5"/>
  <c r="S22" i="12" l="1"/>
  <c r="L60" i="7"/>
  <c r="L63" i="7" s="1"/>
  <c r="L66" i="7" s="1"/>
  <c r="L67" i="7" s="1"/>
  <c r="T31" i="7"/>
  <c r="S13" i="11"/>
  <c r="S14" i="11" s="1"/>
  <c r="S11" i="6"/>
  <c r="R24" i="11"/>
  <c r="Q7" i="12"/>
  <c r="M59" i="7"/>
  <c r="M9" i="13"/>
  <c r="L10" i="13"/>
  <c r="N7" i="7"/>
  <c r="N44" i="5"/>
  <c r="T23" i="11"/>
  <c r="S15" i="6"/>
  <c r="S33" i="3"/>
  <c r="S40" i="3" s="1"/>
  <c r="T15" i="5"/>
  <c r="N20" i="11"/>
  <c r="R38" i="3"/>
  <c r="Q36" i="3"/>
  <c r="R42" i="3"/>
  <c r="U20" i="5"/>
  <c r="S15" i="11"/>
  <c r="S27" i="5"/>
  <c r="S29" i="5"/>
  <c r="U32" i="3"/>
  <c r="U11" i="7"/>
  <c r="T15" i="6"/>
  <c r="T33" i="3"/>
  <c r="T40" i="3" s="1"/>
  <c r="U15" i="5"/>
  <c r="R60" i="2"/>
  <c r="N41" i="6"/>
  <c r="O41" i="5"/>
  <c r="O43" i="5"/>
  <c r="Q59" i="2"/>
  <c r="Q61" i="2" s="1"/>
  <c r="P62" i="2"/>
  <c r="P63" i="2" s="1"/>
  <c r="P40" i="5" s="1"/>
  <c r="U12" i="11"/>
  <c r="U25" i="6"/>
  <c r="U28" i="7" s="1"/>
  <c r="U35" i="6"/>
  <c r="U30" i="7" s="1"/>
  <c r="U33" i="6"/>
  <c r="U28" i="6"/>
  <c r="U19" i="6"/>
  <c r="U26" i="7" s="1"/>
  <c r="U10" i="6"/>
  <c r="U22" i="7" s="1"/>
  <c r="U10" i="5"/>
  <c r="U12" i="6"/>
  <c r="U24" i="7" s="1"/>
  <c r="U58" i="3"/>
  <c r="U8" i="6" s="1"/>
  <c r="U36" i="5" s="1"/>
  <c r="U37" i="5" s="1"/>
  <c r="U22" i="3"/>
  <c r="U60" i="3"/>
  <c r="U9" i="6" s="1"/>
  <c r="P28" i="12"/>
  <c r="M20" i="11"/>
  <c r="N21" i="11"/>
  <c r="M21" i="11"/>
  <c r="H11" i="16" s="1"/>
  <c r="H12" i="16" s="1"/>
  <c r="O36" i="6"/>
  <c r="U26" i="5"/>
  <c r="U29" i="5" s="1"/>
  <c r="T15" i="11"/>
  <c r="T27" i="5"/>
  <c r="P26" i="6"/>
  <c r="P29" i="6" s="1"/>
  <c r="P36" i="6" s="1"/>
  <c r="P35" i="3"/>
  <c r="T20" i="5"/>
  <c r="T29" i="5"/>
  <c r="L9" i="13"/>
  <c r="N54" i="7"/>
  <c r="N55" i="7" s="1"/>
  <c r="M54" i="7"/>
  <c r="M55" i="7" s="1"/>
  <c r="T14" i="5"/>
  <c r="T30" i="2"/>
  <c r="M41" i="6"/>
  <c r="M24" i="3"/>
  <c r="M35" i="7" s="1"/>
  <c r="N23" i="3"/>
  <c r="T31" i="2"/>
  <c r="T32" i="2" s="1"/>
  <c r="U14" i="5"/>
  <c r="U30" i="2"/>
  <c r="T14" i="6"/>
  <c r="T22" i="12" l="1"/>
  <c r="U31" i="7"/>
  <c r="U39" i="5"/>
  <c r="U30" i="5"/>
  <c r="U13" i="11"/>
  <c r="U14" i="11" s="1"/>
  <c r="U16" i="11" s="1"/>
  <c r="U11" i="6"/>
  <c r="U24" i="6" s="1"/>
  <c r="Q62" i="2"/>
  <c r="Q63" i="2" s="1"/>
  <c r="Q40" i="5" s="1"/>
  <c r="R59" i="2"/>
  <c r="R61" i="2" s="1"/>
  <c r="N9" i="7"/>
  <c r="M10" i="12" s="1"/>
  <c r="M14" i="12" s="1"/>
  <c r="N21" i="3"/>
  <c r="T13" i="11"/>
  <c r="T14" i="11" s="1"/>
  <c r="T16" i="11" s="1"/>
  <c r="T11" i="6"/>
  <c r="Q28" i="12"/>
  <c r="L11" i="13"/>
  <c r="L13" i="13" s="1"/>
  <c r="N32" i="7"/>
  <c r="U14" i="6"/>
  <c r="U15" i="6"/>
  <c r="U33" i="3"/>
  <c r="U40" i="3" s="1"/>
  <c r="Q26" i="6"/>
  <c r="Q29" i="6" s="1"/>
  <c r="Q35" i="3"/>
  <c r="S23" i="7"/>
  <c r="R17" i="12" s="1"/>
  <c r="S13" i="6"/>
  <c r="S20" i="6" s="1"/>
  <c r="P41" i="5"/>
  <c r="P43" i="5"/>
  <c r="O8" i="11"/>
  <c r="O9" i="11" s="1"/>
  <c r="O40" i="6"/>
  <c r="O41" i="6" s="1"/>
  <c r="L21" i="12"/>
  <c r="L24" i="12" s="1"/>
  <c r="L36" i="12" s="1"/>
  <c r="L38" i="12" s="1"/>
  <c r="M43" i="7"/>
  <c r="M57" i="7" s="1"/>
  <c r="M60" i="7" s="1"/>
  <c r="P8" i="11"/>
  <c r="P9" i="11" s="1"/>
  <c r="P40" i="6"/>
  <c r="P41" i="6" s="1"/>
  <c r="S39" i="5"/>
  <c r="S30" i="5"/>
  <c r="Q37" i="3"/>
  <c r="Q34" i="6" s="1"/>
  <c r="S24" i="6"/>
  <c r="U15" i="11"/>
  <c r="U27" i="5"/>
  <c r="M29" i="12"/>
  <c r="M31" i="12" s="1"/>
  <c r="N22" i="11"/>
  <c r="T39" i="5"/>
  <c r="T30" i="5"/>
  <c r="M10" i="13"/>
  <c r="M11" i="13" s="1"/>
  <c r="M13" i="13" s="1"/>
  <c r="O7" i="7"/>
  <c r="O44" i="5"/>
  <c r="L29" i="12"/>
  <c r="L31" i="12" s="1"/>
  <c r="L33" i="12" s="1"/>
  <c r="M22" i="11"/>
  <c r="U23" i="11"/>
  <c r="R36" i="3"/>
  <c r="R37" i="3" s="1"/>
  <c r="R34" i="6" s="1"/>
  <c r="S38" i="3"/>
  <c r="S42" i="3" s="1"/>
  <c r="S16" i="11"/>
  <c r="Q36" i="6" l="1"/>
  <c r="U17" i="11"/>
  <c r="U18" i="11"/>
  <c r="Q8" i="11"/>
  <c r="Q9" i="11" s="1"/>
  <c r="Q21" i="11" s="1"/>
  <c r="Q40" i="6"/>
  <c r="O20" i="11"/>
  <c r="P21" i="11"/>
  <c r="O21" i="11"/>
  <c r="S18" i="11"/>
  <c r="S17" i="11"/>
  <c r="U23" i="7"/>
  <c r="T17" i="12" s="1"/>
  <c r="T13" i="6"/>
  <c r="T20" i="6" s="1"/>
  <c r="T24" i="6"/>
  <c r="S36" i="3"/>
  <c r="T38" i="3"/>
  <c r="T42" i="3" s="1"/>
  <c r="U13" i="6"/>
  <c r="U20" i="6" s="1"/>
  <c r="P20" i="11"/>
  <c r="S7" i="11"/>
  <c r="T17" i="11"/>
  <c r="T18" i="11" s="1"/>
  <c r="N20" i="3"/>
  <c r="Q41" i="5"/>
  <c r="Q43" i="5"/>
  <c r="T60" i="2"/>
  <c r="N59" i="7"/>
  <c r="M63" i="7"/>
  <c r="M66" i="7" s="1"/>
  <c r="M67" i="7" s="1"/>
  <c r="S27" i="7"/>
  <c r="R18" i="12" s="1"/>
  <c r="T23" i="7"/>
  <c r="S17" i="12" s="1"/>
  <c r="S60" i="2"/>
  <c r="O9" i="13"/>
  <c r="N10" i="13"/>
  <c r="N11" i="13" s="1"/>
  <c r="N13" i="13" s="1"/>
  <c r="P7" i="7"/>
  <c r="P54" i="7" s="1"/>
  <c r="P55" i="7" s="1"/>
  <c r="P44" i="5"/>
  <c r="R26" i="6"/>
  <c r="R29" i="6" s="1"/>
  <c r="R36" i="6" s="1"/>
  <c r="R35" i="3"/>
  <c r="N9" i="13"/>
  <c r="O54" i="7"/>
  <c r="O55" i="7" s="1"/>
  <c r="R62" i="2"/>
  <c r="R63" i="2" s="1"/>
  <c r="R40" i="5" s="1"/>
  <c r="S59" i="2"/>
  <c r="S61" i="2" s="1"/>
  <c r="U60" i="2"/>
  <c r="S7" i="12" l="1"/>
  <c r="T24" i="11"/>
  <c r="T27" i="7"/>
  <c r="S18" i="12" s="1"/>
  <c r="S62" i="2"/>
  <c r="S63" i="2" s="1"/>
  <c r="S40" i="5" s="1"/>
  <c r="T59" i="2"/>
  <c r="T61" i="2" s="1"/>
  <c r="N29" i="12"/>
  <c r="N31" i="12" s="1"/>
  <c r="O22" i="11"/>
  <c r="O10" i="13"/>
  <c r="O11" i="13" s="1"/>
  <c r="O13" i="13" s="1"/>
  <c r="Q44" i="5"/>
  <c r="Q7" i="7"/>
  <c r="Q54" i="7" s="1"/>
  <c r="Q55" i="7" s="1"/>
  <c r="P9" i="13"/>
  <c r="O29" i="12"/>
  <c r="O31" i="12" s="1"/>
  <c r="P22" i="11"/>
  <c r="N24" i="3"/>
  <c r="N35" i="7" s="1"/>
  <c r="O23" i="3"/>
  <c r="Q20" i="11"/>
  <c r="R8" i="11"/>
  <c r="R9" i="11" s="1"/>
  <c r="R20" i="11" s="1"/>
  <c r="R40" i="6"/>
  <c r="R41" i="6" s="1"/>
  <c r="S24" i="11"/>
  <c r="R7" i="12"/>
  <c r="R41" i="5"/>
  <c r="R43" i="5"/>
  <c r="U7" i="11"/>
  <c r="S26" i="6"/>
  <c r="S29" i="6" s="1"/>
  <c r="S35" i="3"/>
  <c r="T7" i="12"/>
  <c r="U24" i="11"/>
  <c r="T7" i="11"/>
  <c r="Q41" i="6"/>
  <c r="T36" i="3"/>
  <c r="U38" i="3"/>
  <c r="U27" i="7"/>
  <c r="T18" i="12" s="1"/>
  <c r="S37" i="3"/>
  <c r="S34" i="6" s="1"/>
  <c r="U36" i="3" l="1"/>
  <c r="T26" i="6"/>
  <c r="T29" i="6" s="1"/>
  <c r="T35" i="3"/>
  <c r="S36" i="6"/>
  <c r="P29" i="12"/>
  <c r="P31" i="12" s="1"/>
  <c r="Q22" i="11"/>
  <c r="S41" i="5"/>
  <c r="S43" i="5"/>
  <c r="T28" i="12"/>
  <c r="T37" i="3"/>
  <c r="T34" i="6" s="1"/>
  <c r="R21" i="11"/>
  <c r="O9" i="7"/>
  <c r="O21" i="3"/>
  <c r="Q29" i="12"/>
  <c r="Q31" i="12" s="1"/>
  <c r="R22" i="11"/>
  <c r="R28" i="12"/>
  <c r="M21" i="12"/>
  <c r="M24" i="12" s="1"/>
  <c r="N43" i="7"/>
  <c r="N57" i="7" s="1"/>
  <c r="N60" i="7" s="1"/>
  <c r="F16" i="13"/>
  <c r="I44" i="12"/>
  <c r="Q9" i="13"/>
  <c r="S28" i="12"/>
  <c r="U42" i="3"/>
  <c r="P10" i="13"/>
  <c r="P11" i="13" s="1"/>
  <c r="P13" i="13" s="1"/>
  <c r="R7" i="7"/>
  <c r="R44" i="5"/>
  <c r="T62" i="2"/>
  <c r="T63" i="2" s="1"/>
  <c r="T40" i="5" s="1"/>
  <c r="U59" i="2"/>
  <c r="U61" i="2" s="1"/>
  <c r="U62" i="2" s="1"/>
  <c r="U63" i="2" s="1"/>
  <c r="U40" i="5" s="1"/>
  <c r="N10" i="12" l="1"/>
  <c r="N14" i="12" s="1"/>
  <c r="O32" i="7"/>
  <c r="O59" i="7"/>
  <c r="N63" i="7"/>
  <c r="N66" i="7" s="1"/>
  <c r="N67" i="7" s="1"/>
  <c r="T41" i="5"/>
  <c r="T43" i="5"/>
  <c r="M36" i="12"/>
  <c r="M38" i="12" s="1"/>
  <c r="M33" i="12"/>
  <c r="S8" i="11"/>
  <c r="S9" i="11" s="1"/>
  <c r="S40" i="6"/>
  <c r="T36" i="6"/>
  <c r="U41" i="5"/>
  <c r="U43" i="5"/>
  <c r="R54" i="7"/>
  <c r="R55" i="7" s="1"/>
  <c r="Q10" i="13"/>
  <c r="Q11" i="13" s="1"/>
  <c r="Q13" i="13" s="1"/>
  <c r="S7" i="7"/>
  <c r="S44" i="5"/>
  <c r="U26" i="6"/>
  <c r="U29" i="6" s="1"/>
  <c r="U35" i="3"/>
  <c r="O20" i="3"/>
  <c r="U37" i="3"/>
  <c r="U34" i="6" s="1"/>
  <c r="T8" i="11" l="1"/>
  <c r="T9" i="11" s="1"/>
  <c r="T40" i="6"/>
  <c r="R9" i="13"/>
  <c r="S54" i="7"/>
  <c r="S55" i="7" s="1"/>
  <c r="R10" i="13"/>
  <c r="R11" i="13" s="1"/>
  <c r="R13" i="13" s="1"/>
  <c r="F14" i="13" s="1"/>
  <c r="T7" i="7"/>
  <c r="T44" i="5"/>
  <c r="S41" i="6"/>
  <c r="P23" i="3"/>
  <c r="O24" i="3"/>
  <c r="O35" i="7" s="1"/>
  <c r="S20" i="11"/>
  <c r="T21" i="11"/>
  <c r="S21" i="11"/>
  <c r="U36" i="6"/>
  <c r="S10" i="13"/>
  <c r="U7" i="7"/>
  <c r="U44" i="5"/>
  <c r="N21" i="12" l="1"/>
  <c r="N24" i="12" s="1"/>
  <c r="O43" i="7"/>
  <c r="O57" i="7" s="1"/>
  <c r="O60" i="7" s="1"/>
  <c r="T54" i="7"/>
  <c r="T55" i="7" s="1"/>
  <c r="P9" i="7"/>
  <c r="P21" i="3"/>
  <c r="S9" i="13"/>
  <c r="S11" i="13" s="1"/>
  <c r="S13" i="13" s="1"/>
  <c r="U54" i="7"/>
  <c r="U55" i="7" s="1"/>
  <c r="R29" i="12"/>
  <c r="R31" i="12" s="1"/>
  <c r="S22" i="11"/>
  <c r="U8" i="11"/>
  <c r="U9" i="11" s="1"/>
  <c r="U20" i="11" s="1"/>
  <c r="U40" i="6"/>
  <c r="U41" i="6" s="1"/>
  <c r="T41" i="6"/>
  <c r="T20" i="11"/>
  <c r="F17" i="13" l="1"/>
  <c r="F18" i="13" s="1"/>
  <c r="F20" i="13" s="1"/>
  <c r="U21" i="11"/>
  <c r="T29" i="12"/>
  <c r="T31" i="12" s="1"/>
  <c r="U22" i="11"/>
  <c r="P20" i="3"/>
  <c r="S29" i="12"/>
  <c r="S31" i="12" s="1"/>
  <c r="T22" i="11"/>
  <c r="O10" i="12"/>
  <c r="O14" i="12" s="1"/>
  <c r="P32" i="7"/>
  <c r="P59" i="7"/>
  <c r="O63" i="7"/>
  <c r="O66" i="7" s="1"/>
  <c r="O67" i="7" s="1"/>
  <c r="N36" i="12"/>
  <c r="N38" i="12" s="1"/>
  <c r="N33" i="12"/>
  <c r="P24" i="3" l="1"/>
  <c r="P35" i="7" s="1"/>
  <c r="Q23" i="3"/>
  <c r="O21" i="12" l="1"/>
  <c r="O24" i="12" s="1"/>
  <c r="P43" i="7"/>
  <c r="P57" i="7" s="1"/>
  <c r="P60" i="7" s="1"/>
  <c r="Q9" i="7"/>
  <c r="Q21" i="3"/>
  <c r="Q59" i="7" l="1"/>
  <c r="P63" i="7"/>
  <c r="P66" i="7" s="1"/>
  <c r="P67" i="7" s="1"/>
  <c r="Q20" i="3"/>
  <c r="P10" i="12"/>
  <c r="P14" i="12" s="1"/>
  <c r="Q32" i="7"/>
  <c r="O36" i="12"/>
  <c r="O38" i="12" s="1"/>
  <c r="O33" i="12"/>
  <c r="Q24" i="3" l="1"/>
  <c r="Q35" i="7" s="1"/>
  <c r="R23" i="3"/>
  <c r="R9" i="7" l="1"/>
  <c r="R21" i="3"/>
  <c r="P21" i="12"/>
  <c r="P24" i="12" s="1"/>
  <c r="Q43" i="7"/>
  <c r="Q57" i="7" s="1"/>
  <c r="Q60" i="7" s="1"/>
  <c r="P36" i="12" l="1"/>
  <c r="P38" i="12" s="1"/>
  <c r="P33" i="12"/>
  <c r="Q63" i="7"/>
  <c r="Q66" i="7" s="1"/>
  <c r="Q67" i="7" s="1"/>
  <c r="R59" i="7"/>
  <c r="R20" i="3"/>
  <c r="Q10" i="12"/>
  <c r="Q14" i="12" s="1"/>
  <c r="R32" i="7"/>
  <c r="R24" i="3" l="1"/>
  <c r="R35" i="7" s="1"/>
  <c r="S23" i="3"/>
  <c r="S9" i="7" l="1"/>
  <c r="S21" i="3"/>
  <c r="Q21" i="12"/>
  <c r="Q24" i="12" s="1"/>
  <c r="R43" i="7"/>
  <c r="R57" i="7" s="1"/>
  <c r="R60" i="7" s="1"/>
  <c r="R63" i="7" l="1"/>
  <c r="R66" i="7" s="1"/>
  <c r="R67" i="7" s="1"/>
  <c r="S59" i="7"/>
  <c r="Q36" i="12"/>
  <c r="Q38" i="12" s="1"/>
  <c r="Q33" i="12"/>
  <c r="S20" i="3"/>
  <c r="R10" i="12"/>
  <c r="R14" i="12" s="1"/>
  <c r="S32" i="7"/>
  <c r="T23" i="3" l="1"/>
  <c r="S24" i="3"/>
  <c r="S35" i="7" s="1"/>
  <c r="T9" i="7" l="1"/>
  <c r="T21" i="3"/>
  <c r="R21" i="12"/>
  <c r="R24" i="12" s="1"/>
  <c r="S43" i="7"/>
  <c r="S57" i="7" s="1"/>
  <c r="S60" i="7" s="1"/>
  <c r="S63" i="7" l="1"/>
  <c r="S66" i="7" s="1"/>
  <c r="S67" i="7" s="1"/>
  <c r="T59" i="7"/>
  <c r="R36" i="12"/>
  <c r="R38" i="12" s="1"/>
  <c r="R33" i="12"/>
  <c r="T20" i="3"/>
  <c r="S10" i="12"/>
  <c r="S14" i="12" s="1"/>
  <c r="T32" i="7"/>
  <c r="U23" i="3" l="1"/>
  <c r="T24" i="3"/>
  <c r="T35" i="7" s="1"/>
  <c r="T43" i="7" l="1"/>
  <c r="T57" i="7" s="1"/>
  <c r="T60" i="7" s="1"/>
  <c r="S21" i="12"/>
  <c r="S24" i="12" s="1"/>
  <c r="U9" i="7"/>
  <c r="U21" i="3"/>
  <c r="U20" i="3" s="1"/>
  <c r="U24" i="3" s="1"/>
  <c r="U35" i="7" s="1"/>
  <c r="T10" i="12" l="1"/>
  <c r="T14" i="12" s="1"/>
  <c r="U32" i="7"/>
  <c r="S36" i="12"/>
  <c r="S38" i="12" s="1"/>
  <c r="I40" i="12" s="1"/>
  <c r="S33" i="12"/>
  <c r="T21" i="12"/>
  <c r="U43" i="7"/>
  <c r="U57" i="7" s="1"/>
  <c r="T63" i="7"/>
  <c r="T66" i="7" s="1"/>
  <c r="T67" i="7" s="1"/>
  <c r="U59" i="7"/>
  <c r="U60" i="7" l="1"/>
  <c r="U63" i="7" s="1"/>
  <c r="U66" i="7" s="1"/>
  <c r="U67" i="7" s="1"/>
  <c r="T24" i="12"/>
  <c r="T36" i="12" l="1"/>
  <c r="T38" i="12" s="1"/>
  <c r="I43" i="12" s="1"/>
  <c r="I47" i="12" s="1"/>
  <c r="I54" i="12" s="1"/>
  <c r="I60" i="12" s="1"/>
  <c r="I63" i="12" s="1"/>
  <c r="I64" i="12" s="1"/>
  <c r="T33" i="12"/>
  <c r="F22" i="13" l="1"/>
</calcChain>
</file>

<file path=xl/comments1.xml><?xml version="1.0" encoding="utf-8"?>
<comments xmlns="http://schemas.openxmlformats.org/spreadsheetml/2006/main">
  <authors>
    <author/>
  </authors>
  <commentList>
    <comment ref="A1" authorId="0" shapeId="0">
      <text>
        <r>
          <rPr>
            <sz val="10"/>
            <color rgb="FF000000"/>
            <rFont val="Arial"/>
            <family val="2"/>
            <scheme val="minor"/>
          </rPr>
          <t>I would like to include some metric on the device sales (similar to store growth for Home Depot), but I'm not sure we have enough data to do this.
	-Lucas Rebers</t>
        </r>
      </text>
    </comment>
  </commentList>
</comments>
</file>

<file path=xl/comments2.xml><?xml version="1.0" encoding="utf-8"?>
<comments xmlns="http://schemas.openxmlformats.org/spreadsheetml/2006/main">
  <authors>
    <author/>
  </authors>
  <commentList>
    <comment ref="J29" authorId="0" shapeId="0">
      <text>
        <r>
          <rPr>
            <sz val="10"/>
            <color rgb="FF000000"/>
            <rFont val="Arial"/>
            <family val="2"/>
            <scheme val="minor"/>
          </rPr>
          <t>I think this trend in net Operating Loss is fair.  They've traditionally operating at a loss.  They are investing in very expensive asset (content), in an industry that's become extremely competitive.  I don't think this will pay off for them.
	-Lucas Rebers</t>
        </r>
      </text>
    </comment>
  </commentList>
</comments>
</file>

<file path=xl/comments3.xml><?xml version="1.0" encoding="utf-8"?>
<comments xmlns="http://schemas.openxmlformats.org/spreadsheetml/2006/main">
  <authors>
    <author/>
  </authors>
  <commentList>
    <comment ref="A19" authorId="0" shapeId="0">
      <text>
        <r>
          <rPr>
            <sz val="10"/>
            <color rgb="FF000000"/>
            <rFont val="Arial"/>
            <family val="2"/>
            <scheme val="minor"/>
          </rPr>
          <t>While Roku does provide estimates for amortization over the next three years, I'm hesitant to use these values as they have never even been close to accurate in years past.  It appears to presuppose that no new content is created that requires amortization.
	-Lucas Rebers</t>
        </r>
      </text>
    </comment>
  </commentList>
</comments>
</file>

<file path=xl/sharedStrings.xml><?xml version="1.0" encoding="utf-8"?>
<sst xmlns="http://schemas.openxmlformats.org/spreadsheetml/2006/main" count="534" uniqueCount="471">
  <si>
    <t>Notes</t>
  </si>
  <si>
    <t>The Balance Sheet, Income Statement, and Cash Flow reorder the years to be forward looking, and include values for 2018-2021</t>
  </si>
  <si>
    <t>Looking at the 2022 Earnings there is some discrepancy with the 2021 numbers on the Income Statement.  Perhaps seems like there is some minor reclassification between platform and player.</t>
  </si>
  <si>
    <t>The 2022 Cash Flow had four new items: Foreign Currency Remeasurement, Change in Fair Value of Strategic Investment, Impairment of Intangible Assets, and Purchase of Strategic Investment</t>
  </si>
  <si>
    <t>ROKU, INC.</t>
  </si>
  <si>
    <t>Forecast Assumptions</t>
  </si>
  <si>
    <t>(in $ thousands)</t>
  </si>
  <si>
    <t>Forecast and Assumptions &gt;&gt;&gt;</t>
  </si>
  <si>
    <t>Fiscal Year</t>
  </si>
  <si>
    <t>Net Revenue and COGS</t>
  </si>
  <si>
    <t>Active Accounts (in thousands)</t>
  </si>
  <si>
    <t xml:space="preserve">  Average Platform Revenue Per User (in $)</t>
  </si>
  <si>
    <t xml:space="preserve">  Average Device Revenue Per User (in $)</t>
  </si>
  <si>
    <t>Average Total Revenue Per User (in $)</t>
  </si>
  <si>
    <t>Change in Active Accounts</t>
  </si>
  <si>
    <t xml:space="preserve">  Change in Average Platform Revenue Per User</t>
  </si>
  <si>
    <t xml:space="preserve">  Change in Average Device Revenue Per User</t>
  </si>
  <si>
    <t>Change in Average Total Revenue Per User</t>
  </si>
  <si>
    <t>Net Revenue</t>
  </si>
  <si>
    <t xml:space="preserve">  Net Platform Sales</t>
  </si>
  <si>
    <t xml:space="preserve">     Year-over-Year Growth %</t>
  </si>
  <si>
    <t>Total Net Sales ($ thousands)</t>
  </si>
  <si>
    <t>Cost of Revenue</t>
  </si>
  <si>
    <t xml:space="preserve">  Platform Cost of Revenue</t>
  </si>
  <si>
    <t xml:space="preserve">   % of Sales (Platform)</t>
  </si>
  <si>
    <t xml:space="preserve">  Device Cost of Revenue</t>
  </si>
  <si>
    <t xml:space="preserve">   % of Sales (Device)</t>
  </si>
  <si>
    <t>Total Cost of Revenue</t>
  </si>
  <si>
    <t xml:space="preserve">   % of Sales (Total)</t>
  </si>
  <si>
    <t>Gross Profit (Loss)</t>
  </si>
  <si>
    <t xml:space="preserve">  % of Sales</t>
  </si>
  <si>
    <t>Total Gross Profit</t>
  </si>
  <si>
    <t xml:space="preserve">     % of Sales</t>
  </si>
  <si>
    <t>Operating Expenses (as % of Sales)</t>
  </si>
  <si>
    <t>Research &amp; Development</t>
  </si>
  <si>
    <t>Sales and marketing</t>
  </si>
  <si>
    <t>General and Administrative</t>
  </si>
  <si>
    <t>Interest expense and income and other</t>
  </si>
  <si>
    <t>Interest rate on debt (%)</t>
  </si>
  <si>
    <t>Loss on extinguishment of debt (Assumed to be 0)</t>
  </si>
  <si>
    <t>Change in fair value of preferred stock warrant liability (Assumed to be 0)</t>
  </si>
  <si>
    <t>Interest rate on cash and marketable securities (%)</t>
  </si>
  <si>
    <t>Income taxes</t>
  </si>
  <si>
    <t>Assumed tax rate</t>
  </si>
  <si>
    <t>NOL at beginning of year</t>
  </si>
  <si>
    <t>Profits (losses) before income tax</t>
  </si>
  <si>
    <t>NOL at end of year</t>
  </si>
  <si>
    <t>Taxable income</t>
  </si>
  <si>
    <t>Provision for income taxes, net</t>
  </si>
  <si>
    <t>Current Operating Assets</t>
  </si>
  <si>
    <t>Days sales outstanding (DSO - end of year)</t>
  </si>
  <si>
    <t>Day inventory outstanding (DIO - end of year)</t>
  </si>
  <si>
    <t>Prepaid Expenses and Other current assets (% of Sales)</t>
  </si>
  <si>
    <t>Current Operating Liabilities</t>
  </si>
  <si>
    <t>Days payables outstanding (DPO - end of year)</t>
  </si>
  <si>
    <t>Accrued liabilities (w/o operating lease liability) (% of sales)</t>
  </si>
  <si>
    <t>Deferred revenue, current portion (% of sales)</t>
  </si>
  <si>
    <t>Non-current Operating Assets</t>
  </si>
  <si>
    <t>Fixed asset turnover (end of year)</t>
  </si>
  <si>
    <t>Average useful life of PPE</t>
  </si>
  <si>
    <t>Gross PPE</t>
  </si>
  <si>
    <t>Accumulated depreciation</t>
  </si>
  <si>
    <t>Net PPE</t>
  </si>
  <si>
    <t>Depreciation</t>
  </si>
  <si>
    <t>CAPEX</t>
  </si>
  <si>
    <t>Intangible Assets ($, thousands)</t>
  </si>
  <si>
    <t>Goodwill ($, thousands)</t>
  </si>
  <si>
    <t>Other non-current assets (% of sales)</t>
  </si>
  <si>
    <t>Operating Leases</t>
  </si>
  <si>
    <t>Operating lease right-of-use assets (% of SG&amp;A)</t>
  </si>
  <si>
    <t>Operating lease right-of-use assets ($ thousands)</t>
  </si>
  <si>
    <t>Operating lease right-of-use assets ($ growth thousands)</t>
  </si>
  <si>
    <t>Portion Attributable to Accured Liabilities (not used anywhere)</t>
  </si>
  <si>
    <t>Operating lease liabilities - current ($ thousands)</t>
  </si>
  <si>
    <t>Operating lease liabilities - long-term ($ thousands)</t>
  </si>
  <si>
    <t>Operating lease liabilities - total ($ thousands)</t>
  </si>
  <si>
    <t>Percent current</t>
  </si>
  <si>
    <t>Operating lease liabilities ($ growth thousands)</t>
  </si>
  <si>
    <t>Net change in operating asset and liability (should = $0)</t>
  </si>
  <si>
    <t>Content Asset ($ per user)</t>
  </si>
  <si>
    <t>Active Accounts</t>
  </si>
  <si>
    <t>Growth in Active Accounts (%)</t>
  </si>
  <si>
    <t>Growth in Spending (%)</t>
  </si>
  <si>
    <t>Net Content Asset</t>
  </si>
  <si>
    <t>Amortization of Content Assets</t>
  </si>
  <si>
    <t>Content Assets and Liability, net</t>
  </si>
  <si>
    <t>Non-current Operating Liabilities</t>
  </si>
  <si>
    <t>Deferred Revenue, non-current portion (% of sales)</t>
  </si>
  <si>
    <t>Other Long-term Liabilities (% of sales)</t>
  </si>
  <si>
    <t>Financial Assets and Liabilities</t>
  </si>
  <si>
    <t>Cash (% of sales)</t>
  </si>
  <si>
    <t>Cash ($ thousands)</t>
  </si>
  <si>
    <t>Short-Term Investments (% of sales)</t>
  </si>
  <si>
    <t>Short-Term Investments ($ thousands)</t>
  </si>
  <si>
    <t>New borrowings or (Payments) ($ thousands, including capital leases)</t>
  </si>
  <si>
    <t>Current portion of long-term debt ($ thousands)</t>
  </si>
  <si>
    <t>Long-term debt ($ thousands)</t>
  </si>
  <si>
    <t>Total debt</t>
  </si>
  <si>
    <t>Operating Activities</t>
  </si>
  <si>
    <t xml:space="preserve">  Stock Based Compensation Expense (% of SGA)</t>
  </si>
  <si>
    <t xml:space="preserve">  Amortization of right-of-use assets</t>
  </si>
  <si>
    <t xml:space="preserve">  Amortization of content assets</t>
  </si>
  <si>
    <t xml:space="preserve">  Amortization of Intangible Assets</t>
  </si>
  <si>
    <t xml:space="preserve">  Foreign currency remeasurement (gains) losses ($ - Assumed 0)</t>
  </si>
  <si>
    <t xml:space="preserve">  Change in fair value of strategic investment ($ - Assumed 0)</t>
  </si>
  <si>
    <t xml:space="preserve">  Impairment of intangible assets ($ - Assumed 0)</t>
  </si>
  <si>
    <t xml:space="preserve">  Provision for (recoveries of) doubtful accounts</t>
  </si>
  <si>
    <t xml:space="preserve">  Change in fair value of preferred stock warrant liability ($ - Assumed 0)</t>
  </si>
  <si>
    <t xml:space="preserve">  Other items, net ($ - Assumed 0)</t>
  </si>
  <si>
    <t>Investing Activities</t>
  </si>
  <si>
    <t xml:space="preserve">  Acquisition of businesses, net of cash acquired</t>
  </si>
  <si>
    <t xml:space="preserve">  Purchase of Strategic Investment</t>
  </si>
  <si>
    <t xml:space="preserve">  Proceeds from escrows associated with acquisition</t>
  </si>
  <si>
    <t xml:space="preserve">  Purchase of intangible assets</t>
  </si>
  <si>
    <t xml:space="preserve">  Purchases of short-term investments</t>
  </si>
  <si>
    <t xml:space="preserve">  Sales/maturities of short-term investments</t>
  </si>
  <si>
    <t xml:space="preserve">   Change in Deposits</t>
  </si>
  <si>
    <t>Financing Activities</t>
  </si>
  <si>
    <t xml:space="preserve">  Payments of costs related to initial public offering</t>
  </si>
  <si>
    <t xml:space="preserve">  Proceeds from borrowings, net of issuance costs</t>
  </si>
  <si>
    <t xml:space="preserve">  Repayments of borrowings</t>
  </si>
  <si>
    <t xml:space="preserve">  Holdback payment for a prior business acquisition</t>
  </si>
  <si>
    <t xml:space="preserve">  Proceeds from equity issued under incentive plans</t>
  </si>
  <si>
    <t xml:space="preserve">  Proceeds from equity issued under at-the-market offerings,net of offering costs</t>
  </si>
  <si>
    <t xml:space="preserve">   Proceeds from issuance of common stock pursuant to an IPO</t>
  </si>
  <si>
    <t>Effect on Exchange Rate Changes</t>
  </si>
  <si>
    <t>Restricted Cash</t>
  </si>
  <si>
    <t>CONSOLIDATED STATEMENTS OF OPERATIONS</t>
  </si>
  <si>
    <t>(in thousands, except per share data)</t>
  </si>
  <si>
    <t/>
  </si>
  <si>
    <t>Forecasting &gt;&gt;&gt;</t>
  </si>
  <si>
    <t>Net Revenue:</t>
  </si>
  <si>
    <t xml:space="preserve">  Platform</t>
  </si>
  <si>
    <t xml:space="preserve">  Devices</t>
  </si>
  <si>
    <t xml:space="preserve">      Total net revenue</t>
  </si>
  <si>
    <t>Cost of Revenue:</t>
  </si>
  <si>
    <t xml:space="preserve">      Total cost of revenue</t>
  </si>
  <si>
    <t>Gross Profit (Loss):</t>
  </si>
  <si>
    <t xml:space="preserve">      Total gross profit</t>
  </si>
  <si>
    <t>Operating Expenses:</t>
  </si>
  <si>
    <t xml:space="preserve">  Research and development</t>
  </si>
  <si>
    <t xml:space="preserve">  Sales and marketing</t>
  </si>
  <si>
    <t xml:space="preserve">  General and administrative</t>
  </si>
  <si>
    <t xml:space="preserve">      Total operating expenses</t>
  </si>
  <si>
    <t>Income (Loss) from Operations</t>
  </si>
  <si>
    <t>% of Sales</t>
  </si>
  <si>
    <t>Other Income (Expense), Net:</t>
  </si>
  <si>
    <t xml:space="preserve">  Interest expense</t>
  </si>
  <si>
    <t xml:space="preserve">  Loss on extinghisment of debt</t>
  </si>
  <si>
    <t xml:space="preserve">  Change in fair value of preferred stock warrant liability</t>
  </si>
  <si>
    <t xml:space="preserve">  Other income (expense), net</t>
  </si>
  <si>
    <t xml:space="preserve">      Total other income (expense), net</t>
  </si>
  <si>
    <t>Income (Loss) Before Income Taxes</t>
  </si>
  <si>
    <t>Income tax expense (benefit)</t>
  </si>
  <si>
    <t>% of Earning (Loss) before Income Taxes</t>
  </si>
  <si>
    <t>Net Income (Loss)</t>
  </si>
  <si>
    <t>Net income (loss) per share - basic</t>
  </si>
  <si>
    <t>Net income (loss) per share - diluted</t>
  </si>
  <si>
    <t>Weighted-average common shares outstanding - basic</t>
  </si>
  <si>
    <t>Weighted-average common shares outstanding - diluted</t>
  </si>
  <si>
    <t>CONSOLIDATED BALANCE SHEETS</t>
  </si>
  <si>
    <t>(in thousands, except par value)</t>
  </si>
  <si>
    <t>Assets</t>
  </si>
  <si>
    <t>Current Assets:</t>
  </si>
  <si>
    <t xml:space="preserve">  Cash and cash equivalents</t>
  </si>
  <si>
    <t xml:space="preserve">  Short-term investments</t>
  </si>
  <si>
    <t xml:space="preserve">  Accounts receivable, net of allowances</t>
  </si>
  <si>
    <t xml:space="preserve">  Inventories</t>
  </si>
  <si>
    <t xml:space="preserve">  Prepaid expenses and other current assets</t>
  </si>
  <si>
    <t xml:space="preserve">      Total current assets</t>
  </si>
  <si>
    <t>Property and equipment, net</t>
  </si>
  <si>
    <t>Operating lease right-of-use assets</t>
  </si>
  <si>
    <t>Content Assets</t>
  </si>
  <si>
    <t>Intangible assets, net</t>
  </si>
  <si>
    <t>Goodwill</t>
  </si>
  <si>
    <t>Other non-current assets</t>
  </si>
  <si>
    <t>Total Assets</t>
  </si>
  <si>
    <t>Liabilities and Stockholders' Equity</t>
  </si>
  <si>
    <t>Current Liabilities:</t>
  </si>
  <si>
    <t xml:space="preserve">  Accounts payable</t>
  </si>
  <si>
    <t xml:space="preserve">  Accrued liabilities</t>
  </si>
  <si>
    <t xml:space="preserve">    Current Operating Lease Liabilities</t>
  </si>
  <si>
    <t xml:space="preserve">  Current portion of long-term debt</t>
  </si>
  <si>
    <t xml:space="preserve">  Deferred revenue, current portion</t>
  </si>
  <si>
    <t xml:space="preserve">      Total current liabilities</t>
  </si>
  <si>
    <t>Non-Current Liabilities:</t>
  </si>
  <si>
    <t>Long-term debt, non-current portion</t>
  </si>
  <si>
    <t>Deferred revenue, non-current portion</t>
  </si>
  <si>
    <t>Operating lease liability, non-current portion</t>
  </si>
  <si>
    <t>Other long-term liabilities</t>
  </si>
  <si>
    <t>Total Liabilities</t>
  </si>
  <si>
    <t>Stockholders' Equity:</t>
  </si>
  <si>
    <t xml:space="preserve">      Total stockholders' equity</t>
  </si>
  <si>
    <t>Total Liabilities and Stockholders' Equity</t>
  </si>
  <si>
    <t>CONSOLIDATED STATEMENTS OF CASH FLOWS</t>
  </si>
  <si>
    <t>(in thousands)</t>
  </si>
  <si>
    <t>Cash flows from operating activities:</t>
  </si>
  <si>
    <t xml:space="preserve">  Net income (loss)</t>
  </si>
  <si>
    <t>Adjustments to reconcile net income (loss) to net cash provided by operating activities:</t>
  </si>
  <si>
    <t xml:space="preserve">    Depreciation of PPE</t>
  </si>
  <si>
    <t xml:space="preserve">    Amortization of Intangible Assets</t>
  </si>
  <si>
    <t xml:space="preserve">    Stock-based compensation expense</t>
  </si>
  <si>
    <t xml:space="preserve">    Amortization of right-of-use assets</t>
  </si>
  <si>
    <t xml:space="preserve">    Amortization of content assets</t>
  </si>
  <si>
    <t xml:space="preserve">    Foreign currency remeasurement (gains) losses</t>
  </si>
  <si>
    <t xml:space="preserve">    Change in fair value of strategic investment</t>
  </si>
  <si>
    <t xml:space="preserve">    Impairment of intangible assets</t>
  </si>
  <si>
    <t xml:space="preserve">    Provision for (recoveries of) doubtful accounts</t>
  </si>
  <si>
    <t xml:space="preserve">    Change in fair value of preferred stock warrant liability</t>
  </si>
  <si>
    <t xml:space="preserve">    Other items, net</t>
  </si>
  <si>
    <t xml:space="preserve">    Changes in operating assets and liabilities:</t>
  </si>
  <si>
    <t xml:space="preserve">      Accounts receivable</t>
  </si>
  <si>
    <t xml:space="preserve">      Inventories</t>
  </si>
  <si>
    <t xml:space="preserve">      Prepaid expenses and other current assets</t>
  </si>
  <si>
    <t xml:space="preserve">      Content Assets and liabilities, net</t>
  </si>
  <si>
    <t xml:space="preserve">      Other non-current assets</t>
  </si>
  <si>
    <t xml:space="preserve">      Accounts payable</t>
  </si>
  <si>
    <t xml:space="preserve">      Accrued liabilities</t>
  </si>
  <si>
    <t xml:space="preserve">      Operating lease liabilities</t>
  </si>
  <si>
    <t xml:space="preserve">      Other long-term liabilities</t>
  </si>
  <si>
    <t xml:space="preserve">      Deferred revenue</t>
  </si>
  <si>
    <t xml:space="preserve">          Net cash provided by operating activities</t>
  </si>
  <si>
    <t>Cash flows from investing activities:</t>
  </si>
  <si>
    <t xml:space="preserve">  Purchases of property and equipment (i.e., CAPEX)</t>
  </si>
  <si>
    <t xml:space="preserve">  Change in deposits</t>
  </si>
  <si>
    <t xml:space="preserve">          Net cash used in investing activities</t>
  </si>
  <si>
    <t>Cash flows from financing activities:</t>
  </si>
  <si>
    <t xml:space="preserve">  Proceeds from equity issued under at-the-market offerings, net of offering costs</t>
  </si>
  <si>
    <t xml:space="preserve">  Proceeds from issuance of common stock pursuant to an IPO</t>
  </si>
  <si>
    <t xml:space="preserve">  Net Debt Transactions</t>
  </si>
  <si>
    <t xml:space="preserve">  Net Equity Transactions (stock sales, repurchases, dividends)</t>
  </si>
  <si>
    <t xml:space="preserve">    Net cash provided by financing activities</t>
  </si>
  <si>
    <t>Net increase in cash, cash equivalents and restricted cash</t>
  </si>
  <si>
    <t>Effect of exchange rate changes on cash, cash equivalents and restricted cash</t>
  </si>
  <si>
    <t>Cash, cash equivalents and restricted cash -Beginning of period</t>
  </si>
  <si>
    <t>Cash, cash equivalents and restricted cash -End of period</t>
  </si>
  <si>
    <t>Cash, cash equivalents and restricted cash at end of period:</t>
  </si>
  <si>
    <t xml:space="preserve">  Restricted cash, current</t>
  </si>
  <si>
    <t xml:space="preserve">  Restricted cash, non-current</t>
  </si>
  <si>
    <t xml:space="preserve">  Cash, cash equivalents and restricted cash -End of period</t>
  </si>
  <si>
    <t>difference</t>
  </si>
  <si>
    <t>Supplemental Disclosures of Cash Flow Information</t>
  </si>
  <si>
    <t xml:space="preserve">  Cash paid for interest</t>
  </si>
  <si>
    <t xml:space="preserve">  Cash paid for income taxes</t>
  </si>
  <si>
    <t>Supplemental Disclosures of Non-Cash Investing and Financing Activities</t>
  </si>
  <si>
    <t xml:space="preserve">  Non-cash consideration for business combination</t>
  </si>
  <si>
    <t xml:space="preserve">  Services to be received as part of a business combination</t>
  </si>
  <si>
    <t xml:space="preserve">  Issuance of common stock for business combinations</t>
  </si>
  <si>
    <t xml:space="preserve">  Unpaid portion of property and equipment purchases</t>
  </si>
  <si>
    <t xml:space="preserve">  Unpaid portion of acquisition related expenses</t>
  </si>
  <si>
    <t xml:space="preserve">  Unpaid portion of purchased intangibles</t>
  </si>
  <si>
    <t xml:space="preserve">  Unpaid portion of at-the-market-offering costs</t>
  </si>
  <si>
    <t>Accrued Liability</t>
  </si>
  <si>
    <t>Payments due to content publishers</t>
  </si>
  <si>
    <t>Accrued cost of revenue</t>
  </si>
  <si>
    <t>Marketing, retail and merchandising costs</t>
  </si>
  <si>
    <t>Operating lease liability, current</t>
  </si>
  <si>
    <t>Content liability, current</t>
  </si>
  <si>
    <t>Other accrued expenses</t>
  </si>
  <si>
    <t>Total Accrued Liabilities</t>
  </si>
  <si>
    <t>Amortization Schedule of Intangible Assets</t>
  </si>
  <si>
    <t>Year Ending December 31,</t>
  </si>
  <si>
    <t>Thereafter</t>
  </si>
  <si>
    <t>Total</t>
  </si>
  <si>
    <t>Licensed content, net and advances</t>
  </si>
  <si>
    <t>Produced content</t>
  </si>
  <si>
    <t xml:space="preserve">  Release, less amortization</t>
  </si>
  <si>
    <t xml:space="preserve">  Completed, not released</t>
  </si>
  <si>
    <t xml:space="preserve">  In production</t>
  </si>
  <si>
    <t xml:space="preserve">    Total produced content, net</t>
  </si>
  <si>
    <t>Total content assets, net and advances</t>
  </si>
  <si>
    <t>Current portion</t>
  </si>
  <si>
    <t>Non-current portion</t>
  </si>
  <si>
    <t>Licensed content</t>
  </si>
  <si>
    <t xml:space="preserve">   Total amortization costs</t>
  </si>
  <si>
    <t>NOPAT and NOA Calculations</t>
  </si>
  <si>
    <t>(in $ thousands, except per share amounts)</t>
  </si>
  <si>
    <t>Forecast &gt;&gt;</t>
  </si>
  <si>
    <t>Calculate NOA</t>
  </si>
  <si>
    <t xml:space="preserve">  Operating Assets</t>
  </si>
  <si>
    <t xml:space="preserve">  Operating Liabilities</t>
  </si>
  <si>
    <t xml:space="preserve">  Net Operating Assets (NOA)</t>
  </si>
  <si>
    <t>Calculate NOPAT</t>
  </si>
  <si>
    <t xml:space="preserve">  Operating Revenues</t>
  </si>
  <si>
    <t xml:space="preserve">    Cost of Goods Sold</t>
  </si>
  <si>
    <t xml:space="preserve">  Gross Margin</t>
  </si>
  <si>
    <t xml:space="preserve">    Operatings Expenses</t>
  </si>
  <si>
    <t xml:space="preserve">  EBIT</t>
  </si>
  <si>
    <t xml:space="preserve">    Tax on EBIT</t>
  </si>
  <si>
    <t xml:space="preserve">  NOPAT</t>
  </si>
  <si>
    <t>Investment (change in NOA)</t>
  </si>
  <si>
    <t>ROIC</t>
  </si>
  <si>
    <t>RONIC</t>
  </si>
  <si>
    <t>g(Sales)</t>
  </si>
  <si>
    <t>g(NOPAT)</t>
  </si>
  <si>
    <t>Discounted Cash Flow Valuation</t>
  </si>
  <si>
    <t>NOPAT</t>
  </si>
  <si>
    <t>Add back non-cash operating expenses</t>
  </si>
  <si>
    <t xml:space="preserve">  Depreciation of PPE</t>
  </si>
  <si>
    <t>Gross cash flow</t>
  </si>
  <si>
    <t>Less net investments in working capital</t>
  </si>
  <si>
    <t xml:space="preserve">  (-) Change in current operating assets</t>
  </si>
  <si>
    <t xml:space="preserve">  (+) Change in current operating liabilities</t>
  </si>
  <si>
    <t>Less net investment in fixed assets and other noncurrent assets</t>
  </si>
  <si>
    <t xml:space="preserve">  (-) Capital expenditures for PPE</t>
  </si>
  <si>
    <t xml:space="preserve">  (-) Other net changes in long-term operating assets and liabilities </t>
  </si>
  <si>
    <t>Free cash flow</t>
  </si>
  <si>
    <t>Method II</t>
  </si>
  <si>
    <t>(-) Net change in NOA</t>
  </si>
  <si>
    <t>Check difference between methods</t>
  </si>
  <si>
    <t>DCF Valuation</t>
  </si>
  <si>
    <t>Free Cash Flows (2023-2030)</t>
  </si>
  <si>
    <t>Sum of PV of FCF over forecast horizon (2023 - 2031)</t>
  </si>
  <si>
    <t>Free Cash Flows Beyond 2031 (i.e., Continuing or Terminal Value) =</t>
  </si>
  <si>
    <t xml:space="preserve">                 [FCF_2032 / (WACC-g)] / [1+WACC]T</t>
  </si>
  <si>
    <t xml:space="preserve">                      Terminal growth rate, g = </t>
  </si>
  <si>
    <t xml:space="preserve">                      Terminal value year (i.e., # of years forecast), T = </t>
  </si>
  <si>
    <t>OPERATING VALUE: PV of all future Free Cash Flows</t>
  </si>
  <si>
    <t>Add financial assets:</t>
  </si>
  <si>
    <t>(+) Value of Cash and ST Investments in 2022</t>
  </si>
  <si>
    <t>(+) Value of LT Investments 2022</t>
  </si>
  <si>
    <t>(+) Other</t>
  </si>
  <si>
    <t>ENTERPRISE VALUE:</t>
  </si>
  <si>
    <t>Subtract other financial claims:</t>
  </si>
  <si>
    <t>(-) Notes Payable in 2022</t>
  </si>
  <si>
    <t>(-) Value of stock comp outstanding 2022* (1-tax rate)</t>
  </si>
  <si>
    <t>EQUITY VALUE at 12/31/2022:</t>
  </si>
  <si>
    <t># shares outstanding 1/31/2022 (thousands)</t>
  </si>
  <si>
    <t>Value per share = Value of Equity / # of shares</t>
  </si>
  <si>
    <t>Value per share at 2/27/2023</t>
  </si>
  <si>
    <t>T</t>
  </si>
  <si>
    <t>R_e</t>
  </si>
  <si>
    <t>BVE_(t-1)</t>
  </si>
  <si>
    <t>NI</t>
  </si>
  <si>
    <t>RI</t>
  </si>
  <si>
    <t>Discount factor</t>
  </si>
  <si>
    <t>PV(RI)</t>
  </si>
  <si>
    <t>Sum PV(RI)</t>
  </si>
  <si>
    <t>Explicit forecast horizon (T years)</t>
  </si>
  <si>
    <t>Terminal (i.e., perpetuity) growth rate</t>
  </si>
  <si>
    <t>TV</t>
  </si>
  <si>
    <t>Equity value at 2/27/2023</t>
  </si>
  <si>
    <t>Shares outstanding</t>
  </si>
  <si>
    <t>Difference from WACC DCF</t>
  </si>
  <si>
    <t>Option Value based on the Black-Scholes Model:</t>
  </si>
  <si>
    <t>Per Footnote 12:</t>
  </si>
  <si>
    <t>Black-Scholes Option Pricing Model</t>
  </si>
  <si>
    <t>Inputs:</t>
  </si>
  <si>
    <t>Stock Price (S)</t>
  </si>
  <si>
    <t>Strike Price (X)</t>
  </si>
  <si>
    <r>
      <rPr>
        <sz val="10"/>
        <color theme="1"/>
        <rFont val="Avenir"/>
      </rPr>
      <t>Volatility (</t>
    </r>
    <r>
      <rPr>
        <sz val="10"/>
        <color theme="1"/>
        <rFont val="Avenir"/>
      </rPr>
      <t>s</t>
    </r>
    <r>
      <rPr>
        <sz val="10"/>
        <color theme="1"/>
        <rFont val="Avenir"/>
      </rPr>
      <t>)</t>
    </r>
  </si>
  <si>
    <t>Risk-free Rate</t>
  </si>
  <si>
    <t>Time to expiration (T)</t>
  </si>
  <si>
    <t>yrs</t>
  </si>
  <si>
    <t>Dividend Yield</t>
  </si>
  <si>
    <t># of Options (000s)</t>
  </si>
  <si>
    <t># Shares Outstanding (000s)</t>
  </si>
  <si>
    <t>Tax Rate</t>
  </si>
  <si>
    <t>Output:</t>
  </si>
  <si>
    <t>D1</t>
  </si>
  <si>
    <t>D2</t>
  </si>
  <si>
    <t>N(D1)</t>
  </si>
  <si>
    <t>N(D2)</t>
  </si>
  <si>
    <t>Call Price</t>
  </si>
  <si>
    <t>Value of Call Options (000)</t>
  </si>
  <si>
    <t>Restricted nonvested shares oustanding (000)</t>
  </si>
  <si>
    <t>Value of Restricted shares outstanding (000)</t>
  </si>
  <si>
    <t>Value of options + restricted shares</t>
  </si>
  <si>
    <t>Less: Unrecognized expense ($000)</t>
  </si>
  <si>
    <t>Before tax value of stock comp outstanding ($000)</t>
  </si>
  <si>
    <t>After-tax Stock Comp Value (000)</t>
  </si>
  <si>
    <t>Source: http://www3.nd.edu/~scorwin/fin70610/BlackScholes.xls</t>
  </si>
  <si>
    <t>Stock Price as of December 30, 2022 per Yahoo!Finance</t>
  </si>
  <si>
    <t>COMPANY NAME, INC.</t>
  </si>
  <si>
    <t>Morningstar General Model v6.001 (REVISED BY MICHAEL MINNIS)</t>
  </si>
  <si>
    <t>© 2017 Morningstar, Inc. All Rights Reserved.</t>
  </si>
  <si>
    <t>Systematic Risk Bucket Assignment Tool</t>
  </si>
  <si>
    <t>If the economy entered a recession next year with a 2%-3% drop in real GDP,</t>
  </si>
  <si>
    <t>% of Cash and Investments Added to FVE</t>
  </si>
  <si>
    <t>by how much would you expect this company's total revenue to decline?</t>
  </si>
  <si>
    <t>Cash and Investments in Fair Value Estimate ($ from balance sheet)</t>
  </si>
  <si>
    <t>Revenue Cyclicality:</t>
  </si>
  <si>
    <t>High</t>
  </si>
  <si>
    <t>Revenue cycality score</t>
  </si>
  <si>
    <t>Cost of Capital</t>
  </si>
  <si>
    <t>Credit Risk Spread</t>
  </si>
  <si>
    <t>Risk free rate</t>
  </si>
  <si>
    <t>&lt;-- US 30 Year Treasury Yield</t>
  </si>
  <si>
    <t>Extremely Low</t>
  </si>
  <si>
    <t>b) What is a normalized/"mid-cycle" operating margin for this company?</t>
  </si>
  <si>
    <t>Market Risk Premium</t>
  </si>
  <si>
    <t>&lt;-- Assumed</t>
  </si>
  <si>
    <t>Very Low</t>
  </si>
  <si>
    <t>Systematic Risk to Equity Rating from Assignment Tool (Cyclicality)</t>
  </si>
  <si>
    <t>Average</t>
  </si>
  <si>
    <t>Low</t>
  </si>
  <si>
    <t>Beta</t>
  </si>
  <si>
    <t>&lt;-- Result of Systematic Risk Rating</t>
  </si>
  <si>
    <t>Moderate</t>
  </si>
  <si>
    <t>Country Risk Premium and Inflation Adjustment for COE</t>
  </si>
  <si>
    <t>Above average</t>
  </si>
  <si>
    <t>c) What percentage of costs (including COGS and SG&amp;A) would you estimate are</t>
  </si>
  <si>
    <t>Estimated Cost of Equity</t>
  </si>
  <si>
    <t>fixed in the short run?</t>
  </si>
  <si>
    <t>Credit Risk (based on your analysis of solvency, liquidity, coverage)</t>
  </si>
  <si>
    <t>Very High</t>
  </si>
  <si>
    <t>Operating Leverage:</t>
  </si>
  <si>
    <t>Medium</t>
  </si>
  <si>
    <t>Estimated Pre-Tax Cost of Debt</t>
  </si>
  <si>
    <t>Operating Leverage Score:</t>
  </si>
  <si>
    <t>Estimated Cost of Preferred</t>
  </si>
  <si>
    <t>Operating leverage score</t>
  </si>
  <si>
    <t>Reporting Currency Expected Inflation Premium for COD</t>
  </si>
  <si>
    <t>Capital</t>
  </si>
  <si>
    <t>d) What is the ratio of Enterprise Value to the Fair Value of Equity?</t>
  </si>
  <si>
    <t>Weighting of Equity in WACC</t>
  </si>
  <si>
    <t>Equity ($)*</t>
  </si>
  <si>
    <t>Weighting of Debt in WACC</t>
  </si>
  <si>
    <t>Debt ($)**</t>
  </si>
  <si>
    <t>Financial Leverage:</t>
  </si>
  <si>
    <t>Weighting of Preferred in WACC</t>
  </si>
  <si>
    <t>Preferred ($)*</t>
  </si>
  <si>
    <t>Financial leverage score</t>
  </si>
  <si>
    <t>Total capital ($)</t>
  </si>
  <si>
    <t>Suggested Systematic Risk Rating:</t>
  </si>
  <si>
    <t>Average score</t>
  </si>
  <si>
    <t>Long-Run Tax Rate (ETR %)</t>
  </si>
  <si>
    <t>WACC</t>
  </si>
  <si>
    <t>Shares Outstanding</t>
  </si>
  <si>
    <t>* For the value of common equity or preferred, use the recent market value.</t>
  </si>
  <si>
    <t>Price per share of Roku as of December 30, 2022</t>
  </si>
  <si>
    <t>** For the value of debt, use either recent market value (if available) or book value of debt. Also, subtract the value cash (cell G8) from debt to derive net debt.</t>
  </si>
  <si>
    <t>I made two modifications to the original Morningstar model:</t>
  </si>
  <si>
    <t>1) I incorporated the risk free rate in the cost of equity and cost of debt calculations.</t>
  </si>
  <si>
    <t>2) I explicitly modeled the cost of equity on the CAPM by translating the Systematic Risk Rating into a Beta estimate.</t>
  </si>
  <si>
    <t>Cell reference to data from your model</t>
  </si>
  <si>
    <t>Input in this tab</t>
  </si>
  <si>
    <t>FY</t>
  </si>
  <si>
    <t>2023E</t>
  </si>
  <si>
    <t>2024E</t>
  </si>
  <si>
    <t>2025E</t>
  </si>
  <si>
    <t>2026E</t>
  </si>
  <si>
    <t>Revenue</t>
  </si>
  <si>
    <t>Revenue YoY %</t>
  </si>
  <si>
    <t>Gross Margin</t>
  </si>
  <si>
    <t>Gross Margin YoY %</t>
  </si>
  <si>
    <t>EBIT</t>
  </si>
  <si>
    <t>EBIT YoY %</t>
  </si>
  <si>
    <t>ROIC YoY %</t>
  </si>
  <si>
    <t>g(Sales) YoY %</t>
  </si>
  <si>
    <t>g(NOPAT) YoY %</t>
  </si>
  <si>
    <t>SG&amp;A Exp</t>
  </si>
  <si>
    <t>R&amp;D Exp</t>
  </si>
  <si>
    <r>
      <t xml:space="preserve">  </t>
    </r>
    <r>
      <rPr>
        <sz val="10"/>
        <color theme="1"/>
        <rFont val="Arial Narrow"/>
        <family val="2"/>
      </rPr>
      <t>Net Device Sales</t>
    </r>
  </si>
  <si>
    <r>
      <t xml:space="preserve">  </t>
    </r>
    <r>
      <rPr>
        <sz val="10"/>
        <color theme="1"/>
        <rFont val="Arial Narrow"/>
        <family val="2"/>
      </rPr>
      <t>Platform Gross Profit</t>
    </r>
  </si>
  <si>
    <r>
      <t xml:space="preserve">  </t>
    </r>
    <r>
      <rPr>
        <sz val="10"/>
        <color theme="1"/>
        <rFont val="Arial Narrow"/>
        <family val="2"/>
      </rPr>
      <t>Device Gross Profit</t>
    </r>
  </si>
  <si>
    <r>
      <t xml:space="preserve">  </t>
    </r>
    <r>
      <rPr>
        <i/>
        <sz val="10"/>
        <color theme="1"/>
        <rFont val="Arial Narrow"/>
        <family val="2"/>
      </rPr>
      <t>% of Sales</t>
    </r>
  </si>
  <si>
    <r>
      <t xml:space="preserve">      </t>
    </r>
    <r>
      <rPr>
        <i/>
        <sz val="10"/>
        <color theme="1"/>
        <rFont val="Arial Narrow"/>
        <family val="2"/>
      </rPr>
      <t>YoY Growth</t>
    </r>
  </si>
  <si>
    <r>
      <t xml:space="preserve">      </t>
    </r>
    <r>
      <rPr>
        <i/>
        <sz val="10"/>
        <color theme="1"/>
        <rFont val="Arial Narrow"/>
        <family val="2"/>
      </rPr>
      <t>% of Sales</t>
    </r>
  </si>
  <si>
    <r>
      <t xml:space="preserve">Lines shaded in </t>
    </r>
    <r>
      <rPr>
        <sz val="10"/>
        <color rgb="FF4285F4"/>
        <rFont val="Arial Narrow"/>
        <family val="2"/>
      </rPr>
      <t xml:space="preserve">blue </t>
    </r>
    <r>
      <rPr>
        <sz val="10"/>
        <color theme="1"/>
        <rFont val="Arial Narrow"/>
        <family val="2"/>
      </rPr>
      <t>are financing activities; all other lines are operating activities</t>
    </r>
  </si>
  <si>
    <r>
      <t>Discount Factor = 1/(1+WACC)</t>
    </r>
    <r>
      <rPr>
        <vertAlign val="superscript"/>
        <sz val="10"/>
        <color theme="1"/>
        <rFont val="Arial Narrow"/>
        <family val="2"/>
      </rPr>
      <t>t</t>
    </r>
  </si>
  <si>
    <r>
      <t>PV of FCF</t>
    </r>
    <r>
      <rPr>
        <vertAlign val="subscript"/>
        <sz val="10"/>
        <color theme="1"/>
        <rFont val="Arial Narrow"/>
        <family val="2"/>
      </rPr>
      <t>t</t>
    </r>
  </si>
  <si>
    <t>Between 2.5% and 10%</t>
  </si>
  <si>
    <t>Solvency Speculation</t>
  </si>
  <si>
    <t>Debt-to-Equity Ratio</t>
  </si>
  <si>
    <t>Group 37</t>
  </si>
  <si>
    <t>Aditya Anmol</t>
  </si>
  <si>
    <t>Tucker Jameson</t>
  </si>
  <si>
    <t>Sai Omkar Kandukuri</t>
  </si>
  <si>
    <t>Lindsey Melnyk</t>
  </si>
  <si>
    <t>Lucas Rebers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</si>
</sst>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4" formatCode="_(&quot;$&quot;* #,##0.00_);_(&quot;$&quot;* \(#,##0.00\);_(&quot;$&quot;* &quot;-&quot;??_);_(@_)"/>
    <numFmt numFmtId="164" formatCode="0.0%"/>
    <numFmt numFmtId="165" formatCode="_(&quot;$&quot;* #,##0_);_(&quot;$&quot;* \(#,##0\);_(&quot;$&quot;* &quot;-&quot;??_);_(@_)"/>
    <numFmt numFmtId="166" formatCode="0.0"/>
    <numFmt numFmtId="167" formatCode="0.000"/>
    <numFmt numFmtId="168" formatCode="&quot;$&quot;#,##0.00"/>
    <numFmt numFmtId="169" formatCode="0.00000"/>
    <numFmt numFmtId="170" formatCode="&quot;$&quot;#,##0.00000"/>
    <numFmt numFmtId="171" formatCode="&quot;$&quot;#,##0"/>
    <numFmt numFmtId="172" formatCode="_(* #,##0_);_(* \(#,##0\);_(* &quot;-&quot;??_);_(@_)"/>
  </numFmts>
  <fonts count="34">
    <font>
      <sz val="10"/>
      <color rgb="FF000000"/>
      <name val="Arial"/>
      <scheme val="minor"/>
    </font>
    <font>
      <b/>
      <sz val="14"/>
      <color theme="1"/>
      <name val="Avenir"/>
    </font>
    <font>
      <sz val="10"/>
      <color theme="1"/>
      <name val="Avenir"/>
    </font>
    <font>
      <b/>
      <sz val="10"/>
      <color theme="1"/>
      <name val="Avenir"/>
    </font>
    <font>
      <b/>
      <sz val="10"/>
      <color theme="1"/>
      <name val="Avenir"/>
    </font>
    <font>
      <sz val="10"/>
      <color theme="1"/>
      <name val="Avenir"/>
    </font>
    <font>
      <sz val="10"/>
      <color rgb="FF000000"/>
      <name val="Avenir"/>
    </font>
    <font>
      <b/>
      <sz val="12"/>
      <color theme="1"/>
      <name val="Avenir"/>
    </font>
    <font>
      <b/>
      <u/>
      <sz val="10"/>
      <color theme="1"/>
      <name val="Avenir"/>
    </font>
    <font>
      <sz val="10"/>
      <color rgb="FFFFFFFF"/>
      <name val="Avenir"/>
    </font>
    <font>
      <sz val="10"/>
      <color theme="0"/>
      <name val="Avenir"/>
    </font>
    <font>
      <sz val="10"/>
      <color rgb="FF000000"/>
      <name val="Avenir"/>
    </font>
    <font>
      <i/>
      <sz val="10"/>
      <color theme="1"/>
      <name val="Avenir"/>
    </font>
    <font>
      <b/>
      <sz val="10"/>
      <color rgb="FFFFFFCC"/>
      <name val="Avenir"/>
    </font>
    <font>
      <sz val="10"/>
      <color theme="1"/>
      <name val="Arial Narrow"/>
      <family val="2"/>
    </font>
    <font>
      <sz val="10"/>
      <color rgb="FF000000"/>
      <name val="Arial Narrow"/>
      <family val="2"/>
    </font>
    <font>
      <b/>
      <sz val="10"/>
      <color theme="1"/>
      <name val="Arial Narrow"/>
      <family val="2"/>
    </font>
    <font>
      <b/>
      <u/>
      <sz val="10"/>
      <color theme="1"/>
      <name val="Arial Narrow"/>
      <family val="2"/>
    </font>
    <font>
      <sz val="10"/>
      <color rgb="FFFFFFFF"/>
      <name val="Arial Narrow"/>
      <family val="2"/>
    </font>
    <font>
      <i/>
      <sz val="10"/>
      <color theme="1"/>
      <name val="Arial Narrow"/>
      <family val="2"/>
    </font>
    <font>
      <sz val="10"/>
      <color rgb="FF0B5394"/>
      <name val="Arial Narrow"/>
      <family val="2"/>
    </font>
    <font>
      <sz val="10"/>
      <color theme="0"/>
      <name val="Arial Narrow"/>
      <family val="2"/>
    </font>
    <font>
      <b/>
      <sz val="10"/>
      <color rgb="FF000000"/>
      <name val="Arial Narrow"/>
      <family val="2"/>
    </font>
    <font>
      <b/>
      <sz val="12"/>
      <color theme="1"/>
      <name val="Arial Narrow"/>
      <family val="2"/>
    </font>
    <font>
      <sz val="10"/>
      <color rgb="FF4285F4"/>
      <name val="Arial Narrow"/>
      <family val="2"/>
    </font>
    <font>
      <b/>
      <sz val="10"/>
      <color rgb="FF0B5394"/>
      <name val="Arial Narrow"/>
      <family val="2"/>
    </font>
    <font>
      <u/>
      <sz val="10"/>
      <color theme="1"/>
      <name val="Arial Narrow"/>
      <family val="2"/>
    </font>
    <font>
      <vertAlign val="superscript"/>
      <sz val="10"/>
      <color theme="1"/>
      <name val="Arial Narrow"/>
      <family val="2"/>
    </font>
    <font>
      <vertAlign val="subscript"/>
      <sz val="10"/>
      <color theme="1"/>
      <name val="Arial Narrow"/>
      <family val="2"/>
    </font>
    <font>
      <sz val="10"/>
      <color rgb="FF000000"/>
      <name val="Arial"/>
      <family val="2"/>
      <scheme val="minor"/>
    </font>
    <font>
      <sz val="10"/>
      <name val="Arial"/>
      <family val="2"/>
    </font>
    <font>
      <b/>
      <sz val="10"/>
      <color rgb="FF000000"/>
      <name val="Avenir"/>
    </font>
    <font>
      <b/>
      <u/>
      <sz val="10"/>
      <color rgb="FF000000"/>
      <name val="Avenir"/>
    </font>
    <font>
      <u/>
      <sz val="10"/>
      <color rgb="FF000000"/>
      <name val="Avenir"/>
    </font>
  </fonts>
  <fills count="15">
    <fill>
      <patternFill patternType="none"/>
    </fill>
    <fill>
      <patternFill patternType="gray125"/>
    </fill>
    <fill>
      <patternFill patternType="solid">
        <fgColor theme="6"/>
        <bgColor theme="6"/>
      </patternFill>
    </fill>
    <fill>
      <patternFill patternType="solid">
        <fgColor theme="7"/>
        <bgColor theme="7"/>
      </patternFill>
    </fill>
    <fill>
      <patternFill patternType="solid">
        <fgColor theme="0"/>
        <bgColor theme="0"/>
      </patternFill>
    </fill>
    <fill>
      <patternFill patternType="solid">
        <fgColor rgb="FF34A853"/>
        <bgColor rgb="FF34A853"/>
      </patternFill>
    </fill>
    <fill>
      <patternFill patternType="solid">
        <fgColor theme="4"/>
        <bgColor theme="4"/>
      </patternFill>
    </fill>
    <fill>
      <patternFill patternType="solid">
        <fgColor rgb="FF333399"/>
        <bgColor rgb="FF333399"/>
      </patternFill>
    </fill>
    <fill>
      <patternFill patternType="solid">
        <fgColor rgb="FF9999FF"/>
        <bgColor rgb="FF9999FF"/>
      </patternFill>
    </fill>
    <fill>
      <patternFill patternType="solid">
        <fgColor rgb="FFFFFFCC"/>
        <bgColor rgb="FFFFFFCC"/>
      </patternFill>
    </fill>
    <fill>
      <patternFill patternType="solid">
        <fgColor rgb="FFA8D08D"/>
        <bgColor rgb="FFA8D08D"/>
      </patternFill>
    </fill>
    <fill>
      <patternFill patternType="solid">
        <fgColor rgb="FFDADADA"/>
        <bgColor rgb="FFDADADA"/>
      </patternFill>
    </fill>
    <fill>
      <patternFill patternType="solid">
        <fgColor rgb="FFFFFFFF"/>
        <bgColor rgb="FFFFFFFF"/>
      </patternFill>
    </fill>
    <fill>
      <patternFill patternType="solid">
        <fgColor rgb="FFFFFF99"/>
        <bgColor rgb="FFFFFF99"/>
      </patternFill>
    </fill>
    <fill>
      <patternFill patternType="solid">
        <fgColor rgb="FF92D050"/>
        <bgColor rgb="FF92D050"/>
      </patternFill>
    </fill>
  </fills>
  <borders count="14">
    <border>
      <left/>
      <right/>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double">
        <color rgb="FF000000"/>
      </bottom>
      <diagonal/>
    </border>
    <border>
      <left/>
      <right/>
      <top style="thin">
        <color rgb="FF000000"/>
      </top>
      <bottom style="double">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s>
  <cellStyleXfs count="1">
    <xf numFmtId="0" fontId="0" fillId="0" borderId="0"/>
  </cellStyleXfs>
  <cellXfs count="289">
    <xf numFmtId="0" fontId="0" fillId="0" borderId="0" xfId="0" applyFont="1" applyAlignment="1"/>
    <xf numFmtId="0" fontId="1" fillId="0" borderId="0" xfId="0" applyFont="1" applyAlignment="1">
      <alignment vertical="top"/>
    </xf>
    <xf numFmtId="0" fontId="2" fillId="0" borderId="0" xfId="0" applyFont="1"/>
    <xf numFmtId="0" fontId="2" fillId="0" borderId="0" xfId="0" applyFont="1" applyAlignment="1">
      <alignment vertical="top"/>
    </xf>
    <xf numFmtId="0" fontId="2" fillId="0" borderId="0" xfId="0" applyFont="1" applyAlignment="1">
      <alignment vertical="top"/>
    </xf>
    <xf numFmtId="0" fontId="3" fillId="0" borderId="0" xfId="0" applyFont="1" applyAlignment="1">
      <alignment vertical="top"/>
    </xf>
    <xf numFmtId="0" fontId="2" fillId="0" borderId="0" xfId="0" applyFont="1" applyAlignment="1">
      <alignment vertical="top"/>
    </xf>
    <xf numFmtId="0" fontId="2" fillId="0" borderId="0" xfId="0" applyFont="1" applyAlignment="1"/>
    <xf numFmtId="0" fontId="5" fillId="0" borderId="0" xfId="0" applyFont="1"/>
    <xf numFmtId="0" fontId="5" fillId="0" borderId="0" xfId="0" applyFont="1" applyAlignment="1"/>
    <xf numFmtId="0" fontId="4" fillId="0" borderId="0" xfId="0" applyFont="1" applyAlignment="1"/>
    <xf numFmtId="0" fontId="3" fillId="0" borderId="1" xfId="0" applyFont="1" applyBorder="1" applyAlignment="1">
      <alignment horizontal="right" vertical="top"/>
    </xf>
    <xf numFmtId="166" fontId="2" fillId="0" borderId="0" xfId="0" applyNumberFormat="1" applyFont="1"/>
    <xf numFmtId="0" fontId="9" fillId="3" borderId="0" xfId="0" applyFont="1" applyFill="1" applyAlignment="1"/>
    <xf numFmtId="166" fontId="10" fillId="3" borderId="0" xfId="0" applyNumberFormat="1" applyFont="1" applyFill="1"/>
    <xf numFmtId="164" fontId="2" fillId="0" borderId="0" xfId="0" applyNumberFormat="1" applyFont="1"/>
    <xf numFmtId="164" fontId="10" fillId="3" borderId="0" xfId="0" applyNumberFormat="1" applyFont="1" applyFill="1"/>
    <xf numFmtId="164" fontId="9" fillId="3" borderId="0" xfId="0" applyNumberFormat="1" applyFont="1" applyFill="1" applyAlignment="1"/>
    <xf numFmtId="166" fontId="2" fillId="0" borderId="0" xfId="0" applyNumberFormat="1" applyFont="1" applyAlignment="1"/>
    <xf numFmtId="9" fontId="9" fillId="3" borderId="0" xfId="0" applyNumberFormat="1" applyFont="1" applyFill="1" applyAlignment="1"/>
    <xf numFmtId="166" fontId="10" fillId="3" borderId="0" xfId="0" applyNumberFormat="1" applyFont="1" applyFill="1" applyAlignment="1"/>
    <xf numFmtId="165" fontId="2" fillId="0" borderId="0" xfId="0" applyNumberFormat="1" applyFont="1" applyAlignment="1"/>
    <xf numFmtId="165" fontId="2" fillId="2" borderId="0" xfId="0" applyNumberFormat="1" applyFont="1" applyFill="1"/>
    <xf numFmtId="165" fontId="2" fillId="0" borderId="0" xfId="0" applyNumberFormat="1" applyFont="1"/>
    <xf numFmtId="165" fontId="2" fillId="0" borderId="0" xfId="0" applyNumberFormat="1" applyFont="1" applyAlignment="1">
      <alignment horizontal="right" vertical="top"/>
    </xf>
    <xf numFmtId="165" fontId="10" fillId="3" borderId="0" xfId="0" applyNumberFormat="1" applyFont="1" applyFill="1"/>
    <xf numFmtId="44" fontId="9" fillId="3" borderId="0" xfId="0" applyNumberFormat="1" applyFont="1" applyFill="1" applyAlignment="1"/>
    <xf numFmtId="10" fontId="2" fillId="0" borderId="0" xfId="0" applyNumberFormat="1" applyFont="1"/>
    <xf numFmtId="164" fontId="10" fillId="3" borderId="0" xfId="0" applyNumberFormat="1" applyFont="1" applyFill="1" applyAlignment="1"/>
    <xf numFmtId="44" fontId="2" fillId="2" borderId="0" xfId="0" applyNumberFormat="1" applyFont="1" applyFill="1"/>
    <xf numFmtId="44" fontId="2" fillId="0" borderId="0" xfId="0" applyNumberFormat="1" applyFont="1"/>
    <xf numFmtId="44" fontId="11" fillId="2" borderId="0" xfId="0" applyNumberFormat="1" applyFont="1" applyFill="1" applyAlignment="1"/>
    <xf numFmtId="1" fontId="2" fillId="2" borderId="0" xfId="0" applyNumberFormat="1" applyFont="1" applyFill="1"/>
    <xf numFmtId="164" fontId="10" fillId="5" borderId="0" xfId="0" applyNumberFormat="1" applyFont="1" applyFill="1"/>
    <xf numFmtId="9" fontId="9" fillId="5" borderId="0" xfId="0" applyNumberFormat="1" applyFont="1" applyFill="1" applyAlignment="1"/>
    <xf numFmtId="165" fontId="2" fillId="0" borderId="0" xfId="0" applyNumberFormat="1" applyFont="1" applyAlignment="1">
      <alignment horizontal="right" vertical="top"/>
    </xf>
    <xf numFmtId="165" fontId="2" fillId="0" borderId="0" xfId="0" applyNumberFormat="1" applyFont="1" applyAlignment="1">
      <alignment vertical="top"/>
    </xf>
    <xf numFmtId="165" fontId="6" fillId="2" borderId="0" xfId="0" applyNumberFormat="1" applyFont="1" applyFill="1"/>
    <xf numFmtId="9" fontId="2" fillId="0" borderId="0" xfId="0" applyNumberFormat="1" applyFont="1"/>
    <xf numFmtId="9" fontId="10" fillId="5" borderId="0" xfId="0" applyNumberFormat="1" applyFont="1" applyFill="1" applyAlignment="1"/>
    <xf numFmtId="44" fontId="10" fillId="3" borderId="0" xfId="0" applyNumberFormat="1" applyFont="1" applyFill="1" applyAlignment="1"/>
    <xf numFmtId="164" fontId="2" fillId="0" borderId="0" xfId="0" applyNumberFormat="1" applyFont="1" applyAlignment="1"/>
    <xf numFmtId="9" fontId="10" fillId="3" borderId="0" xfId="0" applyNumberFormat="1" applyFont="1" applyFill="1" applyAlignment="1"/>
    <xf numFmtId="44" fontId="2" fillId="2" borderId="0" xfId="0" applyNumberFormat="1" applyFont="1" applyFill="1" applyAlignment="1"/>
    <xf numFmtId="44" fontId="2" fillId="0" borderId="0" xfId="0" applyNumberFormat="1" applyFont="1" applyAlignment="1"/>
    <xf numFmtId="0" fontId="2" fillId="0" borderId="1" xfId="0" applyFont="1" applyBorder="1" applyAlignment="1"/>
    <xf numFmtId="0" fontId="2" fillId="0" borderId="1" xfId="0" applyFont="1" applyBorder="1"/>
    <xf numFmtId="0" fontId="5" fillId="0" borderId="0" xfId="0" applyFont="1" applyAlignment="1"/>
    <xf numFmtId="0" fontId="5" fillId="0" borderId="1" xfId="0" applyFont="1" applyBorder="1" applyAlignment="1"/>
    <xf numFmtId="0" fontId="4" fillId="0" borderId="0" xfId="0" applyFont="1" applyAlignment="1"/>
    <xf numFmtId="0" fontId="13" fillId="7" borderId="7" xfId="0" applyFont="1" applyFill="1" applyBorder="1" applyAlignment="1"/>
    <xf numFmtId="0" fontId="5" fillId="7" borderId="1" xfId="0" applyFont="1" applyFill="1" applyBorder="1" applyAlignment="1"/>
    <xf numFmtId="0" fontId="5" fillId="7" borderId="8" xfId="0" applyFont="1" applyFill="1" applyBorder="1" applyAlignment="1"/>
    <xf numFmtId="0" fontId="4" fillId="8" borderId="7" xfId="0" applyFont="1" applyFill="1" applyBorder="1" applyAlignment="1"/>
    <xf numFmtId="0" fontId="5" fillId="8" borderId="1" xfId="0" applyFont="1" applyFill="1" applyBorder="1" applyAlignment="1"/>
    <xf numFmtId="0" fontId="5" fillId="8" borderId="8" xfId="0" applyFont="1" applyFill="1" applyBorder="1" applyAlignment="1"/>
    <xf numFmtId="0" fontId="5" fillId="9" borderId="9" xfId="0" applyFont="1" applyFill="1" applyBorder="1" applyAlignment="1"/>
    <xf numFmtId="168" fontId="5" fillId="10" borderId="0" xfId="0" applyNumberFormat="1" applyFont="1" applyFill="1" applyAlignment="1">
      <alignment horizontal="right"/>
    </xf>
    <xf numFmtId="0" fontId="5" fillId="9" borderId="10" xfId="0" applyFont="1" applyFill="1" applyBorder="1" applyAlignment="1"/>
    <xf numFmtId="168" fontId="5" fillId="11" borderId="0" xfId="0" applyNumberFormat="1" applyFont="1" applyFill="1" applyAlignment="1">
      <alignment horizontal="right"/>
    </xf>
    <xf numFmtId="10" fontId="5" fillId="11" borderId="0" xfId="0" applyNumberFormat="1" applyFont="1" applyFill="1" applyAlignment="1">
      <alignment horizontal="right"/>
    </xf>
    <xf numFmtId="0" fontId="5" fillId="11" borderId="0" xfId="0" applyFont="1" applyFill="1" applyAlignment="1">
      <alignment horizontal="right"/>
    </xf>
    <xf numFmtId="0" fontId="5" fillId="9" borderId="9" xfId="0" applyFont="1" applyFill="1" applyBorder="1" applyAlignment="1"/>
    <xf numFmtId="3" fontId="5" fillId="11" borderId="0" xfId="0" applyNumberFormat="1" applyFont="1" applyFill="1" applyAlignment="1">
      <alignment horizontal="right"/>
    </xf>
    <xf numFmtId="0" fontId="5" fillId="9" borderId="7" xfId="0" applyFont="1" applyFill="1" applyBorder="1" applyAlignment="1"/>
    <xf numFmtId="10" fontId="5" fillId="11" borderId="1" xfId="0" applyNumberFormat="1" applyFont="1" applyFill="1" applyBorder="1" applyAlignment="1">
      <alignment horizontal="right"/>
    </xf>
    <xf numFmtId="0" fontId="5" fillId="9" borderId="8" xfId="0" applyFont="1" applyFill="1" applyBorder="1" applyAlignment="1"/>
    <xf numFmtId="0" fontId="5" fillId="9" borderId="0" xfId="0" applyFont="1" applyFill="1" applyAlignment="1"/>
    <xf numFmtId="169" fontId="5" fillId="9" borderId="0" xfId="0" applyNumberFormat="1" applyFont="1" applyFill="1" applyAlignment="1">
      <alignment horizontal="right"/>
    </xf>
    <xf numFmtId="169" fontId="5" fillId="9" borderId="1" xfId="0" applyNumberFormat="1" applyFont="1" applyFill="1" applyBorder="1" applyAlignment="1">
      <alignment horizontal="right"/>
    </xf>
    <xf numFmtId="170" fontId="4" fillId="9" borderId="0" xfId="0" applyNumberFormat="1" applyFont="1" applyFill="1" applyAlignment="1">
      <alignment horizontal="right"/>
    </xf>
    <xf numFmtId="0" fontId="4" fillId="9" borderId="9" xfId="0" applyFont="1" applyFill="1" applyBorder="1" applyAlignment="1"/>
    <xf numFmtId="171" fontId="4" fillId="9" borderId="0" xfId="0" applyNumberFormat="1" applyFont="1" applyFill="1" applyAlignment="1">
      <alignment horizontal="right"/>
    </xf>
    <xf numFmtId="171" fontId="5" fillId="9" borderId="0" xfId="0" applyNumberFormat="1" applyFont="1" applyFill="1" applyAlignment="1"/>
    <xf numFmtId="172" fontId="4" fillId="11" borderId="0" xfId="0" applyNumberFormat="1" applyFont="1" applyFill="1" applyAlignment="1">
      <alignment horizontal="right"/>
    </xf>
    <xf numFmtId="171" fontId="4" fillId="11" borderId="0" xfId="0" applyNumberFormat="1" applyFont="1" applyFill="1" applyAlignment="1">
      <alignment horizontal="right"/>
    </xf>
    <xf numFmtId="171" fontId="4" fillId="9" borderId="11" xfId="0" applyNumberFormat="1" applyFont="1" applyFill="1" applyBorder="1" applyAlignment="1">
      <alignment horizontal="right"/>
    </xf>
    <xf numFmtId="0" fontId="4" fillId="9" borderId="7" xfId="0" applyFont="1" applyFill="1" applyBorder="1" applyAlignment="1"/>
    <xf numFmtId="171" fontId="4" fillId="9" borderId="1" xfId="0" applyNumberFormat="1" applyFont="1" applyFill="1" applyBorder="1" applyAlignment="1">
      <alignment horizontal="right"/>
    </xf>
    <xf numFmtId="0" fontId="5" fillId="0" borderId="0" xfId="0" applyFont="1" applyAlignment="1"/>
    <xf numFmtId="0" fontId="2" fillId="0" borderId="1" xfId="0" applyFont="1" applyBorder="1"/>
    <xf numFmtId="0" fontId="12" fillId="0" borderId="1" xfId="0" applyFont="1" applyBorder="1" applyAlignment="1">
      <alignment horizontal="right"/>
    </xf>
    <xf numFmtId="0" fontId="2" fillId="0" borderId="0" xfId="0" applyFont="1"/>
    <xf numFmtId="164" fontId="2" fillId="0" borderId="0" xfId="0" applyNumberFormat="1" applyFont="1" applyAlignment="1">
      <alignment horizontal="right"/>
    </xf>
    <xf numFmtId="49" fontId="2" fillId="0" borderId="0" xfId="0" applyNumberFormat="1" applyFont="1"/>
    <xf numFmtId="0" fontId="14" fillId="0" borderId="0" xfId="0" applyFont="1"/>
    <xf numFmtId="0" fontId="15" fillId="0" borderId="0" xfId="0" applyFont="1" applyAlignment="1"/>
    <xf numFmtId="0" fontId="14" fillId="0" borderId="0" xfId="0" applyFont="1" applyAlignment="1">
      <alignment vertical="top"/>
    </xf>
    <xf numFmtId="0" fontId="16" fillId="0" borderId="0" xfId="0" applyFont="1" applyAlignment="1">
      <alignment vertical="top"/>
    </xf>
    <xf numFmtId="0" fontId="14" fillId="0" borderId="0" xfId="0" applyFont="1" applyAlignment="1"/>
    <xf numFmtId="0" fontId="4" fillId="0" borderId="0" xfId="0" applyFont="1" applyAlignment="1">
      <alignment vertical="top" wrapText="1"/>
    </xf>
    <xf numFmtId="0" fontId="4" fillId="0" borderId="0" xfId="0" applyFont="1" applyAlignment="1">
      <alignment wrapText="1"/>
    </xf>
    <xf numFmtId="0" fontId="5" fillId="0" borderId="0" xfId="0" applyFont="1" applyAlignment="1">
      <alignment wrapText="1"/>
    </xf>
    <xf numFmtId="0" fontId="0" fillId="0" borderId="0" xfId="0" applyFont="1" applyAlignment="1">
      <alignment wrapText="1"/>
    </xf>
    <xf numFmtId="0" fontId="2" fillId="0" borderId="0" xfId="0" applyFont="1" applyAlignment="1">
      <alignment wrapText="1"/>
    </xf>
    <xf numFmtId="0" fontId="7" fillId="0" borderId="0" xfId="0" applyFont="1" applyAlignment="1">
      <alignment vertical="top" wrapText="1"/>
    </xf>
    <xf numFmtId="0" fontId="3" fillId="0" borderId="0" xfId="0" applyFont="1" applyAlignment="1">
      <alignment wrapText="1"/>
    </xf>
    <xf numFmtId="0" fontId="8"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4" fillId="0" borderId="0" xfId="0" applyFont="1" applyAlignment="1">
      <alignment wrapText="1"/>
    </xf>
    <xf numFmtId="0" fontId="17" fillId="0" borderId="0" xfId="0" applyFont="1" applyAlignment="1">
      <alignment wrapText="1"/>
    </xf>
    <xf numFmtId="0" fontId="16" fillId="0" borderId="1" xfId="0" applyFont="1" applyBorder="1" applyAlignment="1">
      <alignment horizontal="right" vertical="top"/>
    </xf>
    <xf numFmtId="0" fontId="16" fillId="0" borderId="0" xfId="0" applyFont="1" applyAlignment="1">
      <alignment wrapText="1"/>
    </xf>
    <xf numFmtId="3" fontId="14" fillId="0" borderId="0" xfId="0" applyNumberFormat="1" applyFont="1" applyAlignment="1"/>
    <xf numFmtId="3" fontId="14" fillId="2" borderId="0" xfId="0" applyNumberFormat="1" applyFont="1" applyFill="1"/>
    <xf numFmtId="44" fontId="14" fillId="0" borderId="0" xfId="0" applyNumberFormat="1" applyFont="1"/>
    <xf numFmtId="44" fontId="14" fillId="2" borderId="0" xfId="0" applyNumberFormat="1" applyFont="1" applyFill="1"/>
    <xf numFmtId="44" fontId="14" fillId="0" borderId="1" xfId="0" applyNumberFormat="1" applyFont="1" applyBorder="1"/>
    <xf numFmtId="44" fontId="14" fillId="2" borderId="1" xfId="0" applyNumberFormat="1" applyFont="1" applyFill="1" applyBorder="1"/>
    <xf numFmtId="164" fontId="14" fillId="0" borderId="0" xfId="0" applyNumberFormat="1" applyFont="1"/>
    <xf numFmtId="164" fontId="18" fillId="3" borderId="0" xfId="0" applyNumberFormat="1" applyFont="1" applyFill="1" applyAlignment="1"/>
    <xf numFmtId="164" fontId="18" fillId="3" borderId="0" xfId="0" applyNumberFormat="1" applyFont="1" applyFill="1"/>
    <xf numFmtId="164" fontId="14" fillId="4" borderId="0" xfId="0" applyNumberFormat="1" applyFont="1" applyFill="1"/>
    <xf numFmtId="165" fontId="14" fillId="0" borderId="0" xfId="0" applyNumberFormat="1" applyFont="1"/>
    <xf numFmtId="165" fontId="14" fillId="2" borderId="0" xfId="0" applyNumberFormat="1" applyFont="1" applyFill="1"/>
    <xf numFmtId="0" fontId="19" fillId="0" borderId="0" xfId="0" applyFont="1" applyAlignment="1">
      <alignment wrapText="1"/>
    </xf>
    <xf numFmtId="0" fontId="14" fillId="0" borderId="1" xfId="0" applyFont="1" applyBorder="1"/>
    <xf numFmtId="164" fontId="14" fillId="0" borderId="1" xfId="0" applyNumberFormat="1" applyFont="1" applyBorder="1"/>
    <xf numFmtId="165" fontId="20" fillId="0" borderId="0" xfId="0" applyNumberFormat="1" applyFont="1"/>
    <xf numFmtId="44" fontId="14" fillId="0" borderId="0" xfId="0" applyNumberFormat="1" applyFont="1" applyAlignment="1">
      <alignment wrapText="1"/>
    </xf>
    <xf numFmtId="44" fontId="19" fillId="0" borderId="0" xfId="0" applyNumberFormat="1" applyFont="1" applyAlignment="1">
      <alignment wrapText="1"/>
    </xf>
    <xf numFmtId="164" fontId="21" fillId="3" borderId="0" xfId="0" applyNumberFormat="1" applyFont="1" applyFill="1"/>
    <xf numFmtId="10" fontId="18" fillId="3" borderId="0" xfId="0" applyNumberFormat="1" applyFont="1" applyFill="1" applyAlignment="1"/>
    <xf numFmtId="164" fontId="21" fillId="3" borderId="0" xfId="0" applyNumberFormat="1" applyFont="1" applyFill="1" applyAlignment="1"/>
    <xf numFmtId="165" fontId="20" fillId="0" borderId="2" xfId="0" applyNumberFormat="1" applyFont="1" applyBorder="1"/>
    <xf numFmtId="44" fontId="14" fillId="0" borderId="0" xfId="0" applyNumberFormat="1" applyFont="1" applyAlignment="1">
      <alignment vertical="top" wrapText="1"/>
    </xf>
    <xf numFmtId="44" fontId="16" fillId="0" borderId="0" xfId="0" applyNumberFormat="1" applyFont="1" applyAlignment="1">
      <alignment wrapText="1"/>
    </xf>
    <xf numFmtId="164" fontId="14" fillId="0" borderId="0" xfId="0" applyNumberFormat="1" applyFont="1" applyAlignment="1"/>
    <xf numFmtId="44" fontId="15" fillId="0" borderId="0" xfId="0" applyNumberFormat="1" applyFont="1" applyAlignment="1">
      <alignment vertical="top" wrapText="1"/>
    </xf>
    <xf numFmtId="165" fontId="15" fillId="0" borderId="0" xfId="0" applyNumberFormat="1" applyFont="1" applyAlignment="1">
      <alignment horizontal="right" vertical="top"/>
    </xf>
    <xf numFmtId="44" fontId="18" fillId="3" borderId="0" xfId="0" applyNumberFormat="1" applyFont="1" applyFill="1" applyAlignment="1"/>
    <xf numFmtId="0" fontId="22" fillId="0" borderId="0" xfId="0" applyFont="1" applyAlignment="1">
      <alignment wrapText="1"/>
    </xf>
    <xf numFmtId="0" fontId="15" fillId="0" borderId="0" xfId="0" applyFont="1" applyAlignment="1">
      <alignment wrapText="1"/>
    </xf>
    <xf numFmtId="164" fontId="21" fillId="5" borderId="0" xfId="0" applyNumberFormat="1" applyFont="1" applyFill="1" applyAlignment="1">
      <alignment horizontal="right"/>
    </xf>
    <xf numFmtId="165" fontId="15" fillId="0" borderId="0" xfId="0" applyNumberFormat="1" applyFont="1" applyAlignment="1"/>
    <xf numFmtId="165" fontId="15" fillId="2" borderId="0" xfId="0" applyNumberFormat="1" applyFont="1" applyFill="1" applyAlignment="1"/>
    <xf numFmtId="0" fontId="15" fillId="2" borderId="0" xfId="0" applyFont="1" applyFill="1" applyAlignment="1"/>
    <xf numFmtId="0" fontId="23" fillId="0" borderId="0" xfId="0" applyFont="1" applyAlignment="1">
      <alignment vertical="top"/>
    </xf>
    <xf numFmtId="0" fontId="16" fillId="0" borderId="0" xfId="0" applyFont="1" applyAlignment="1"/>
    <xf numFmtId="10" fontId="14" fillId="0" borderId="0" xfId="0" applyNumberFormat="1" applyFont="1"/>
    <xf numFmtId="0" fontId="17" fillId="0" borderId="0" xfId="0" applyFont="1" applyAlignment="1"/>
    <xf numFmtId="44" fontId="14" fillId="0" borderId="0" xfId="0" applyNumberFormat="1" applyFont="1" applyAlignment="1"/>
    <xf numFmtId="44" fontId="14" fillId="0" borderId="0" xfId="0" applyNumberFormat="1" applyFont="1" applyAlignment="1">
      <alignment vertical="top"/>
    </xf>
    <xf numFmtId="9" fontId="14" fillId="0" borderId="0" xfId="0" applyNumberFormat="1" applyFont="1" applyAlignment="1"/>
    <xf numFmtId="9" fontId="14" fillId="0" borderId="0" xfId="0" applyNumberFormat="1" applyFont="1"/>
    <xf numFmtId="9" fontId="21" fillId="3" borderId="0" xfId="0" applyNumberFormat="1" applyFont="1" applyFill="1"/>
    <xf numFmtId="165" fontId="14" fillId="0" borderId="0" xfId="0" applyNumberFormat="1" applyFont="1" applyAlignment="1">
      <alignment horizontal="right" vertical="top"/>
    </xf>
    <xf numFmtId="165" fontId="14" fillId="0" borderId="0" xfId="0" applyNumberFormat="1" applyFont="1" applyAlignment="1">
      <alignment vertical="top"/>
    </xf>
    <xf numFmtId="165" fontId="18" fillId="5" borderId="0" xfId="0" applyNumberFormat="1" applyFont="1" applyFill="1" applyAlignment="1">
      <alignment horizontal="right"/>
    </xf>
    <xf numFmtId="44" fontId="18" fillId="5" borderId="0" xfId="0" applyNumberFormat="1" applyFont="1" applyFill="1" applyAlignment="1">
      <alignment horizontal="right"/>
    </xf>
    <xf numFmtId="44" fontId="21" fillId="5" borderId="0" xfId="0" applyNumberFormat="1" applyFont="1" applyFill="1" applyAlignment="1">
      <alignment horizontal="right"/>
    </xf>
    <xf numFmtId="44" fontId="21" fillId="5" borderId="0" xfId="0" applyNumberFormat="1" applyFont="1" applyFill="1" applyAlignment="1">
      <alignment vertical="top"/>
    </xf>
    <xf numFmtId="44" fontId="21" fillId="3" borderId="0" xfId="0" applyNumberFormat="1" applyFont="1" applyFill="1" applyAlignment="1"/>
    <xf numFmtId="165" fontId="15" fillId="0" borderId="1" xfId="0" applyNumberFormat="1" applyFont="1" applyBorder="1" applyAlignment="1">
      <alignment horizontal="right" vertical="top"/>
    </xf>
    <xf numFmtId="44" fontId="21" fillId="3" borderId="1" xfId="0" applyNumberFormat="1" applyFont="1" applyFill="1" applyBorder="1" applyAlignment="1"/>
    <xf numFmtId="0" fontId="14" fillId="0" borderId="1" xfId="0" applyFont="1" applyBorder="1" applyAlignment="1">
      <alignment vertical="top"/>
    </xf>
    <xf numFmtId="0" fontId="16" fillId="0" borderId="3" xfId="0" applyFont="1" applyBorder="1" applyAlignment="1">
      <alignment horizontal="right" vertical="top"/>
    </xf>
    <xf numFmtId="165" fontId="14" fillId="2" borderId="0" xfId="0" applyNumberFormat="1" applyFont="1" applyFill="1" applyAlignment="1">
      <alignment vertical="top"/>
    </xf>
    <xf numFmtId="165" fontId="14" fillId="0" borderId="1" xfId="0" applyNumberFormat="1" applyFont="1" applyBorder="1" applyAlignment="1">
      <alignment horizontal="right" vertical="top"/>
    </xf>
    <xf numFmtId="165" fontId="14" fillId="0" borderId="1" xfId="0" applyNumberFormat="1" applyFont="1" applyBorder="1" applyAlignment="1">
      <alignment vertical="top"/>
    </xf>
    <xf numFmtId="165" fontId="14" fillId="2" borderId="1" xfId="0" applyNumberFormat="1" applyFont="1" applyFill="1" applyBorder="1" applyAlignment="1">
      <alignment vertical="top"/>
    </xf>
    <xf numFmtId="165" fontId="20" fillId="0" borderId="3" xfId="0" applyNumberFormat="1" applyFont="1" applyBorder="1" applyAlignment="1">
      <alignment vertical="top"/>
    </xf>
    <xf numFmtId="165" fontId="20" fillId="0" borderId="1" xfId="0" applyNumberFormat="1" applyFont="1" applyBorder="1" applyAlignment="1">
      <alignment vertical="top"/>
    </xf>
    <xf numFmtId="165" fontId="20" fillId="4" borderId="1" xfId="0" applyNumberFormat="1" applyFont="1" applyFill="1" applyBorder="1" applyAlignment="1">
      <alignment vertical="top"/>
    </xf>
    <xf numFmtId="164" fontId="14" fillId="0" borderId="0" xfId="0" applyNumberFormat="1" applyFont="1" applyAlignment="1">
      <alignment vertical="top"/>
    </xf>
    <xf numFmtId="165" fontId="20" fillId="0" borderId="0" xfId="0" applyNumberFormat="1" applyFont="1" applyAlignment="1">
      <alignment vertical="top"/>
    </xf>
    <xf numFmtId="164" fontId="20" fillId="0" borderId="0" xfId="0" applyNumberFormat="1" applyFont="1" applyAlignment="1">
      <alignment vertical="top"/>
    </xf>
    <xf numFmtId="44" fontId="20" fillId="0" borderId="1" xfId="0" applyNumberFormat="1" applyFont="1" applyBorder="1" applyAlignment="1">
      <alignment vertical="top"/>
    </xf>
    <xf numFmtId="44" fontId="16" fillId="0" borderId="0" xfId="0" applyNumberFormat="1" applyFont="1" applyAlignment="1">
      <alignment vertical="top"/>
    </xf>
    <xf numFmtId="44" fontId="19" fillId="0" borderId="0" xfId="0" applyNumberFormat="1" applyFont="1" applyAlignment="1">
      <alignment vertical="top"/>
    </xf>
    <xf numFmtId="44" fontId="21" fillId="6" borderId="0" xfId="0" applyNumberFormat="1" applyFont="1" applyFill="1" applyAlignment="1">
      <alignment vertical="top"/>
    </xf>
    <xf numFmtId="165" fontId="18" fillId="6" borderId="0" xfId="0" applyNumberFormat="1" applyFont="1" applyFill="1" applyAlignment="1">
      <alignment horizontal="right" vertical="top"/>
    </xf>
    <xf numFmtId="165" fontId="21" fillId="6" borderId="0" xfId="0" applyNumberFormat="1" applyFont="1" applyFill="1" applyAlignment="1">
      <alignment horizontal="right" vertical="top"/>
    </xf>
    <xf numFmtId="165" fontId="21" fillId="6" borderId="0" xfId="0" applyNumberFormat="1" applyFont="1" applyFill="1" applyAlignment="1">
      <alignment vertical="top"/>
    </xf>
    <xf numFmtId="44" fontId="18" fillId="6" borderId="0" xfId="0" applyNumberFormat="1" applyFont="1" applyFill="1" applyAlignment="1">
      <alignment vertical="top"/>
    </xf>
    <xf numFmtId="44" fontId="14" fillId="2" borderId="0" xfId="0" applyNumberFormat="1" applyFont="1" applyFill="1" applyAlignment="1">
      <alignment vertical="top"/>
    </xf>
    <xf numFmtId="165" fontId="21" fillId="6" borderId="1" xfId="0" applyNumberFormat="1" applyFont="1" applyFill="1" applyBorder="1" applyAlignment="1">
      <alignment horizontal="right" vertical="top"/>
    </xf>
    <xf numFmtId="165" fontId="21" fillId="6" borderId="1" xfId="0" applyNumberFormat="1" applyFont="1" applyFill="1" applyBorder="1" applyAlignment="1">
      <alignment vertical="top"/>
    </xf>
    <xf numFmtId="165" fontId="20" fillId="0" borderId="3" xfId="0" applyNumberFormat="1" applyFont="1" applyBorder="1" applyAlignment="1">
      <alignment horizontal="right" vertical="top"/>
    </xf>
    <xf numFmtId="165" fontId="20" fillId="0" borderId="1" xfId="0" applyNumberFormat="1" applyFont="1" applyBorder="1" applyAlignment="1">
      <alignment horizontal="right" vertical="top"/>
    </xf>
    <xf numFmtId="164" fontId="19" fillId="0" borderId="0" xfId="0" applyNumberFormat="1" applyFont="1" applyAlignment="1">
      <alignment horizontal="right" vertical="top"/>
    </xf>
    <xf numFmtId="165" fontId="20" fillId="0" borderId="0" xfId="0" applyNumberFormat="1" applyFont="1" applyAlignment="1">
      <alignment horizontal="right" vertical="top"/>
    </xf>
    <xf numFmtId="44" fontId="20" fillId="0" borderId="0" xfId="0" applyNumberFormat="1" applyFont="1" applyAlignment="1">
      <alignment vertical="top"/>
    </xf>
    <xf numFmtId="165" fontId="20" fillId="0" borderId="4" xfId="0" applyNumberFormat="1" applyFont="1" applyBorder="1" applyAlignment="1">
      <alignment horizontal="right" vertical="top"/>
    </xf>
    <xf numFmtId="165" fontId="20" fillId="0" borderId="4" xfId="0" applyNumberFormat="1" applyFont="1" applyBorder="1" applyAlignment="1">
      <alignment vertical="top"/>
    </xf>
    <xf numFmtId="44" fontId="14" fillId="0" borderId="0" xfId="0" applyNumberFormat="1" applyFont="1" applyAlignment="1">
      <alignment horizontal="right" vertical="top"/>
    </xf>
    <xf numFmtId="44" fontId="14" fillId="0" borderId="4" xfId="0" applyNumberFormat="1" applyFont="1" applyBorder="1" applyAlignment="1">
      <alignment horizontal="right" vertical="top"/>
    </xf>
    <xf numFmtId="44" fontId="14" fillId="0" borderId="4" xfId="0" applyNumberFormat="1" applyFont="1" applyBorder="1" applyAlignment="1">
      <alignment vertical="top"/>
    </xf>
    <xf numFmtId="3" fontId="14" fillId="0" borderId="0" xfId="0" applyNumberFormat="1" applyFont="1" applyAlignment="1">
      <alignment horizontal="right" vertical="top"/>
    </xf>
    <xf numFmtId="37" fontId="14" fillId="0" borderId="0" xfId="0" applyNumberFormat="1" applyFont="1" applyAlignment="1">
      <alignment horizontal="right" vertical="top"/>
    </xf>
    <xf numFmtId="3" fontId="14" fillId="0" borderId="4" xfId="0" applyNumberFormat="1" applyFont="1" applyBorder="1" applyAlignment="1">
      <alignment horizontal="right" vertical="top"/>
    </xf>
    <xf numFmtId="37" fontId="14" fillId="0" borderId="4" xfId="0" applyNumberFormat="1" applyFont="1" applyBorder="1" applyAlignment="1">
      <alignment horizontal="right" vertical="top"/>
    </xf>
    <xf numFmtId="165" fontId="14" fillId="0" borderId="4" xfId="0" applyNumberFormat="1" applyFont="1" applyBorder="1" applyAlignment="1">
      <alignment vertical="top"/>
    </xf>
    <xf numFmtId="165" fontId="18" fillId="6" borderId="0" xfId="0" applyNumberFormat="1" applyFont="1" applyFill="1" applyAlignment="1">
      <alignment vertical="top"/>
    </xf>
    <xf numFmtId="165" fontId="25" fillId="0" borderId="1" xfId="0" applyNumberFormat="1" applyFont="1" applyBorder="1" applyAlignment="1">
      <alignment horizontal="right" vertical="top"/>
    </xf>
    <xf numFmtId="165" fontId="25" fillId="0" borderId="4" xfId="0" applyNumberFormat="1" applyFont="1" applyBorder="1" applyAlignment="1">
      <alignment horizontal="right" vertical="top"/>
    </xf>
    <xf numFmtId="44" fontId="15" fillId="0" borderId="0" xfId="0" applyNumberFormat="1" applyFont="1" applyAlignment="1">
      <alignment vertical="top"/>
    </xf>
    <xf numFmtId="165" fontId="14" fillId="0" borderId="0" xfId="0" applyNumberFormat="1" applyFont="1" applyAlignment="1"/>
    <xf numFmtId="165" fontId="15" fillId="2" borderId="0" xfId="0" applyNumberFormat="1" applyFont="1" applyFill="1" applyAlignment="1">
      <alignment horizontal="right" vertical="top"/>
    </xf>
    <xf numFmtId="165" fontId="15" fillId="2" borderId="0" xfId="0" applyNumberFormat="1" applyFont="1" applyFill="1" applyAlignment="1">
      <alignment vertical="top"/>
    </xf>
    <xf numFmtId="44" fontId="21" fillId="0" borderId="0" xfId="0" applyNumberFormat="1" applyFont="1" applyAlignment="1">
      <alignment vertical="top"/>
    </xf>
    <xf numFmtId="165" fontId="21" fillId="0" borderId="0" xfId="0" applyNumberFormat="1" applyFont="1" applyAlignment="1">
      <alignment horizontal="right" vertical="top"/>
    </xf>
    <xf numFmtId="165" fontId="21" fillId="0" borderId="0" xfId="0" applyNumberFormat="1" applyFont="1" applyAlignment="1">
      <alignment vertical="top"/>
    </xf>
    <xf numFmtId="165" fontId="25" fillId="0" borderId="4" xfId="0" applyNumberFormat="1" applyFont="1" applyBorder="1" applyAlignment="1">
      <alignment vertical="top"/>
    </xf>
    <xf numFmtId="44" fontId="14" fillId="2" borderId="1" xfId="0" applyNumberFormat="1" applyFont="1" applyFill="1" applyBorder="1" applyAlignment="1">
      <alignment vertical="top"/>
    </xf>
    <xf numFmtId="165" fontId="20" fillId="0" borderId="5" xfId="0" applyNumberFormat="1" applyFont="1" applyBorder="1" applyAlignment="1">
      <alignment horizontal="right" vertical="top"/>
    </xf>
    <xf numFmtId="0" fontId="16" fillId="0" borderId="0" xfId="0" applyFont="1" applyAlignment="1">
      <alignment horizontal="right" vertical="top"/>
    </xf>
    <xf numFmtId="0" fontId="26" fillId="0" borderId="0" xfId="0" applyFont="1" applyAlignment="1"/>
    <xf numFmtId="0" fontId="14" fillId="0" borderId="1" xfId="0" applyFont="1" applyBorder="1" applyAlignment="1"/>
    <xf numFmtId="44" fontId="14" fillId="0" borderId="1" xfId="0" applyNumberFormat="1" applyFont="1" applyBorder="1" applyAlignment="1"/>
    <xf numFmtId="44" fontId="14" fillId="0" borderId="5" xfId="0" applyNumberFormat="1" applyFont="1" applyBorder="1" applyAlignment="1"/>
    <xf numFmtId="44" fontId="14" fillId="0" borderId="4" xfId="0" applyNumberFormat="1" applyFont="1" applyBorder="1"/>
    <xf numFmtId="44" fontId="14" fillId="0" borderId="3" xfId="0" applyNumberFormat="1" applyFont="1" applyBorder="1"/>
    <xf numFmtId="165" fontId="14" fillId="0" borderId="3" xfId="0" applyNumberFormat="1" applyFont="1" applyBorder="1"/>
    <xf numFmtId="44" fontId="14" fillId="0" borderId="4" xfId="0" applyNumberFormat="1" applyFont="1" applyBorder="1" applyAlignment="1"/>
    <xf numFmtId="165" fontId="14" fillId="0" borderId="4" xfId="0" applyNumberFormat="1" applyFont="1" applyBorder="1"/>
    <xf numFmtId="44" fontId="14" fillId="0" borderId="5" xfId="0" applyNumberFormat="1" applyFont="1" applyBorder="1"/>
    <xf numFmtId="0" fontId="16" fillId="0" borderId="0" xfId="0" applyFont="1"/>
    <xf numFmtId="165" fontId="14" fillId="2" borderId="1" xfId="0" applyNumberFormat="1" applyFont="1" applyFill="1" applyBorder="1"/>
    <xf numFmtId="165" fontId="14" fillId="0" borderId="1" xfId="0" applyNumberFormat="1" applyFont="1" applyBorder="1"/>
    <xf numFmtId="165" fontId="14" fillId="0" borderId="5" xfId="0" applyNumberFormat="1" applyFont="1" applyBorder="1"/>
    <xf numFmtId="2" fontId="14" fillId="2" borderId="1" xfId="0" applyNumberFormat="1" applyFont="1" applyFill="1" applyBorder="1"/>
    <xf numFmtId="165" fontId="16" fillId="0" borderId="0" xfId="0" applyNumberFormat="1" applyFont="1"/>
    <xf numFmtId="44" fontId="14" fillId="2" borderId="0" xfId="0" applyNumberFormat="1" applyFont="1" applyFill="1" applyAlignment="1"/>
    <xf numFmtId="3" fontId="14" fillId="0" borderId="0" xfId="0" applyNumberFormat="1" applyFont="1"/>
    <xf numFmtId="14" fontId="14" fillId="0" borderId="0" xfId="0" applyNumberFormat="1" applyFont="1"/>
    <xf numFmtId="2" fontId="14" fillId="0" borderId="0" xfId="0" applyNumberFormat="1" applyFont="1"/>
    <xf numFmtId="4" fontId="14" fillId="0" borderId="0" xfId="0" applyNumberFormat="1" applyFont="1"/>
    <xf numFmtId="167" fontId="14" fillId="0" borderId="6" xfId="0" applyNumberFormat="1" applyFont="1" applyBorder="1"/>
    <xf numFmtId="167" fontId="14" fillId="0" borderId="0" xfId="0" applyNumberFormat="1" applyFont="1"/>
    <xf numFmtId="0" fontId="22" fillId="0" borderId="0" xfId="0" applyFont="1" applyAlignment="1"/>
    <xf numFmtId="0" fontId="5" fillId="0" borderId="0" xfId="0" applyFont="1" applyAlignment="1">
      <alignment vertical="top" wrapText="1"/>
    </xf>
    <xf numFmtId="0" fontId="0" fillId="0" borderId="0" xfId="0" applyFont="1" applyAlignment="1"/>
    <xf numFmtId="0" fontId="30" fillId="0" borderId="2" xfId="0" applyFont="1" applyBorder="1"/>
    <xf numFmtId="0" fontId="6" fillId="12" borderId="0" xfId="0" applyFont="1" applyFill="1" applyAlignment="1"/>
    <xf numFmtId="0" fontId="30" fillId="0" borderId="10" xfId="0" applyFont="1" applyBorder="1"/>
    <xf numFmtId="0" fontId="30" fillId="0" borderId="1" xfId="0" applyFont="1" applyBorder="1"/>
    <xf numFmtId="0" fontId="31" fillId="0" borderId="0" xfId="0" applyFont="1" applyAlignment="1"/>
    <xf numFmtId="0" fontId="29" fillId="0" borderId="0" xfId="0" applyFont="1" applyAlignment="1"/>
    <xf numFmtId="0" fontId="6" fillId="0" borderId="0" xfId="0" applyFont="1" applyAlignment="1"/>
    <xf numFmtId="0" fontId="6" fillId="0" borderId="0" xfId="0" applyFont="1" applyAlignment="1">
      <alignment horizontal="left"/>
    </xf>
    <xf numFmtId="0" fontId="29" fillId="0" borderId="0" xfId="0" applyFont="1" applyAlignment="1"/>
    <xf numFmtId="0" fontId="31" fillId="12" borderId="0" xfId="0" applyFont="1" applyFill="1" applyAlignment="1"/>
    <xf numFmtId="0" fontId="31" fillId="12" borderId="0" xfId="0" applyFont="1" applyFill="1" applyAlignment="1"/>
    <xf numFmtId="0" fontId="31" fillId="12" borderId="0" xfId="0" applyFont="1" applyFill="1" applyAlignment="1">
      <alignment horizontal="left"/>
    </xf>
    <xf numFmtId="0" fontId="6" fillId="12" borderId="10" xfId="0" applyFont="1" applyFill="1" applyBorder="1" applyAlignment="1"/>
    <xf numFmtId="0" fontId="32" fillId="12" borderId="12" xfId="0" applyFont="1" applyFill="1" applyBorder="1" applyAlignment="1"/>
    <xf numFmtId="0" fontId="6" fillId="12" borderId="2" xfId="0" applyFont="1" applyFill="1" applyBorder="1" applyAlignment="1"/>
    <xf numFmtId="0" fontId="6" fillId="12" borderId="13" xfId="0" applyFont="1" applyFill="1" applyBorder="1" applyAlignment="1"/>
    <xf numFmtId="0" fontId="2" fillId="12" borderId="0" xfId="0" applyFont="1" applyFill="1" applyAlignment="1"/>
    <xf numFmtId="0" fontId="2" fillId="12" borderId="0" xfId="0" applyFont="1" applyFill="1" applyAlignment="1">
      <alignment horizontal="left"/>
    </xf>
    <xf numFmtId="0" fontId="6" fillId="12" borderId="9" xfId="0" applyFont="1" applyFill="1" applyBorder="1" applyAlignment="1"/>
    <xf numFmtId="0" fontId="6" fillId="12" borderId="9" xfId="0" applyFont="1" applyFill="1" applyBorder="1" applyAlignment="1"/>
    <xf numFmtId="0" fontId="6" fillId="12" borderId="0" xfId="0" applyFont="1" applyFill="1" applyAlignment="1"/>
    <xf numFmtId="0" fontId="2" fillId="12" borderId="10" xfId="0" applyFont="1" applyFill="1" applyBorder="1" applyAlignment="1"/>
    <xf numFmtId="9" fontId="6" fillId="2" borderId="0" xfId="0" applyNumberFormat="1" applyFont="1" applyFill="1" applyAlignment="1">
      <alignment horizontal="right"/>
    </xf>
    <xf numFmtId="165" fontId="10" fillId="5" borderId="0" xfId="0" applyNumberFormat="1" applyFont="1" applyFill="1" applyAlignment="1"/>
    <xf numFmtId="0" fontId="6" fillId="13" borderId="9" xfId="0" applyFont="1" applyFill="1" applyBorder="1" applyAlignment="1">
      <alignment horizontal="center"/>
    </xf>
    <xf numFmtId="0" fontId="6" fillId="12" borderId="0" xfId="0" applyFont="1" applyFill="1" applyAlignment="1">
      <alignment horizontal="right"/>
    </xf>
    <xf numFmtId="0" fontId="2" fillId="12" borderId="0" xfId="0" applyFont="1" applyFill="1" applyAlignment="1"/>
    <xf numFmtId="10" fontId="6" fillId="2" borderId="0" xfId="0" applyNumberFormat="1" applyFont="1" applyFill="1" applyAlignment="1">
      <alignment horizontal="right"/>
    </xf>
    <xf numFmtId="0" fontId="6" fillId="12" borderId="10" xfId="0" applyFont="1" applyFill="1" applyBorder="1" applyAlignment="1">
      <alignment horizontal="right"/>
    </xf>
    <xf numFmtId="0" fontId="6" fillId="2" borderId="0" xfId="0" applyFont="1" applyFill="1" applyAlignment="1">
      <alignment horizontal="center"/>
    </xf>
    <xf numFmtId="10" fontId="6" fillId="13" borderId="9" xfId="0" applyNumberFormat="1" applyFont="1" applyFill="1" applyBorder="1" applyAlignment="1">
      <alignment horizontal="right"/>
    </xf>
    <xf numFmtId="0" fontId="6" fillId="0" borderId="0" xfId="0" applyFont="1" applyAlignment="1">
      <alignment horizontal="center"/>
    </xf>
    <xf numFmtId="10" fontId="6" fillId="0" borderId="6" xfId="0" applyNumberFormat="1" applyFont="1" applyBorder="1" applyAlignment="1">
      <alignment horizontal="right"/>
    </xf>
    <xf numFmtId="0" fontId="6" fillId="12" borderId="7" xfId="0" applyFont="1" applyFill="1" applyBorder="1" applyAlignment="1"/>
    <xf numFmtId="0" fontId="6" fillId="12" borderId="1" xfId="0" applyFont="1" applyFill="1" applyBorder="1" applyAlignment="1"/>
    <xf numFmtId="0" fontId="6" fillId="12" borderId="8" xfId="0" applyFont="1" applyFill="1" applyBorder="1" applyAlignment="1">
      <alignment horizontal="right"/>
    </xf>
    <xf numFmtId="10" fontId="6" fillId="12" borderId="0" xfId="0" applyNumberFormat="1" applyFont="1" applyFill="1" applyAlignment="1">
      <alignment horizontal="right"/>
    </xf>
    <xf numFmtId="9" fontId="6" fillId="13" borderId="9" xfId="0" applyNumberFormat="1" applyFont="1" applyFill="1" applyBorder="1" applyAlignment="1">
      <alignment horizontal="right"/>
    </xf>
    <xf numFmtId="0" fontId="33" fillId="12" borderId="0" xfId="0" applyFont="1" applyFill="1" applyAlignment="1">
      <alignment horizontal="center"/>
    </xf>
    <xf numFmtId="10" fontId="6" fillId="12" borderId="0" xfId="0" applyNumberFormat="1" applyFont="1" applyFill="1" applyAlignment="1">
      <alignment horizontal="center"/>
    </xf>
    <xf numFmtId="171" fontId="6" fillId="2" borderId="0" xfId="0" applyNumberFormat="1" applyFont="1" applyFill="1" applyAlignment="1"/>
    <xf numFmtId="0" fontId="6" fillId="13" borderId="9" xfId="0" applyFont="1" applyFill="1" applyBorder="1" applyAlignment="1">
      <alignment horizontal="right"/>
    </xf>
    <xf numFmtId="171" fontId="6" fillId="12" borderId="0" xfId="0" applyNumberFormat="1" applyFont="1" applyFill="1" applyAlignment="1">
      <alignment horizontal="center"/>
    </xf>
    <xf numFmtId="0" fontId="31" fillId="12" borderId="7" xfId="0" applyFont="1" applyFill="1" applyBorder="1" applyAlignment="1"/>
    <xf numFmtId="0" fontId="31" fillId="12" borderId="1" xfId="0" applyFont="1" applyFill="1" applyBorder="1" applyAlignment="1">
      <alignment horizontal="center"/>
    </xf>
    <xf numFmtId="0" fontId="6" fillId="12" borderId="8" xfId="0" applyFont="1" applyFill="1" applyBorder="1" applyAlignment="1"/>
    <xf numFmtId="164" fontId="10" fillId="5" borderId="0" xfId="0" applyNumberFormat="1" applyFont="1" applyFill="1" applyAlignment="1"/>
    <xf numFmtId="0" fontId="6" fillId="12" borderId="0" xfId="0" applyFont="1" applyFill="1" applyAlignment="1">
      <alignment horizontal="left"/>
    </xf>
    <xf numFmtId="0" fontId="3" fillId="12" borderId="10" xfId="0" applyFont="1" applyFill="1" applyBorder="1" applyAlignment="1"/>
    <xf numFmtId="164" fontId="31" fillId="12" borderId="0" xfId="0" applyNumberFormat="1" applyFont="1" applyFill="1" applyAlignment="1">
      <alignment horizontal="center"/>
    </xf>
    <xf numFmtId="44" fontId="6" fillId="12" borderId="0" xfId="0" applyNumberFormat="1" applyFont="1" applyFill="1" applyAlignment="1"/>
    <xf numFmtId="0" fontId="6" fillId="14" borderId="0" xfId="0" applyFont="1" applyFill="1" applyAlignment="1"/>
    <xf numFmtId="0" fontId="6" fillId="13" borderId="0" xfId="0" applyFont="1" applyFill="1" applyAlignment="1"/>
    <xf numFmtId="10" fontId="6" fillId="12" borderId="0" xfId="0" applyNumberFormat="1" applyFont="1" applyFill="1" applyAlignme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942975</xdr:colOff>
      <xdr:row>20</xdr:row>
      <xdr:rowOff>114300</xdr:rowOff>
    </xdr:from>
    <xdr:ext cx="8324850" cy="1847850"/>
    <xdr:pic>
      <xdr:nvPicPr>
        <xdr:cNvPr id="2" name="image1.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942975</xdr:colOff>
      <xdr:row>4</xdr:row>
      <xdr:rowOff>47625</xdr:rowOff>
    </xdr:from>
    <xdr:ext cx="8010525" cy="1019175"/>
    <xdr:pic>
      <xdr:nvPicPr>
        <xdr:cNvPr id="3" name="image3.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942975</xdr:colOff>
      <xdr:row>10</xdr:row>
      <xdr:rowOff>47625</xdr:rowOff>
    </xdr:from>
    <xdr:ext cx="7286625" cy="1800225"/>
    <xdr:pic>
      <xdr:nvPicPr>
        <xdr:cNvPr id="4" name="image2.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3</xdr:col>
      <xdr:colOff>861060</xdr:colOff>
      <xdr:row>20</xdr:row>
      <xdr:rowOff>114300</xdr:rowOff>
    </xdr:from>
    <xdr:to>
      <xdr:col>13</xdr:col>
      <xdr:colOff>502920</xdr:colOff>
      <xdr:row>31</xdr:row>
      <xdr:rowOff>121920</xdr:rowOff>
    </xdr:to>
    <xdr:pic>
      <xdr:nvPicPr>
        <xdr:cNvPr id="16385" name="image1.png"/>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28360" y="3497580"/>
          <a:ext cx="8328660" cy="185166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3</xdr:col>
      <xdr:colOff>861060</xdr:colOff>
      <xdr:row>20</xdr:row>
      <xdr:rowOff>114300</xdr:rowOff>
    </xdr:from>
    <xdr:to>
      <xdr:col>13</xdr:col>
      <xdr:colOff>502920</xdr:colOff>
      <xdr:row>31</xdr:row>
      <xdr:rowOff>121920</xdr:rowOff>
    </xdr:to>
    <xdr:pic>
      <xdr:nvPicPr>
        <xdr:cNvPr id="16386" name="Picture 2"/>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28360" y="3497580"/>
          <a:ext cx="8328660" cy="185166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elnyk/Box%20Sync/Booth/30130%20FSA/_Final%20Project/Deliverables/Group%2037_Valuation%20Spread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Page"/>
      <sheetName val="IS Assumptions"/>
      <sheetName val="BS Assumptions"/>
      <sheetName val="CF Assumptions"/>
      <sheetName val="Income Statement"/>
      <sheetName val="Balance Sheet"/>
      <sheetName val="Cash Flows"/>
      <sheetName val="Accrued Liabilities"/>
      <sheetName val="Intangible Assets"/>
      <sheetName val="Content Assets"/>
      <sheetName val="NOPAT"/>
      <sheetName val="DCF Valuation"/>
      <sheetName val="RI Valuation"/>
      <sheetName val="Stock Comp Outstanding"/>
      <sheetName val="Cost of Capital"/>
      <sheetName val="Financial Summary &amp; Forecasts"/>
    </sheetNames>
    <sheetDataSet>
      <sheetData sheetId="0"/>
      <sheetData sheetId="1">
        <row r="58">
          <cell r="J58">
            <v>0.21</v>
          </cell>
        </row>
      </sheetData>
      <sheetData sheetId="2"/>
      <sheetData sheetId="3"/>
      <sheetData sheetId="4"/>
      <sheetData sheetId="5">
        <row r="8">
          <cell r="I8">
            <v>1961956</v>
          </cell>
        </row>
        <row r="27">
          <cell r="C27">
            <v>15000</v>
          </cell>
          <cell r="D27">
            <v>0</v>
          </cell>
          <cell r="E27">
            <v>0</v>
          </cell>
          <cell r="F27">
            <v>4866</v>
          </cell>
          <cell r="G27">
            <v>4874</v>
          </cell>
          <cell r="H27">
            <v>9883</v>
          </cell>
          <cell r="I27">
            <v>79985</v>
          </cell>
          <cell r="J27">
            <v>79985</v>
          </cell>
          <cell r="K27">
            <v>79985</v>
          </cell>
          <cell r="L27">
            <v>79985</v>
          </cell>
        </row>
        <row r="32">
          <cell r="C32">
            <v>0</v>
          </cell>
          <cell r="D32">
            <v>0</v>
          </cell>
          <cell r="E32">
            <v>0</v>
          </cell>
          <cell r="F32">
            <v>94742</v>
          </cell>
          <cell r="G32">
            <v>89868</v>
          </cell>
          <cell r="H32">
            <v>79985</v>
          </cell>
          <cell r="I32">
            <v>0</v>
          </cell>
          <cell r="J32">
            <v>0</v>
          </cell>
          <cell r="K32">
            <v>0</v>
          </cell>
          <cell r="L32">
            <v>0</v>
          </cell>
        </row>
        <row r="40">
          <cell r="C40">
            <v>19356</v>
          </cell>
          <cell r="D40">
            <v>152279</v>
          </cell>
          <cell r="E40">
            <v>244651</v>
          </cell>
          <cell r="F40">
            <v>698426</v>
          </cell>
          <cell r="G40">
            <v>1328015</v>
          </cell>
          <cell r="H40">
            <v>2766606</v>
          </cell>
          <cell r="I40">
            <v>2646556</v>
          </cell>
          <cell r="J40">
            <v>2485930.8656308763</v>
          </cell>
          <cell r="K40">
            <v>2788714.5394460731</v>
          </cell>
          <cell r="L40">
            <v>3149559.860075736</v>
          </cell>
        </row>
      </sheetData>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0"/>
  <sheetViews>
    <sheetView tabSelected="1" workbookViewId="0">
      <selection activeCell="A15" sqref="A15"/>
    </sheetView>
  </sheetViews>
  <sheetFormatPr defaultColWidth="12.6640625" defaultRowHeight="15.75" customHeight="1"/>
  <sheetData>
    <row r="1" spans="1:26" ht="15.75" customHeight="1">
      <c r="A1" s="1"/>
      <c r="B1" s="2"/>
      <c r="C1" s="2"/>
      <c r="D1" s="2"/>
      <c r="E1" s="2"/>
      <c r="F1" s="2"/>
      <c r="G1" s="2"/>
      <c r="H1" s="2"/>
      <c r="I1" s="2"/>
      <c r="J1" s="2"/>
      <c r="K1" s="2"/>
      <c r="L1" s="2"/>
      <c r="M1" s="2"/>
      <c r="N1" s="2"/>
      <c r="O1" s="2"/>
      <c r="P1" s="2"/>
      <c r="Q1" s="2"/>
      <c r="R1" s="2"/>
      <c r="S1" s="2"/>
      <c r="T1" s="2"/>
      <c r="U1" s="2"/>
      <c r="V1" s="2"/>
      <c r="W1" s="2"/>
      <c r="X1" s="2"/>
      <c r="Y1" s="2"/>
      <c r="Z1" s="2"/>
    </row>
    <row r="2" spans="1:26" ht="13.2">
      <c r="A2" s="3"/>
      <c r="B2" s="2"/>
      <c r="C2" s="2"/>
      <c r="D2" s="2"/>
      <c r="E2" s="2"/>
      <c r="F2" s="2"/>
      <c r="G2" s="2"/>
      <c r="H2" s="2"/>
      <c r="I2" s="2"/>
      <c r="J2" s="2"/>
      <c r="K2" s="2"/>
      <c r="L2" s="2"/>
      <c r="M2" s="2"/>
      <c r="N2" s="2"/>
      <c r="O2" s="2"/>
      <c r="P2" s="2"/>
      <c r="Q2" s="2"/>
      <c r="R2" s="2"/>
      <c r="S2" s="2"/>
      <c r="T2" s="2"/>
      <c r="U2" s="2"/>
      <c r="V2" s="2"/>
      <c r="W2" s="2"/>
      <c r="X2" s="2"/>
      <c r="Y2" s="2"/>
      <c r="Z2" s="2"/>
    </row>
    <row r="3" spans="1:26" ht="13.2">
      <c r="A3" s="4"/>
      <c r="B3" s="2"/>
      <c r="C3" s="2"/>
      <c r="D3" s="2"/>
      <c r="E3" s="2"/>
      <c r="F3" s="2"/>
      <c r="G3" s="2"/>
      <c r="H3" s="2"/>
      <c r="I3" s="2"/>
      <c r="J3" s="2"/>
      <c r="K3" s="2"/>
      <c r="L3" s="2"/>
      <c r="M3" s="2"/>
      <c r="N3" s="2"/>
      <c r="O3" s="2"/>
      <c r="P3" s="2"/>
      <c r="Q3" s="2"/>
      <c r="R3" s="2"/>
      <c r="S3" s="2"/>
      <c r="T3" s="2"/>
      <c r="U3" s="2"/>
      <c r="V3" s="2"/>
      <c r="W3" s="2"/>
      <c r="X3" s="2"/>
      <c r="Y3" s="2"/>
      <c r="Z3" s="2"/>
    </row>
    <row r="4" spans="1:26" ht="13.2">
      <c r="A4" s="5" t="s">
        <v>0</v>
      </c>
      <c r="B4" s="2"/>
      <c r="C4" s="2"/>
      <c r="D4" s="2"/>
      <c r="E4" s="2"/>
      <c r="F4" s="2"/>
      <c r="G4" s="2"/>
      <c r="H4" s="2"/>
      <c r="I4" s="2"/>
      <c r="J4" s="2"/>
      <c r="K4" s="2"/>
      <c r="L4" s="2"/>
      <c r="M4" s="2"/>
      <c r="N4" s="2"/>
      <c r="O4" s="2"/>
      <c r="P4" s="2"/>
      <c r="Q4" s="2"/>
      <c r="R4" s="2"/>
      <c r="S4" s="2"/>
      <c r="T4" s="2"/>
      <c r="U4" s="2"/>
      <c r="V4" s="2"/>
      <c r="W4" s="2"/>
      <c r="X4" s="2"/>
      <c r="Y4" s="2"/>
      <c r="Z4" s="2"/>
    </row>
    <row r="5" spans="1:26" ht="13.2">
      <c r="A5" s="6" t="s">
        <v>1</v>
      </c>
      <c r="B5" s="2"/>
      <c r="C5" s="2"/>
      <c r="D5" s="2"/>
      <c r="E5" s="2"/>
      <c r="F5" s="2"/>
      <c r="G5" s="2"/>
      <c r="H5" s="2"/>
      <c r="I5" s="2"/>
      <c r="J5" s="2"/>
      <c r="K5" s="2"/>
      <c r="L5" s="2"/>
      <c r="M5" s="2"/>
      <c r="N5" s="2"/>
      <c r="O5" s="2"/>
      <c r="P5" s="2"/>
      <c r="Q5" s="2"/>
      <c r="R5" s="2"/>
      <c r="S5" s="2"/>
      <c r="T5" s="2"/>
      <c r="U5" s="2"/>
      <c r="V5" s="2"/>
      <c r="W5" s="2"/>
      <c r="X5" s="2"/>
      <c r="Y5" s="2"/>
      <c r="Z5" s="2"/>
    </row>
    <row r="6" spans="1:26" ht="13.2">
      <c r="A6" s="7" t="s">
        <v>2</v>
      </c>
      <c r="B6" s="2"/>
      <c r="C6" s="2"/>
      <c r="D6" s="2"/>
      <c r="E6" s="2"/>
      <c r="F6" s="2"/>
      <c r="G6" s="2"/>
      <c r="H6" s="2"/>
      <c r="I6" s="2"/>
      <c r="J6" s="2"/>
      <c r="K6" s="2"/>
      <c r="L6" s="2"/>
      <c r="M6" s="2"/>
      <c r="N6" s="2"/>
      <c r="O6" s="2"/>
      <c r="P6" s="2"/>
      <c r="Q6" s="2"/>
      <c r="R6" s="2"/>
      <c r="S6" s="2"/>
      <c r="T6" s="2"/>
      <c r="U6" s="2"/>
      <c r="V6" s="2"/>
      <c r="W6" s="2"/>
      <c r="X6" s="2"/>
      <c r="Y6" s="2"/>
      <c r="Z6" s="2"/>
    </row>
    <row r="7" spans="1:26" ht="13.2">
      <c r="A7" s="7" t="s">
        <v>3</v>
      </c>
      <c r="B7" s="2"/>
      <c r="C7" s="2"/>
      <c r="D7" s="2"/>
      <c r="E7" s="2"/>
      <c r="F7" s="2"/>
      <c r="G7" s="2"/>
      <c r="H7" s="2"/>
      <c r="I7" s="2"/>
      <c r="J7" s="2"/>
      <c r="K7" s="2"/>
      <c r="L7" s="2"/>
      <c r="M7" s="2"/>
      <c r="N7" s="2"/>
      <c r="O7" s="2"/>
      <c r="P7" s="2"/>
      <c r="Q7" s="2"/>
      <c r="R7" s="2"/>
      <c r="S7" s="2"/>
      <c r="T7" s="2"/>
      <c r="U7" s="2"/>
      <c r="V7" s="2"/>
      <c r="W7" s="2"/>
      <c r="X7" s="2"/>
      <c r="Y7" s="2"/>
      <c r="Z7" s="2"/>
    </row>
    <row r="8" spans="1:26" ht="13.2">
      <c r="A8" s="2"/>
      <c r="B8" s="2"/>
      <c r="C8" s="2"/>
      <c r="D8" s="2"/>
      <c r="E8" s="2"/>
      <c r="F8" s="2"/>
      <c r="G8" s="2"/>
      <c r="H8" s="2"/>
      <c r="I8" s="2"/>
      <c r="J8" s="2"/>
      <c r="K8" s="2"/>
      <c r="L8" s="2"/>
      <c r="M8" s="2"/>
      <c r="N8" s="2"/>
      <c r="O8" s="2"/>
      <c r="P8" s="2"/>
      <c r="Q8" s="2"/>
      <c r="R8" s="2"/>
      <c r="S8" s="2"/>
      <c r="T8" s="2"/>
      <c r="U8" s="2"/>
      <c r="V8" s="2"/>
      <c r="W8" s="2"/>
      <c r="X8" s="2"/>
      <c r="Y8" s="2"/>
      <c r="Z8" s="2"/>
    </row>
    <row r="9" spans="1:26" ht="13.2">
      <c r="A9" s="2"/>
      <c r="B9" s="2"/>
      <c r="C9" s="2"/>
      <c r="D9" s="2"/>
      <c r="E9" s="2"/>
      <c r="F9" s="2"/>
      <c r="G9" s="2"/>
      <c r="H9" s="2"/>
      <c r="I9" s="2"/>
      <c r="J9" s="2"/>
      <c r="K9" s="2"/>
      <c r="L9" s="2"/>
      <c r="M9" s="2"/>
      <c r="N9" s="2"/>
      <c r="O9" s="2"/>
      <c r="P9" s="2"/>
      <c r="Q9" s="2"/>
      <c r="R9" s="2"/>
      <c r="S9" s="2"/>
      <c r="T9" s="2"/>
      <c r="U9" s="2"/>
      <c r="V9" s="2"/>
      <c r="W9" s="2"/>
      <c r="X9" s="2"/>
      <c r="Y9" s="2"/>
      <c r="Z9" s="2"/>
    </row>
    <row r="10" spans="1:26" ht="13.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2">
      <c r="A11" s="288" t="s">
        <v>465</v>
      </c>
      <c r="B11" s="2"/>
      <c r="C11" s="2"/>
      <c r="D11" s="2"/>
      <c r="E11" s="2"/>
      <c r="F11" s="2"/>
      <c r="G11" s="2"/>
      <c r="H11" s="2"/>
      <c r="I11" s="2"/>
      <c r="J11" s="2"/>
      <c r="K11" s="2"/>
      <c r="L11" s="2"/>
      <c r="M11" s="2"/>
      <c r="N11" s="2"/>
      <c r="O11" s="2"/>
      <c r="P11" s="2"/>
      <c r="Q11" s="2"/>
      <c r="R11" s="2"/>
      <c r="S11" s="2"/>
      <c r="T11" s="2"/>
      <c r="U11" s="2"/>
      <c r="V11" s="2"/>
      <c r="W11" s="2"/>
      <c r="X11" s="2"/>
      <c r="Y11" s="2"/>
      <c r="Z11" s="2"/>
    </row>
    <row r="12" spans="1:26" ht="13.2">
      <c r="A12" s="2" t="s">
        <v>466</v>
      </c>
      <c r="B12" s="2"/>
      <c r="C12" s="2"/>
      <c r="D12" s="2"/>
      <c r="E12" s="2"/>
      <c r="F12" s="2"/>
      <c r="G12" s="2"/>
      <c r="H12" s="2"/>
      <c r="I12" s="2"/>
      <c r="J12" s="2"/>
      <c r="K12" s="2"/>
      <c r="L12" s="2"/>
      <c r="M12" s="2"/>
      <c r="N12" s="2"/>
      <c r="O12" s="2"/>
      <c r="P12" s="2"/>
      <c r="Q12" s="2"/>
      <c r="R12" s="2"/>
      <c r="S12" s="2"/>
      <c r="T12" s="2"/>
      <c r="U12" s="2"/>
      <c r="V12" s="2"/>
      <c r="W12" s="2"/>
      <c r="X12" s="2"/>
      <c r="Y12" s="2"/>
      <c r="Z12" s="2"/>
    </row>
    <row r="13" spans="1:26" ht="13.2">
      <c r="A13" s="2" t="s">
        <v>467</v>
      </c>
      <c r="B13" s="2"/>
      <c r="C13" s="2"/>
      <c r="D13" s="2"/>
      <c r="E13" s="2"/>
      <c r="F13" s="2"/>
      <c r="G13" s="2"/>
      <c r="H13" s="2"/>
      <c r="I13" s="2"/>
      <c r="J13" s="2"/>
      <c r="K13" s="2"/>
      <c r="L13" s="2"/>
      <c r="M13" s="2"/>
      <c r="N13" s="2"/>
      <c r="O13" s="2"/>
      <c r="P13" s="2"/>
      <c r="Q13" s="2"/>
      <c r="R13" s="2"/>
      <c r="S13" s="2"/>
      <c r="T13" s="2"/>
      <c r="U13" s="2"/>
      <c r="V13" s="2"/>
      <c r="W13" s="2"/>
      <c r="X13" s="2"/>
      <c r="Y13" s="2"/>
      <c r="Z13" s="2"/>
    </row>
    <row r="14" spans="1:26" ht="13.2">
      <c r="A14" s="2" t="s">
        <v>468</v>
      </c>
      <c r="B14" s="2"/>
      <c r="C14" s="2"/>
      <c r="D14" s="2"/>
      <c r="E14" s="2"/>
      <c r="F14" s="2"/>
      <c r="G14" s="2"/>
      <c r="H14" s="2"/>
      <c r="I14" s="2"/>
      <c r="J14" s="2"/>
      <c r="K14" s="2"/>
      <c r="L14" s="2"/>
      <c r="M14" s="2"/>
      <c r="N14" s="2"/>
      <c r="O14" s="2"/>
      <c r="P14" s="2"/>
      <c r="Q14" s="2"/>
      <c r="R14" s="2"/>
      <c r="S14" s="2"/>
      <c r="T14" s="2"/>
      <c r="U14" s="2"/>
      <c r="V14" s="2"/>
      <c r="W14" s="2"/>
      <c r="X14" s="2"/>
      <c r="Y14" s="2"/>
      <c r="Z14" s="2"/>
    </row>
    <row r="15" spans="1:26" ht="13.2">
      <c r="A15" s="2" t="s">
        <v>469</v>
      </c>
      <c r="B15" s="2"/>
      <c r="C15" s="2"/>
      <c r="D15" s="2"/>
      <c r="E15" s="2"/>
      <c r="F15" s="2"/>
      <c r="G15" s="2"/>
      <c r="H15" s="2"/>
      <c r="I15" s="2"/>
      <c r="J15" s="2"/>
      <c r="K15" s="2"/>
      <c r="L15" s="2"/>
      <c r="M15" s="2"/>
      <c r="N15" s="2"/>
      <c r="O15" s="2"/>
      <c r="P15" s="2"/>
      <c r="Q15" s="2"/>
      <c r="R15" s="2"/>
      <c r="S15" s="2"/>
      <c r="T15" s="2"/>
      <c r="U15" s="2"/>
      <c r="V15" s="2"/>
      <c r="W15" s="2"/>
      <c r="X15" s="2"/>
      <c r="Y15" s="2"/>
      <c r="Z15" s="2"/>
    </row>
    <row r="16" spans="1:26" ht="13.2">
      <c r="A16" s="2" t="s">
        <v>470</v>
      </c>
      <c r="B16" s="2"/>
      <c r="C16" s="2"/>
      <c r="D16" s="2"/>
      <c r="E16" s="2"/>
      <c r="F16" s="2"/>
      <c r="G16" s="2"/>
      <c r="H16" s="2"/>
      <c r="I16" s="2"/>
      <c r="J16" s="2"/>
      <c r="K16" s="2"/>
      <c r="L16" s="2"/>
      <c r="M16" s="2"/>
      <c r="N16" s="2"/>
      <c r="O16" s="2"/>
      <c r="P16" s="2"/>
      <c r="Q16" s="2"/>
      <c r="R16" s="2"/>
      <c r="S16" s="2"/>
      <c r="T16" s="2"/>
      <c r="U16" s="2"/>
      <c r="V16" s="2"/>
      <c r="W16" s="2"/>
      <c r="X16" s="2"/>
      <c r="Y16" s="2"/>
      <c r="Z16" s="2"/>
    </row>
    <row r="17" spans="1:26" ht="13.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8"/>
  <sheetViews>
    <sheetView workbookViewId="0">
      <pane xSplit="1" topLeftCell="I1" activePane="topRight" state="frozen"/>
      <selection pane="topRight" activeCell="A5" sqref="A5"/>
    </sheetView>
  </sheetViews>
  <sheetFormatPr defaultColWidth="12.6640625" defaultRowHeight="15.75" customHeight="1"/>
  <cols>
    <col min="1" max="1" width="43.21875" style="93" customWidth="1"/>
    <col min="2" max="2" width="6.21875" hidden="1" customWidth="1"/>
    <col min="3" max="8" width="0" hidden="1" customWidth="1"/>
  </cols>
  <sheetData>
    <row r="1" spans="1:28" ht="13.2">
      <c r="A1" s="90" t="s">
        <v>4</v>
      </c>
      <c r="B1" s="8"/>
      <c r="C1" s="8"/>
      <c r="D1" s="8"/>
      <c r="E1" s="8"/>
      <c r="F1" s="8"/>
      <c r="G1" s="8"/>
      <c r="H1" s="8"/>
      <c r="I1" s="8"/>
      <c r="J1" s="8"/>
      <c r="K1" s="8"/>
      <c r="L1" s="8"/>
      <c r="M1" s="8"/>
      <c r="N1" s="8"/>
      <c r="O1" s="8"/>
      <c r="P1" s="8"/>
      <c r="Q1" s="8"/>
      <c r="R1" s="8"/>
      <c r="S1" s="8"/>
      <c r="T1" s="8"/>
      <c r="U1" s="8"/>
      <c r="V1" s="8"/>
      <c r="W1" s="8"/>
      <c r="X1" s="8"/>
      <c r="Y1" s="8"/>
      <c r="Z1" s="8"/>
      <c r="AA1" s="8"/>
      <c r="AB1" s="8"/>
    </row>
    <row r="2" spans="1:28" ht="13.2">
      <c r="A2" s="91" t="s">
        <v>5</v>
      </c>
      <c r="B2" s="8"/>
      <c r="C2" s="8"/>
      <c r="D2" s="8"/>
      <c r="E2" s="8"/>
      <c r="F2" s="8"/>
      <c r="G2" s="8"/>
      <c r="H2" s="8"/>
      <c r="I2" s="9"/>
      <c r="J2" s="8"/>
      <c r="K2" s="8"/>
      <c r="L2" s="8"/>
      <c r="M2" s="8"/>
      <c r="N2" s="8"/>
      <c r="O2" s="8"/>
      <c r="P2" s="8"/>
      <c r="Q2" s="8"/>
      <c r="R2" s="8"/>
      <c r="S2" s="8"/>
      <c r="T2" s="8"/>
      <c r="U2" s="8"/>
      <c r="V2" s="8"/>
      <c r="W2" s="8"/>
      <c r="X2" s="8"/>
      <c r="Y2" s="8"/>
      <c r="Z2" s="8"/>
      <c r="AA2" s="8"/>
      <c r="AB2" s="8"/>
    </row>
    <row r="3" spans="1:28" ht="13.2">
      <c r="A3" s="92" t="s">
        <v>6</v>
      </c>
      <c r="B3" s="8"/>
      <c r="C3" s="8"/>
      <c r="D3" s="8"/>
      <c r="E3" s="8"/>
      <c r="F3" s="8"/>
      <c r="G3" s="9"/>
      <c r="H3" s="8"/>
      <c r="I3" s="8"/>
      <c r="J3" s="8"/>
      <c r="K3" s="8"/>
      <c r="L3" s="8"/>
      <c r="M3" s="8"/>
      <c r="N3" s="8"/>
      <c r="O3" s="8"/>
      <c r="P3" s="8"/>
      <c r="Q3" s="8"/>
      <c r="R3" s="8"/>
      <c r="S3" s="8"/>
      <c r="T3" s="8"/>
      <c r="U3" s="8"/>
      <c r="V3" s="8"/>
      <c r="W3" s="8"/>
      <c r="X3" s="8"/>
      <c r="Y3" s="8"/>
      <c r="Z3" s="8"/>
      <c r="AA3" s="8"/>
      <c r="AB3" s="8"/>
    </row>
    <row r="4" spans="1:28" ht="13.8">
      <c r="A4" s="100"/>
      <c r="B4" s="85"/>
      <c r="C4" s="85"/>
      <c r="D4" s="85"/>
      <c r="E4" s="85"/>
      <c r="F4" s="85"/>
      <c r="G4" s="85"/>
      <c r="H4" s="85"/>
      <c r="I4" s="85"/>
      <c r="J4" s="89" t="s">
        <v>7</v>
      </c>
      <c r="K4" s="85"/>
      <c r="L4" s="85"/>
      <c r="M4" s="85"/>
      <c r="N4" s="85"/>
      <c r="O4" s="85"/>
      <c r="P4" s="85"/>
      <c r="Q4" s="85"/>
      <c r="R4" s="85"/>
      <c r="S4" s="85"/>
      <c r="T4" s="85"/>
      <c r="U4" s="85"/>
      <c r="V4" s="8"/>
      <c r="W4" s="8"/>
      <c r="X4" s="8"/>
      <c r="Y4" s="8"/>
      <c r="Z4" s="8"/>
      <c r="AA4" s="8"/>
      <c r="AB4" s="8"/>
    </row>
    <row r="5" spans="1:28" ht="13.8">
      <c r="A5" s="101" t="s">
        <v>8</v>
      </c>
      <c r="B5" s="85"/>
      <c r="C5" s="102">
        <v>2016</v>
      </c>
      <c r="D5" s="102">
        <v>2017</v>
      </c>
      <c r="E5" s="102">
        <v>2018</v>
      </c>
      <c r="F5" s="102">
        <v>2019</v>
      </c>
      <c r="G5" s="102">
        <v>2020</v>
      </c>
      <c r="H5" s="102">
        <v>2021</v>
      </c>
      <c r="I5" s="102">
        <v>2022</v>
      </c>
      <c r="J5" s="102">
        <v>2023</v>
      </c>
      <c r="K5" s="102">
        <v>2024</v>
      </c>
      <c r="L5" s="102">
        <v>2025</v>
      </c>
      <c r="M5" s="102">
        <v>2026</v>
      </c>
      <c r="N5" s="102">
        <v>2027</v>
      </c>
      <c r="O5" s="102">
        <v>2028</v>
      </c>
      <c r="P5" s="102">
        <v>2029</v>
      </c>
      <c r="Q5" s="102">
        <v>2030</v>
      </c>
      <c r="R5" s="102">
        <v>2031</v>
      </c>
      <c r="S5" s="102">
        <v>2032</v>
      </c>
      <c r="T5" s="102">
        <v>2033</v>
      </c>
      <c r="U5" s="102">
        <v>2034</v>
      </c>
      <c r="V5" s="8"/>
      <c r="W5" s="8"/>
      <c r="X5" s="8"/>
      <c r="Y5" s="8"/>
      <c r="Z5" s="8"/>
      <c r="AA5" s="8"/>
      <c r="AB5" s="8"/>
    </row>
    <row r="6" spans="1:28" ht="13.8">
      <c r="A6" s="100"/>
      <c r="B6" s="85"/>
      <c r="C6" s="85"/>
      <c r="D6" s="85"/>
      <c r="E6" s="85"/>
      <c r="F6" s="85"/>
      <c r="G6" s="85"/>
      <c r="H6" s="85"/>
      <c r="I6" s="85"/>
      <c r="J6" s="85"/>
      <c r="K6" s="85"/>
      <c r="L6" s="85"/>
      <c r="M6" s="85"/>
      <c r="N6" s="85"/>
      <c r="O6" s="85"/>
      <c r="P6" s="85"/>
      <c r="Q6" s="85"/>
      <c r="R6" s="85"/>
      <c r="S6" s="85"/>
      <c r="T6" s="85"/>
      <c r="U6" s="85"/>
      <c r="V6" s="8"/>
      <c r="W6" s="8"/>
      <c r="X6" s="8"/>
      <c r="Y6" s="8"/>
      <c r="Z6" s="8"/>
      <c r="AA6" s="8"/>
      <c r="AB6" s="8"/>
    </row>
    <row r="7" spans="1:28" ht="13.8">
      <c r="A7" s="103" t="s">
        <v>9</v>
      </c>
      <c r="B7" s="85"/>
      <c r="C7" s="85"/>
      <c r="D7" s="85"/>
      <c r="E7" s="85"/>
      <c r="F7" s="85"/>
      <c r="G7" s="85"/>
      <c r="H7" s="85"/>
      <c r="I7" s="85"/>
      <c r="J7" s="85"/>
      <c r="K7" s="85"/>
      <c r="L7" s="85"/>
      <c r="M7" s="85"/>
      <c r="N7" s="85"/>
      <c r="O7" s="85"/>
      <c r="P7" s="85"/>
      <c r="Q7" s="85"/>
      <c r="R7" s="85"/>
      <c r="S7" s="85"/>
      <c r="T7" s="85"/>
      <c r="U7" s="85"/>
      <c r="V7" s="8"/>
      <c r="W7" s="8"/>
      <c r="X7" s="8"/>
      <c r="Y7" s="8"/>
      <c r="Z7" s="8"/>
      <c r="AA7" s="8"/>
      <c r="AB7" s="8"/>
    </row>
    <row r="8" spans="1:28" ht="13.8">
      <c r="A8" s="100" t="s">
        <v>10</v>
      </c>
      <c r="B8" s="85"/>
      <c r="C8" s="104">
        <v>13400</v>
      </c>
      <c r="D8" s="104">
        <v>19300</v>
      </c>
      <c r="E8" s="104">
        <v>27100</v>
      </c>
      <c r="F8" s="104">
        <v>36900</v>
      </c>
      <c r="G8" s="104">
        <v>51200</v>
      </c>
      <c r="H8" s="104">
        <v>60100</v>
      </c>
      <c r="I8" s="104">
        <v>70000</v>
      </c>
      <c r="J8" s="105">
        <f t="shared" ref="J8:U8" si="0">I8*(1+J13)</f>
        <v>80500</v>
      </c>
      <c r="K8" s="105">
        <f t="shared" si="0"/>
        <v>90964.999999999985</v>
      </c>
      <c r="L8" s="105">
        <f t="shared" si="0"/>
        <v>100971.15</v>
      </c>
      <c r="M8" s="105">
        <f t="shared" si="0"/>
        <v>110058.55349999999</v>
      </c>
      <c r="N8" s="105">
        <f t="shared" si="0"/>
        <v>117762.652245</v>
      </c>
      <c r="O8" s="105">
        <f t="shared" si="0"/>
        <v>123650.78485725001</v>
      </c>
      <c r="P8" s="105">
        <f t="shared" si="0"/>
        <v>127360.30840296751</v>
      </c>
      <c r="Q8" s="105">
        <f t="shared" si="0"/>
        <v>129907.51457102686</v>
      </c>
      <c r="R8" s="105">
        <f t="shared" si="0"/>
        <v>131856.12728959226</v>
      </c>
      <c r="S8" s="105">
        <f t="shared" si="0"/>
        <v>133833.96919893613</v>
      </c>
      <c r="T8" s="105">
        <f t="shared" si="0"/>
        <v>135841.47873692017</v>
      </c>
      <c r="U8" s="105">
        <f t="shared" si="0"/>
        <v>137879.10091797396</v>
      </c>
      <c r="V8" s="8"/>
      <c r="W8" s="8"/>
      <c r="X8" s="8"/>
      <c r="Y8" s="8"/>
      <c r="Z8" s="8"/>
      <c r="AA8" s="8"/>
      <c r="AB8" s="8"/>
    </row>
    <row r="9" spans="1:28" ht="13.8">
      <c r="A9" s="100" t="s">
        <v>11</v>
      </c>
      <c r="B9" s="85"/>
      <c r="C9" s="106"/>
      <c r="D9" s="106">
        <f>'Income Statement'!D7/AVERAGE(D8,C8)</f>
        <v>13.783241590214068</v>
      </c>
      <c r="E9" s="106">
        <f>'Income Statement'!E7/AVERAGE(E8,D8)</f>
        <v>17.96823275862069</v>
      </c>
      <c r="F9" s="106">
        <f>'Income Statement'!F7/AVERAGE(F8,E8)</f>
        <v>23.149249999999999</v>
      </c>
      <c r="G9" s="106">
        <f>'Income Statement'!G7/AVERAGE(G8,F8)</f>
        <v>28.779659477866062</v>
      </c>
      <c r="H9" s="106">
        <f>'Income Statement'!H7/AVERAGE(H8,G8)</f>
        <v>40.699371069182391</v>
      </c>
      <c r="I9" s="106">
        <f>'Income Statement'!I7/AVERAGE(I8,H8)</f>
        <v>41.682413528055342</v>
      </c>
      <c r="J9" s="107">
        <f t="shared" ref="J9:U9" si="1">I9*(1+J14)</f>
        <v>42.932885933897005</v>
      </c>
      <c r="K9" s="107">
        <f t="shared" si="1"/>
        <v>44.650201371252884</v>
      </c>
      <c r="L9" s="107">
        <f t="shared" si="1"/>
        <v>47.226517990374177</v>
      </c>
      <c r="M9" s="107">
        <f t="shared" si="1"/>
        <v>50.296241659748496</v>
      </c>
      <c r="N9" s="107">
        <f t="shared" si="1"/>
        <v>53.565497367632148</v>
      </c>
      <c r="O9" s="107">
        <f t="shared" si="1"/>
        <v>56.779427209690077</v>
      </c>
      <c r="P9" s="107">
        <f t="shared" si="1"/>
        <v>59.618398570174584</v>
      </c>
      <c r="Q9" s="107">
        <f t="shared" si="1"/>
        <v>62.003134512981568</v>
      </c>
      <c r="R9" s="107">
        <f t="shared" si="1"/>
        <v>64.328252057218378</v>
      </c>
      <c r="S9" s="107">
        <f t="shared" si="1"/>
        <v>66.644069131278243</v>
      </c>
      <c r="T9" s="107">
        <f t="shared" si="1"/>
        <v>69.04325562000426</v>
      </c>
      <c r="U9" s="107">
        <f t="shared" si="1"/>
        <v>71.528812822324412</v>
      </c>
      <c r="V9" s="8"/>
      <c r="W9" s="8"/>
      <c r="X9" s="8"/>
      <c r="Y9" s="8"/>
      <c r="Z9" s="8"/>
      <c r="AA9" s="8"/>
      <c r="AB9" s="8"/>
    </row>
    <row r="10" spans="1:28" ht="13.8">
      <c r="A10" s="100" t="s">
        <v>12</v>
      </c>
      <c r="B10" s="85"/>
      <c r="C10" s="85"/>
      <c r="D10" s="108">
        <f>'Income Statement'!D8/AVERAGE(C8,D8)</f>
        <v>17.57840978593272</v>
      </c>
      <c r="E10" s="108">
        <f>'Income Statement'!E8/AVERAGE(D8,E8)</f>
        <v>14.036336206896552</v>
      </c>
      <c r="F10" s="108">
        <f>'Income Statement'!F8/AVERAGE(E8,F8)</f>
        <v>12.129531249999999</v>
      </c>
      <c r="G10" s="108">
        <f>'Income Statement'!G8/AVERAGE(F8,G8)</f>
        <v>11.592372304199772</v>
      </c>
      <c r="H10" s="108">
        <f>'Income Statement'!H8/AVERAGE(G8,H8)</f>
        <v>8.9786882300089843</v>
      </c>
      <c r="I10" s="108">
        <f>'Income Statement'!I8/AVERAGE(H8,I8)</f>
        <v>6.3811375864719446</v>
      </c>
      <c r="J10" s="109">
        <f t="shared" ref="J10:U10" si="2">I10*(1+J15)</f>
        <v>5.2371246865075607</v>
      </c>
      <c r="K10" s="109">
        <f t="shared" si="2"/>
        <v>4.2996793676227067</v>
      </c>
      <c r="L10" s="109">
        <f t="shared" si="2"/>
        <v>3.5300367608182421</v>
      </c>
      <c r="M10" s="109">
        <f t="shared" si="2"/>
        <v>2.8981601806317765</v>
      </c>
      <c r="N10" s="109">
        <f t="shared" si="2"/>
        <v>2.3793895082986882</v>
      </c>
      <c r="O10" s="109">
        <f t="shared" si="2"/>
        <v>1.953478786313223</v>
      </c>
      <c r="P10" s="109">
        <f t="shared" si="2"/>
        <v>1.603806083563156</v>
      </c>
      <c r="Q10" s="109">
        <f t="shared" si="2"/>
        <v>1.3167247946053511</v>
      </c>
      <c r="R10" s="109">
        <f t="shared" si="2"/>
        <v>1.0810310563709933</v>
      </c>
      <c r="S10" s="109">
        <f t="shared" si="2"/>
        <v>0.88752649728058541</v>
      </c>
      <c r="T10" s="109">
        <f t="shared" si="2"/>
        <v>0.72865925426736056</v>
      </c>
      <c r="U10" s="109">
        <f t="shared" si="2"/>
        <v>0.59822924775350295</v>
      </c>
      <c r="V10" s="8"/>
      <c r="W10" s="8"/>
      <c r="X10" s="8"/>
      <c r="Y10" s="8"/>
      <c r="Z10" s="8"/>
      <c r="AA10" s="8"/>
      <c r="AB10" s="8"/>
    </row>
    <row r="11" spans="1:28" ht="13.8">
      <c r="A11" s="100" t="s">
        <v>13</v>
      </c>
      <c r="B11" s="85"/>
      <c r="C11" s="85"/>
      <c r="D11" s="106">
        <f>'Income Statement'!D9/AVERAGE(C8,D8)</f>
        <v>31.361651376146789</v>
      </c>
      <c r="E11" s="106">
        <f>'Income Statement'!E9/AVERAGE(D8,E8)</f>
        <v>32.004568965517244</v>
      </c>
      <c r="F11" s="106">
        <f>'Income Statement'!F9/AVERAGE(E8,F8)</f>
        <v>35.278781250000002</v>
      </c>
      <c r="G11" s="106">
        <f>'Income Statement'!G9/AVERAGE(F8,G8)</f>
        <v>40.372031782065832</v>
      </c>
      <c r="H11" s="106">
        <f>'Income Statement'!H9/AVERAGE(G8,H8)</f>
        <v>49.678059299191375</v>
      </c>
      <c r="I11" s="106">
        <f>'Income Statement'!I9/AVERAGE(H8,I8)</f>
        <v>48.063551114527286</v>
      </c>
      <c r="J11" s="106">
        <f t="shared" ref="J11:U11" si="3">J9+J10</f>
        <v>48.170010620404568</v>
      </c>
      <c r="K11" s="106">
        <f t="shared" si="3"/>
        <v>48.949880738875592</v>
      </c>
      <c r="L11" s="106">
        <f t="shared" si="3"/>
        <v>50.756554751192418</v>
      </c>
      <c r="M11" s="106">
        <f t="shared" si="3"/>
        <v>53.194401840380273</v>
      </c>
      <c r="N11" s="106">
        <f t="shared" si="3"/>
        <v>55.944886875930834</v>
      </c>
      <c r="O11" s="106">
        <f t="shared" si="3"/>
        <v>58.732905996003296</v>
      </c>
      <c r="P11" s="106">
        <f t="shared" si="3"/>
        <v>61.222204653737741</v>
      </c>
      <c r="Q11" s="106">
        <f t="shared" si="3"/>
        <v>63.319859307586917</v>
      </c>
      <c r="R11" s="106">
        <f t="shared" si="3"/>
        <v>65.409283113589368</v>
      </c>
      <c r="S11" s="106">
        <f t="shared" si="3"/>
        <v>67.531595628558833</v>
      </c>
      <c r="T11" s="106">
        <f t="shared" si="3"/>
        <v>69.771914874271616</v>
      </c>
      <c r="U11" s="106">
        <f t="shared" si="3"/>
        <v>72.12704207007792</v>
      </c>
      <c r="V11" s="8"/>
      <c r="W11" s="8"/>
      <c r="X11" s="8"/>
      <c r="Y11" s="8"/>
      <c r="Z11" s="8"/>
      <c r="AA11" s="8"/>
      <c r="AB11" s="8"/>
    </row>
    <row r="12" spans="1:28" ht="13.8">
      <c r="A12" s="100"/>
      <c r="B12" s="85"/>
      <c r="C12" s="85"/>
      <c r="D12" s="85"/>
      <c r="E12" s="85"/>
      <c r="F12" s="85"/>
      <c r="G12" s="85"/>
      <c r="H12" s="85"/>
      <c r="I12" s="85"/>
      <c r="J12" s="85"/>
      <c r="K12" s="85"/>
      <c r="L12" s="85"/>
      <c r="M12" s="85"/>
      <c r="N12" s="85"/>
      <c r="O12" s="85"/>
      <c r="P12" s="85"/>
      <c r="Q12" s="85"/>
      <c r="R12" s="85"/>
      <c r="S12" s="85"/>
      <c r="T12" s="85"/>
      <c r="U12" s="85"/>
      <c r="V12" s="8"/>
      <c r="W12" s="8"/>
      <c r="X12" s="8"/>
      <c r="Y12" s="8"/>
      <c r="Z12" s="8"/>
      <c r="AA12" s="8"/>
      <c r="AB12" s="8"/>
    </row>
    <row r="13" spans="1:28" ht="13.8">
      <c r="A13" s="100" t="s">
        <v>14</v>
      </c>
      <c r="B13" s="85"/>
      <c r="C13" s="85"/>
      <c r="D13" s="110">
        <f t="shared" ref="D13:I13" si="4">(D8/C8)-1</f>
        <v>0.44029850746268662</v>
      </c>
      <c r="E13" s="110">
        <f t="shared" si="4"/>
        <v>0.40414507772020736</v>
      </c>
      <c r="F13" s="110">
        <f t="shared" si="4"/>
        <v>0.36162361623616235</v>
      </c>
      <c r="G13" s="110">
        <f t="shared" si="4"/>
        <v>0.38753387533875339</v>
      </c>
      <c r="H13" s="110">
        <f t="shared" si="4"/>
        <v>0.173828125</v>
      </c>
      <c r="I13" s="110">
        <f t="shared" si="4"/>
        <v>0.16472545757071555</v>
      </c>
      <c r="J13" s="111">
        <v>0.15</v>
      </c>
      <c r="K13" s="111">
        <v>0.13</v>
      </c>
      <c r="L13" s="111">
        <v>0.11</v>
      </c>
      <c r="M13" s="111">
        <v>0.09</v>
      </c>
      <c r="N13" s="111">
        <v>7.0000000000000007E-2</v>
      </c>
      <c r="O13" s="111">
        <v>0.05</v>
      </c>
      <c r="P13" s="111">
        <v>0.03</v>
      </c>
      <c r="Q13" s="111">
        <v>0.02</v>
      </c>
      <c r="R13" s="111">
        <v>1.4999999999999999E-2</v>
      </c>
      <c r="S13" s="111">
        <v>1.4999999999999999E-2</v>
      </c>
      <c r="T13" s="111">
        <v>1.4999999999999999E-2</v>
      </c>
      <c r="U13" s="111">
        <v>1.4999999999999999E-2</v>
      </c>
      <c r="V13" s="8"/>
      <c r="W13" s="8"/>
      <c r="X13" s="8"/>
      <c r="Y13" s="8"/>
      <c r="Z13" s="8"/>
      <c r="AA13" s="8"/>
      <c r="AB13" s="8"/>
    </row>
    <row r="14" spans="1:28" ht="13.8">
      <c r="A14" s="100" t="s">
        <v>15</v>
      </c>
      <c r="B14" s="85"/>
      <c r="C14" s="85"/>
      <c r="D14" s="110"/>
      <c r="E14" s="110">
        <f t="shared" ref="E14:I14" si="5">(E9/D9)-1</f>
        <v>0.30362894976591814</v>
      </c>
      <c r="F14" s="110">
        <f t="shared" si="5"/>
        <v>0.28834317269702514</v>
      </c>
      <c r="G14" s="110">
        <f t="shared" si="5"/>
        <v>0.24322211207127942</v>
      </c>
      <c r="H14" s="110">
        <f t="shared" si="5"/>
        <v>0.41417139075198484</v>
      </c>
      <c r="I14" s="110">
        <f t="shared" si="5"/>
        <v>2.4153750612065705E-2</v>
      </c>
      <c r="J14" s="111">
        <v>0.03</v>
      </c>
      <c r="K14" s="111">
        <v>0.04</v>
      </c>
      <c r="L14" s="111">
        <v>5.7700000000000001E-2</v>
      </c>
      <c r="M14" s="111">
        <v>6.5000000000000002E-2</v>
      </c>
      <c r="N14" s="111">
        <v>6.5000000000000002E-2</v>
      </c>
      <c r="O14" s="111">
        <v>0.06</v>
      </c>
      <c r="P14" s="111">
        <v>0.05</v>
      </c>
      <c r="Q14" s="111">
        <v>0.04</v>
      </c>
      <c r="R14" s="111">
        <v>3.7499999999999999E-2</v>
      </c>
      <c r="S14" s="111">
        <v>3.5999999999999997E-2</v>
      </c>
      <c r="T14" s="111">
        <v>3.5999999999999997E-2</v>
      </c>
      <c r="U14" s="111">
        <v>3.5999999999999997E-2</v>
      </c>
      <c r="V14" s="8"/>
      <c r="W14" s="8"/>
      <c r="X14" s="8"/>
      <c r="Y14" s="8"/>
      <c r="Z14" s="8"/>
      <c r="AA14" s="8"/>
      <c r="AB14" s="8"/>
    </row>
    <row r="15" spans="1:28" ht="13.8">
      <c r="A15" s="100" t="s">
        <v>16</v>
      </c>
      <c r="B15" s="85"/>
      <c r="C15" s="85"/>
      <c r="D15" s="110"/>
      <c r="E15" s="110">
        <f t="shared" ref="E15:I15" si="6">(E10/D10)-1</f>
        <v>-0.20150136571914168</v>
      </c>
      <c r="F15" s="110">
        <f t="shared" si="6"/>
        <v>-0.13584776887573202</v>
      </c>
      <c r="G15" s="110">
        <f t="shared" si="6"/>
        <v>-4.4285218837308959E-2</v>
      </c>
      <c r="H15" s="110">
        <f t="shared" si="6"/>
        <v>-0.22546584992304664</v>
      </c>
      <c r="I15" s="110">
        <f t="shared" si="6"/>
        <v>-0.28930179743354789</v>
      </c>
      <c r="J15" s="112">
        <f>AVERAGE(E15:I15)</f>
        <v>-0.17928040015775543</v>
      </c>
      <c r="K15" s="111">
        <v>-0.17899999999999999</v>
      </c>
      <c r="L15" s="111">
        <v>-0.17899999999999999</v>
      </c>
      <c r="M15" s="111">
        <v>-0.17899999999999999</v>
      </c>
      <c r="N15" s="111">
        <v>-0.17899999999999999</v>
      </c>
      <c r="O15" s="111">
        <v>-0.17899999999999999</v>
      </c>
      <c r="P15" s="111">
        <v>-0.17899999999999999</v>
      </c>
      <c r="Q15" s="111">
        <v>-0.17899999999999999</v>
      </c>
      <c r="R15" s="111">
        <v>-0.17899999999999999</v>
      </c>
      <c r="S15" s="111">
        <v>-0.17899999999999999</v>
      </c>
      <c r="T15" s="111">
        <v>-0.17899999999999999</v>
      </c>
      <c r="U15" s="111">
        <v>-0.17899999999999999</v>
      </c>
      <c r="V15" s="8"/>
      <c r="W15" s="8"/>
      <c r="X15" s="8"/>
      <c r="Y15" s="8"/>
      <c r="Z15" s="8"/>
      <c r="AA15" s="8"/>
      <c r="AB15" s="8"/>
    </row>
    <row r="16" spans="1:28" ht="13.8">
      <c r="A16" s="100" t="s">
        <v>17</v>
      </c>
      <c r="B16" s="85"/>
      <c r="C16" s="85"/>
      <c r="D16" s="110"/>
      <c r="E16" s="110">
        <f t="shared" ref="E16:U16" si="7">(E11/D11)-1</f>
        <v>2.0500119131464212E-2</v>
      </c>
      <c r="F16" s="110">
        <f t="shared" si="7"/>
        <v>0.10230452683210634</v>
      </c>
      <c r="G16" s="110">
        <f t="shared" si="7"/>
        <v>0.14437149900312463</v>
      </c>
      <c r="H16" s="110">
        <f t="shared" si="7"/>
        <v>0.23050679161655396</v>
      </c>
      <c r="I16" s="110">
        <f t="shared" si="7"/>
        <v>-3.2499421423460628E-2</v>
      </c>
      <c r="J16" s="113">
        <f t="shared" si="7"/>
        <v>2.2149737880083897E-3</v>
      </c>
      <c r="K16" s="113">
        <f t="shared" si="7"/>
        <v>1.6189951142353998E-2</v>
      </c>
      <c r="L16" s="113">
        <f t="shared" si="7"/>
        <v>3.69086499302127E-2</v>
      </c>
      <c r="M16" s="113">
        <f t="shared" si="7"/>
        <v>4.803019237885886E-2</v>
      </c>
      <c r="N16" s="113">
        <f t="shared" si="7"/>
        <v>5.170628751130435E-2</v>
      </c>
      <c r="O16" s="113">
        <f t="shared" si="7"/>
        <v>4.9835101575153029E-2</v>
      </c>
      <c r="P16" s="113">
        <f t="shared" si="7"/>
        <v>4.2383372923925133E-2</v>
      </c>
      <c r="Q16" s="113">
        <f t="shared" si="7"/>
        <v>3.4262971510306661E-2</v>
      </c>
      <c r="R16" s="113">
        <f t="shared" si="7"/>
        <v>3.2997922434614413E-2</v>
      </c>
      <c r="S16" s="113">
        <f t="shared" si="7"/>
        <v>3.244665610053965E-2</v>
      </c>
      <c r="T16" s="113">
        <f t="shared" si="7"/>
        <v>3.317438637219694E-2</v>
      </c>
      <c r="U16" s="113">
        <f t="shared" si="7"/>
        <v>3.3754659020756694E-2</v>
      </c>
      <c r="V16" s="8"/>
      <c r="W16" s="8"/>
      <c r="X16" s="8"/>
      <c r="Y16" s="8"/>
      <c r="Z16" s="8"/>
      <c r="AA16" s="8"/>
      <c r="AB16" s="8"/>
    </row>
    <row r="17" spans="1:28" ht="13.8">
      <c r="A17" s="100"/>
      <c r="B17" s="85"/>
      <c r="C17" s="85"/>
      <c r="D17" s="85"/>
      <c r="E17" s="85"/>
      <c r="F17" s="85"/>
      <c r="G17" s="85"/>
      <c r="H17" s="85"/>
      <c r="I17" s="85"/>
      <c r="J17" s="85"/>
      <c r="K17" s="85"/>
      <c r="L17" s="85"/>
      <c r="M17" s="85"/>
      <c r="N17" s="85"/>
      <c r="O17" s="85"/>
      <c r="P17" s="85"/>
      <c r="Q17" s="85"/>
      <c r="R17" s="85"/>
      <c r="S17" s="85"/>
      <c r="T17" s="85"/>
      <c r="U17" s="85"/>
      <c r="V17" s="8"/>
      <c r="W17" s="8"/>
      <c r="X17" s="8"/>
      <c r="Y17" s="8"/>
      <c r="Z17" s="8"/>
      <c r="AA17" s="8"/>
      <c r="AB17" s="8"/>
    </row>
    <row r="18" spans="1:28" ht="13.8">
      <c r="A18" s="103" t="s">
        <v>18</v>
      </c>
      <c r="B18" s="85"/>
      <c r="C18" s="85"/>
      <c r="D18" s="85"/>
      <c r="E18" s="85"/>
      <c r="F18" s="85"/>
      <c r="G18" s="85"/>
      <c r="H18" s="85"/>
      <c r="I18" s="85"/>
      <c r="J18" s="85"/>
      <c r="K18" s="85"/>
      <c r="L18" s="85"/>
      <c r="M18" s="85"/>
      <c r="N18" s="85"/>
      <c r="O18" s="85"/>
      <c r="P18" s="85"/>
      <c r="Q18" s="85"/>
      <c r="R18" s="85"/>
      <c r="S18" s="85"/>
      <c r="T18" s="85"/>
      <c r="U18" s="85"/>
      <c r="V18" s="8"/>
      <c r="W18" s="8"/>
      <c r="X18" s="8"/>
      <c r="Y18" s="8"/>
      <c r="Z18" s="8"/>
      <c r="AA18" s="8"/>
      <c r="AB18" s="8"/>
    </row>
    <row r="19" spans="1:28" ht="13.8">
      <c r="A19" s="100" t="s">
        <v>19</v>
      </c>
      <c r="B19" s="85"/>
      <c r="C19" s="114">
        <f>'Income Statement'!C7</f>
        <v>104720</v>
      </c>
      <c r="D19" s="114">
        <f>'Income Statement'!D7</f>
        <v>225356</v>
      </c>
      <c r="E19" s="114">
        <f>'Income Statement'!E7</f>
        <v>416863</v>
      </c>
      <c r="F19" s="114">
        <f>'Income Statement'!F7</f>
        <v>740776</v>
      </c>
      <c r="G19" s="114">
        <f>'Income Statement'!G7</f>
        <v>1267744</v>
      </c>
      <c r="H19" s="114">
        <f>'Income Statement'!H7</f>
        <v>2264920</v>
      </c>
      <c r="I19" s="114">
        <f>'Income Statement'!I7</f>
        <v>2711441</v>
      </c>
      <c r="J19" s="115">
        <f t="shared" ref="J19:U19" si="8">J8*J9</f>
        <v>3456097.317678709</v>
      </c>
      <c r="K19" s="115">
        <f t="shared" si="8"/>
        <v>4061605.567736018</v>
      </c>
      <c r="L19" s="115">
        <f t="shared" si="8"/>
        <v>4768515.8319837693</v>
      </c>
      <c r="M19" s="115">
        <f t="shared" si="8"/>
        <v>5535531.6035583587</v>
      </c>
      <c r="N19" s="115">
        <f t="shared" si="8"/>
        <v>6308015.0388349276</v>
      </c>
      <c r="O19" s="115">
        <f t="shared" si="8"/>
        <v>7020820.7382232752</v>
      </c>
      <c r="P19" s="115">
        <f t="shared" si="8"/>
        <v>7593017.6283884719</v>
      </c>
      <c r="Q19" s="115">
        <f t="shared" si="8"/>
        <v>8054673.1001944914</v>
      </c>
      <c r="R19" s="115">
        <f t="shared" si="8"/>
        <v>8482074.1915735621</v>
      </c>
      <c r="S19" s="115">
        <f t="shared" si="8"/>
        <v>8919240.2954072617</v>
      </c>
      <c r="T19" s="115">
        <f t="shared" si="8"/>
        <v>9378937.9402325526</v>
      </c>
      <c r="U19" s="115">
        <f t="shared" si="8"/>
        <v>9862328.4016721379</v>
      </c>
      <c r="V19" s="8"/>
      <c r="W19" s="8"/>
      <c r="X19" s="8"/>
      <c r="Y19" s="8"/>
      <c r="Z19" s="8"/>
      <c r="AA19" s="8"/>
      <c r="AB19" s="8"/>
    </row>
    <row r="20" spans="1:28" ht="13.8">
      <c r="A20" s="116" t="s">
        <v>20</v>
      </c>
      <c r="B20" s="85"/>
      <c r="C20" s="85"/>
      <c r="D20" s="110">
        <f t="shared" ref="D20:U20" si="9">((D19/C19)-1)</f>
        <v>1.1519862490450725</v>
      </c>
      <c r="E20" s="110">
        <f t="shared" si="9"/>
        <v>0.8497976534904772</v>
      </c>
      <c r="F20" s="110">
        <f t="shared" si="9"/>
        <v>0.77702506578900032</v>
      </c>
      <c r="G20" s="110">
        <f t="shared" si="9"/>
        <v>0.71137293864812046</v>
      </c>
      <c r="H20" s="110">
        <f t="shared" si="9"/>
        <v>0.78657520761289335</v>
      </c>
      <c r="I20" s="110">
        <f t="shared" si="9"/>
        <v>0.19714647757978199</v>
      </c>
      <c r="J20" s="110">
        <f t="shared" si="9"/>
        <v>0.27463489623366644</v>
      </c>
      <c r="K20" s="110">
        <f t="shared" si="9"/>
        <v>0.1751999999999998</v>
      </c>
      <c r="L20" s="110">
        <f t="shared" si="9"/>
        <v>0.17404700000000006</v>
      </c>
      <c r="M20" s="110">
        <f t="shared" si="9"/>
        <v>0.16084999999999994</v>
      </c>
      <c r="N20" s="110">
        <f t="shared" si="9"/>
        <v>0.13955000000000006</v>
      </c>
      <c r="O20" s="110">
        <f t="shared" si="9"/>
        <v>0.11300000000000021</v>
      </c>
      <c r="P20" s="110">
        <f t="shared" si="9"/>
        <v>8.1499999999999906E-2</v>
      </c>
      <c r="Q20" s="110">
        <f t="shared" si="9"/>
        <v>6.0799999999999965E-2</v>
      </c>
      <c r="R20" s="110">
        <f t="shared" si="9"/>
        <v>5.3062500000000012E-2</v>
      </c>
      <c r="S20" s="110">
        <f t="shared" si="9"/>
        <v>5.1539999999999697E-2</v>
      </c>
      <c r="T20" s="110">
        <f t="shared" si="9"/>
        <v>5.1540000000000141E-2</v>
      </c>
      <c r="U20" s="110">
        <f t="shared" si="9"/>
        <v>5.1539999999999919E-2</v>
      </c>
      <c r="V20" s="8"/>
      <c r="W20" s="8"/>
      <c r="X20" s="8"/>
      <c r="Y20" s="8"/>
      <c r="Z20" s="8"/>
      <c r="AA20" s="8"/>
      <c r="AB20" s="8"/>
    </row>
    <row r="21" spans="1:28" ht="13.8">
      <c r="A21" s="116" t="s">
        <v>453</v>
      </c>
      <c r="B21" s="85"/>
      <c r="C21" s="114">
        <f>'Income Statement'!C8</f>
        <v>293929</v>
      </c>
      <c r="D21" s="114">
        <f>'Income Statement'!D8</f>
        <v>287407</v>
      </c>
      <c r="E21" s="114">
        <f>'Income Statement'!E8</f>
        <v>325643</v>
      </c>
      <c r="F21" s="114">
        <f>'Income Statement'!F8</f>
        <v>388145</v>
      </c>
      <c r="G21" s="114">
        <f>'Income Statement'!G8</f>
        <v>510644</v>
      </c>
      <c r="H21" s="114">
        <f>'Income Statement'!H8</f>
        <v>499664</v>
      </c>
      <c r="I21" s="114">
        <f>'Income Statement'!I8</f>
        <v>415093</v>
      </c>
      <c r="J21" s="115">
        <f t="shared" ref="J21:U21" si="10">J8*J10</f>
        <v>421588.53726385866</v>
      </c>
      <c r="K21" s="115">
        <f t="shared" si="10"/>
        <v>391120.33367579948</v>
      </c>
      <c r="L21" s="115">
        <f t="shared" si="10"/>
        <v>356431.87128209282</v>
      </c>
      <c r="M21" s="115">
        <f t="shared" si="10"/>
        <v>318967.317291632</v>
      </c>
      <c r="N21" s="115">
        <f t="shared" si="10"/>
        <v>280203.21922117996</v>
      </c>
      <c r="O21" s="115">
        <f t="shared" si="10"/>
        <v>241549.18512961821</v>
      </c>
      <c r="P21" s="115">
        <f t="shared" si="10"/>
        <v>204261.23742115902</v>
      </c>
      <c r="Q21" s="115">
        <f t="shared" si="10"/>
        <v>171052.445441227</v>
      </c>
      <c r="R21" s="115">
        <f t="shared" si="10"/>
        <v>142540.56857285608</v>
      </c>
      <c r="S21" s="115">
        <f t="shared" si="10"/>
        <v>118781.19390028954</v>
      </c>
      <c r="T21" s="115">
        <f t="shared" si="10"/>
        <v>98982.150595019761</v>
      </c>
      <c r="U21" s="115">
        <f t="shared" si="10"/>
        <v>82483.310823088876</v>
      </c>
      <c r="V21" s="8"/>
      <c r="W21" s="8"/>
      <c r="X21" s="8"/>
      <c r="Y21" s="8"/>
      <c r="Z21" s="8"/>
      <c r="AA21" s="8"/>
      <c r="AB21" s="8"/>
    </row>
    <row r="22" spans="1:28" ht="13.8">
      <c r="A22" s="116" t="s">
        <v>20</v>
      </c>
      <c r="B22" s="85"/>
      <c r="C22" s="117"/>
      <c r="D22" s="118">
        <f t="shared" ref="D22:U22" si="11">(D21/C21)-1</f>
        <v>-2.2189032045153767E-2</v>
      </c>
      <c r="E22" s="118">
        <f t="shared" si="11"/>
        <v>0.13303781745051446</v>
      </c>
      <c r="F22" s="118">
        <f t="shared" si="11"/>
        <v>0.19193411189554199</v>
      </c>
      <c r="G22" s="118">
        <f t="shared" si="11"/>
        <v>0.31560112844426702</v>
      </c>
      <c r="H22" s="118">
        <f t="shared" si="11"/>
        <v>-2.1502259891431175E-2</v>
      </c>
      <c r="I22" s="118">
        <f t="shared" si="11"/>
        <v>-0.16925573985718401</v>
      </c>
      <c r="J22" s="118">
        <f t="shared" si="11"/>
        <v>1.5648390273646173E-2</v>
      </c>
      <c r="K22" s="118">
        <f t="shared" si="11"/>
        <v>-7.2270000000000278E-2</v>
      </c>
      <c r="L22" s="118">
        <f t="shared" si="11"/>
        <v>-8.8690000000000047E-2</v>
      </c>
      <c r="M22" s="118">
        <f t="shared" si="11"/>
        <v>-0.10511000000000015</v>
      </c>
      <c r="N22" s="118">
        <f t="shared" si="11"/>
        <v>-0.12153000000000003</v>
      </c>
      <c r="O22" s="118">
        <f t="shared" si="11"/>
        <v>-0.13794999999999991</v>
      </c>
      <c r="P22" s="118">
        <f t="shared" si="11"/>
        <v>-0.15437000000000012</v>
      </c>
      <c r="Q22" s="118">
        <f t="shared" si="11"/>
        <v>-0.16257999999999995</v>
      </c>
      <c r="R22" s="118">
        <f t="shared" si="11"/>
        <v>-0.16668499999999997</v>
      </c>
      <c r="S22" s="118">
        <f t="shared" si="11"/>
        <v>-0.16668500000000019</v>
      </c>
      <c r="T22" s="118">
        <f t="shared" si="11"/>
        <v>-0.16668500000000008</v>
      </c>
      <c r="U22" s="118">
        <f t="shared" si="11"/>
        <v>-0.16668500000000019</v>
      </c>
      <c r="V22" s="8"/>
      <c r="W22" s="8"/>
      <c r="X22" s="8"/>
      <c r="Y22" s="8"/>
      <c r="Z22" s="8"/>
      <c r="AA22" s="8"/>
      <c r="AB22" s="8"/>
    </row>
    <row r="23" spans="1:28" ht="13.8">
      <c r="A23" s="100" t="s">
        <v>21</v>
      </c>
      <c r="B23" s="85"/>
      <c r="C23" s="119">
        <f>'Income Statement'!C9</f>
        <v>398649</v>
      </c>
      <c r="D23" s="119">
        <f>'Income Statement'!D9</f>
        <v>512763</v>
      </c>
      <c r="E23" s="119">
        <f>'Income Statement'!E9</f>
        <v>742506</v>
      </c>
      <c r="F23" s="119">
        <f>'Income Statement'!F9</f>
        <v>1128921</v>
      </c>
      <c r="G23" s="119">
        <f>'Income Statement'!G9</f>
        <v>1778388</v>
      </c>
      <c r="H23" s="119">
        <f>'Income Statement'!H9</f>
        <v>2764584</v>
      </c>
      <c r="I23" s="119">
        <f>'Income Statement'!I9</f>
        <v>3126534</v>
      </c>
      <c r="J23" s="119">
        <f t="shared" ref="J23:U23" si="12">J19+J21</f>
        <v>3877685.8549425676</v>
      </c>
      <c r="K23" s="119">
        <f t="shared" si="12"/>
        <v>4452725.9014118174</v>
      </c>
      <c r="L23" s="119">
        <f t="shared" si="12"/>
        <v>5124947.7032658625</v>
      </c>
      <c r="M23" s="119">
        <f t="shared" si="12"/>
        <v>5854498.920849991</v>
      </c>
      <c r="N23" s="119">
        <f t="shared" si="12"/>
        <v>6588218.2580561079</v>
      </c>
      <c r="O23" s="119">
        <f t="shared" si="12"/>
        <v>7262369.9233528934</v>
      </c>
      <c r="P23" s="119">
        <f t="shared" si="12"/>
        <v>7797278.8658096306</v>
      </c>
      <c r="Q23" s="119">
        <f t="shared" si="12"/>
        <v>8225725.5456357189</v>
      </c>
      <c r="R23" s="119">
        <f t="shared" si="12"/>
        <v>8624614.7601464186</v>
      </c>
      <c r="S23" s="119">
        <f t="shared" si="12"/>
        <v>9038021.4893075507</v>
      </c>
      <c r="T23" s="119">
        <f t="shared" si="12"/>
        <v>9477920.0908275731</v>
      </c>
      <c r="U23" s="119">
        <f t="shared" si="12"/>
        <v>9944811.7124952264</v>
      </c>
      <c r="V23" s="8"/>
      <c r="W23" s="8"/>
      <c r="X23" s="8"/>
      <c r="Y23" s="8"/>
      <c r="Z23" s="8"/>
      <c r="AA23" s="8"/>
      <c r="AB23" s="8"/>
    </row>
    <row r="24" spans="1:28" ht="13.8">
      <c r="A24" s="116" t="s">
        <v>20</v>
      </c>
      <c r="B24" s="85"/>
      <c r="C24" s="85"/>
      <c r="D24" s="110">
        <f t="shared" ref="D24:U24" si="13">(D23/C23)-1</f>
        <v>0.28625181550687451</v>
      </c>
      <c r="E24" s="110">
        <f t="shared" si="13"/>
        <v>0.44804909870641985</v>
      </c>
      <c r="F24" s="110">
        <f t="shared" si="13"/>
        <v>0.52042003700980199</v>
      </c>
      <c r="G24" s="110">
        <f t="shared" si="13"/>
        <v>0.57529889159648895</v>
      </c>
      <c r="H24" s="110">
        <f t="shared" si="13"/>
        <v>0.55454490246222976</v>
      </c>
      <c r="I24" s="110">
        <f t="shared" si="13"/>
        <v>0.13092385689854247</v>
      </c>
      <c r="J24" s="110">
        <f t="shared" si="13"/>
        <v>0.24025065933796586</v>
      </c>
      <c r="K24" s="110">
        <f t="shared" si="13"/>
        <v>0.14829464479085974</v>
      </c>
      <c r="L24" s="110">
        <f t="shared" si="13"/>
        <v>0.15096860142253643</v>
      </c>
      <c r="M24" s="110">
        <f t="shared" si="13"/>
        <v>0.14235290969295611</v>
      </c>
      <c r="N24" s="110">
        <f t="shared" si="13"/>
        <v>0.12532572763709582</v>
      </c>
      <c r="O24" s="110">
        <f t="shared" si="13"/>
        <v>0.10232685665391084</v>
      </c>
      <c r="P24" s="110">
        <f t="shared" si="13"/>
        <v>7.3654874111642732E-2</v>
      </c>
      <c r="Q24" s="110">
        <f t="shared" si="13"/>
        <v>5.4948230940512932E-2</v>
      </c>
      <c r="R24" s="110">
        <f t="shared" si="13"/>
        <v>4.8492891271133765E-2</v>
      </c>
      <c r="S24" s="110">
        <f t="shared" si="13"/>
        <v>4.7933355942047173E-2</v>
      </c>
      <c r="T24" s="110">
        <f t="shared" si="13"/>
        <v>4.8672002167780226E-2</v>
      </c>
      <c r="U24" s="110">
        <f t="shared" si="13"/>
        <v>4.9260978906067843E-2</v>
      </c>
      <c r="V24" s="8"/>
      <c r="W24" s="8"/>
      <c r="X24" s="8"/>
      <c r="Y24" s="8"/>
      <c r="Z24" s="8"/>
      <c r="AA24" s="8"/>
      <c r="AB24" s="8"/>
    </row>
    <row r="25" spans="1:28" ht="13.8">
      <c r="A25" s="116"/>
      <c r="B25" s="85"/>
      <c r="C25" s="85"/>
      <c r="D25" s="85"/>
      <c r="E25" s="85"/>
      <c r="F25" s="85"/>
      <c r="G25" s="85"/>
      <c r="H25" s="85"/>
      <c r="I25" s="85"/>
      <c r="J25" s="85"/>
      <c r="K25" s="85"/>
      <c r="L25" s="85"/>
      <c r="M25" s="85"/>
      <c r="N25" s="85"/>
      <c r="O25" s="85"/>
      <c r="P25" s="85"/>
      <c r="Q25" s="85"/>
      <c r="R25" s="85"/>
      <c r="S25" s="85"/>
      <c r="T25" s="85"/>
      <c r="U25" s="85"/>
      <c r="V25" s="8"/>
      <c r="W25" s="8"/>
      <c r="X25" s="8"/>
      <c r="Y25" s="8"/>
      <c r="Z25" s="8"/>
      <c r="AA25" s="8"/>
      <c r="AB25" s="8"/>
    </row>
    <row r="26" spans="1:28" ht="13.8">
      <c r="A26" s="103" t="s">
        <v>22</v>
      </c>
      <c r="B26" s="85"/>
      <c r="C26" s="85"/>
      <c r="D26" s="85"/>
      <c r="E26" s="85"/>
      <c r="F26" s="85"/>
      <c r="G26" s="85"/>
      <c r="H26" s="85"/>
      <c r="I26" s="85"/>
      <c r="J26" s="85"/>
      <c r="K26" s="85"/>
      <c r="L26" s="85"/>
      <c r="M26" s="85"/>
      <c r="N26" s="85"/>
      <c r="O26" s="85"/>
      <c r="P26" s="85"/>
      <c r="Q26" s="85"/>
      <c r="R26" s="85"/>
      <c r="S26" s="85"/>
      <c r="T26" s="85"/>
      <c r="U26" s="85"/>
      <c r="V26" s="8"/>
      <c r="W26" s="8"/>
      <c r="X26" s="8"/>
      <c r="Y26" s="8"/>
      <c r="Z26" s="8"/>
      <c r="AA26" s="8"/>
      <c r="AB26" s="8"/>
    </row>
    <row r="27" spans="1:28" ht="13.8">
      <c r="A27" s="120" t="s">
        <v>23</v>
      </c>
      <c r="B27" s="85"/>
      <c r="C27" s="114">
        <f>'Income Statement'!C13</f>
        <v>27783</v>
      </c>
      <c r="D27" s="114">
        <f>'Income Statement'!D13</f>
        <v>54826</v>
      </c>
      <c r="E27" s="114">
        <f>'Income Statement'!E13</f>
        <v>120543</v>
      </c>
      <c r="F27" s="114">
        <f>'Income Statement'!F13</f>
        <v>262655</v>
      </c>
      <c r="G27" s="114">
        <f>'Income Statement'!G13</f>
        <v>503177</v>
      </c>
      <c r="H27" s="114">
        <f>'Income Statement'!H13</f>
        <v>818506</v>
      </c>
      <c r="I27" s="114">
        <f>'Income Statement'!I13</f>
        <v>1179675</v>
      </c>
      <c r="J27" s="115">
        <f t="shared" ref="J27:U27" si="14">J19-J35</f>
        <v>1634986.6192862417</v>
      </c>
      <c r="K27" s="115">
        <f t="shared" si="14"/>
        <v>1807711.3190885819</v>
      </c>
      <c r="L27" s="115">
        <f t="shared" si="14"/>
        <v>2026967.7344023176</v>
      </c>
      <c r="M27" s="115">
        <f t="shared" si="14"/>
        <v>2242294.862409763</v>
      </c>
      <c r="N27" s="115">
        <f t="shared" si="14"/>
        <v>2429046.8096823464</v>
      </c>
      <c r="O27" s="115">
        <f t="shared" si="14"/>
        <v>2563112.6844119867</v>
      </c>
      <c r="P27" s="115">
        <f t="shared" si="14"/>
        <v>2696076.1919076787</v>
      </c>
      <c r="Q27" s="115">
        <f t="shared" si="14"/>
        <v>2779450.8933737203</v>
      </c>
      <c r="R27" s="115">
        <f t="shared" si="14"/>
        <v>2808186.4677213337</v>
      </c>
      <c r="S27" s="115">
        <f t="shared" si="14"/>
        <v>2952920.398267691</v>
      </c>
      <c r="T27" s="115">
        <f t="shared" si="14"/>
        <v>3105113.9155944074</v>
      </c>
      <c r="U27" s="115">
        <f t="shared" si="14"/>
        <v>3265151.4868041435</v>
      </c>
      <c r="V27" s="8"/>
      <c r="W27" s="8"/>
      <c r="X27" s="8"/>
      <c r="Y27" s="8"/>
      <c r="Z27" s="8"/>
      <c r="AA27" s="8"/>
      <c r="AB27" s="8"/>
    </row>
    <row r="28" spans="1:28" ht="13.8">
      <c r="A28" s="121" t="s">
        <v>24</v>
      </c>
      <c r="B28" s="85"/>
      <c r="C28" s="110">
        <f>C27/'Income Statement'!C7</f>
        <v>0.26530748663101605</v>
      </c>
      <c r="D28" s="110">
        <f>D27/'Income Statement'!D7</f>
        <v>0.24328617831342408</v>
      </c>
      <c r="E28" s="110">
        <f>E27/'Income Statement'!E7</f>
        <v>0.28916694453573477</v>
      </c>
      <c r="F28" s="110">
        <f>F27/'Income Statement'!F7</f>
        <v>0.35456737259306459</v>
      </c>
      <c r="G28" s="110">
        <f>G27/'Income Statement'!G7</f>
        <v>0.39690741979453265</v>
      </c>
      <c r="H28" s="110">
        <f>H27/'Income Statement'!H7</f>
        <v>0.36138406654539673</v>
      </c>
      <c r="I28" s="110">
        <f>I27/'Income Statement'!I7</f>
        <v>0.43507308475456408</v>
      </c>
      <c r="J28" s="110">
        <f t="shared" ref="J28:U28" si="15">J27/J19</f>
        <v>0.47307308475456417</v>
      </c>
      <c r="K28" s="110">
        <f t="shared" si="15"/>
        <v>0.44507308475456403</v>
      </c>
      <c r="L28" s="110">
        <f t="shared" si="15"/>
        <v>0.42507308475456412</v>
      </c>
      <c r="M28" s="110">
        <f t="shared" si="15"/>
        <v>0.40507308475456405</v>
      </c>
      <c r="N28" s="110">
        <f t="shared" si="15"/>
        <v>0.38507308475456398</v>
      </c>
      <c r="O28" s="110">
        <f t="shared" si="15"/>
        <v>0.36507308475456407</v>
      </c>
      <c r="P28" s="110">
        <f t="shared" si="15"/>
        <v>0.35507308475456406</v>
      </c>
      <c r="Q28" s="110">
        <f t="shared" si="15"/>
        <v>0.345073084754564</v>
      </c>
      <c r="R28" s="110">
        <f t="shared" si="15"/>
        <v>0.33107308475456398</v>
      </c>
      <c r="S28" s="110">
        <f t="shared" si="15"/>
        <v>0.33107308475456404</v>
      </c>
      <c r="T28" s="110">
        <f t="shared" si="15"/>
        <v>0.33107308475456393</v>
      </c>
      <c r="U28" s="110">
        <f t="shared" si="15"/>
        <v>0.33107308475456398</v>
      </c>
      <c r="V28" s="8"/>
      <c r="W28" s="8"/>
      <c r="X28" s="8"/>
      <c r="Y28" s="8"/>
      <c r="Z28" s="8"/>
      <c r="AA28" s="8"/>
      <c r="AB28" s="8"/>
    </row>
    <row r="29" spans="1:28" ht="13.8">
      <c r="A29" s="120" t="s">
        <v>25</v>
      </c>
      <c r="B29" s="85"/>
      <c r="C29" s="114">
        <f>'Income Statement'!C14</f>
        <v>249821</v>
      </c>
      <c r="D29" s="114">
        <f>'Income Statement'!D14</f>
        <v>258104</v>
      </c>
      <c r="E29" s="114">
        <f>'Income Statement'!E14</f>
        <v>289815</v>
      </c>
      <c r="F29" s="114">
        <f>'Income Statement'!F14</f>
        <v>371042</v>
      </c>
      <c r="G29" s="114">
        <f>'Income Statement'!G14</f>
        <v>466992</v>
      </c>
      <c r="H29" s="114">
        <f>'Income Statement'!H14</f>
        <v>537478</v>
      </c>
      <c r="I29" s="114">
        <f>'Income Statement'!I14</f>
        <v>505737</v>
      </c>
      <c r="J29" s="115">
        <f t="shared" ref="J29:U29" si="16">J21-J37</f>
        <v>421588.53726385866</v>
      </c>
      <c r="K29" s="115">
        <f t="shared" si="16"/>
        <v>387209.13033904147</v>
      </c>
      <c r="L29" s="115">
        <f t="shared" si="16"/>
        <v>349303.23385645094</v>
      </c>
      <c r="M29" s="115">
        <f t="shared" si="16"/>
        <v>309398.29777288303</v>
      </c>
      <c r="N29" s="115">
        <f t="shared" si="16"/>
        <v>270396.10654843866</v>
      </c>
      <c r="O29" s="115">
        <f t="shared" si="16"/>
        <v>231887.21772443349</v>
      </c>
      <c r="P29" s="115">
        <f t="shared" si="16"/>
        <v>195069.48173720686</v>
      </c>
      <c r="Q29" s="115">
        <f t="shared" si="16"/>
        <v>162499.82316916564</v>
      </c>
      <c r="R29" s="115">
        <f t="shared" si="16"/>
        <v>135413.54014421327</v>
      </c>
      <c r="S29" s="115">
        <f t="shared" si="16"/>
        <v>112842.13420527506</v>
      </c>
      <c r="T29" s="115">
        <f t="shared" si="16"/>
        <v>94033.043065268779</v>
      </c>
      <c r="U29" s="115">
        <f t="shared" si="16"/>
        <v>78359.145281934427</v>
      </c>
      <c r="V29" s="8"/>
      <c r="W29" s="8"/>
      <c r="X29" s="8"/>
      <c r="Y29" s="8"/>
      <c r="Z29" s="8"/>
      <c r="AA29" s="8"/>
      <c r="AB29" s="8"/>
    </row>
    <row r="30" spans="1:28" ht="13.8">
      <c r="A30" s="121" t="s">
        <v>26</v>
      </c>
      <c r="B30" s="85"/>
      <c r="C30" s="118">
        <f>C29/'Income Statement'!C8</f>
        <v>0.84993654930272278</v>
      </c>
      <c r="D30" s="118">
        <f>D29/'Income Statement'!D8</f>
        <v>0.89804354104110196</v>
      </c>
      <c r="E30" s="118">
        <f>E29/'Income Statement'!E8</f>
        <v>0.88997767493850632</v>
      </c>
      <c r="F30" s="118">
        <f>F29/'Income Statement'!F8</f>
        <v>0.9559365700962269</v>
      </c>
      <c r="G30" s="118">
        <f>G29/'Income Statement'!G8</f>
        <v>0.91451578790703503</v>
      </c>
      <c r="H30" s="118">
        <f>H29/'Income Statement'!H8</f>
        <v>1.0756788561913606</v>
      </c>
      <c r="I30" s="118">
        <f>I29/'Income Statement'!I8</f>
        <v>1.2183703411042826</v>
      </c>
      <c r="J30" s="118">
        <f t="shared" ref="J30:U30" si="17">J29/J21</f>
        <v>1</v>
      </c>
      <c r="K30" s="118">
        <f t="shared" si="17"/>
        <v>0.99</v>
      </c>
      <c r="L30" s="118">
        <f t="shared" si="17"/>
        <v>0.98</v>
      </c>
      <c r="M30" s="118">
        <f t="shared" si="17"/>
        <v>0.97</v>
      </c>
      <c r="N30" s="118">
        <f t="shared" si="17"/>
        <v>0.96499999999999997</v>
      </c>
      <c r="O30" s="118">
        <f t="shared" si="17"/>
        <v>0.96</v>
      </c>
      <c r="P30" s="118">
        <f t="shared" si="17"/>
        <v>0.95499999999999996</v>
      </c>
      <c r="Q30" s="118">
        <f t="shared" si="17"/>
        <v>0.95</v>
      </c>
      <c r="R30" s="118">
        <f t="shared" si="17"/>
        <v>0.95</v>
      </c>
      <c r="S30" s="118">
        <f t="shared" si="17"/>
        <v>0.95</v>
      </c>
      <c r="T30" s="118">
        <f t="shared" si="17"/>
        <v>0.95000000000000007</v>
      </c>
      <c r="U30" s="118">
        <f t="shared" si="17"/>
        <v>0.95</v>
      </c>
      <c r="V30" s="8"/>
      <c r="W30" s="8"/>
      <c r="X30" s="8"/>
      <c r="Y30" s="8"/>
      <c r="Z30" s="8"/>
      <c r="AA30" s="8"/>
      <c r="AB30" s="8"/>
    </row>
    <row r="31" spans="1:28" ht="13.8">
      <c r="A31" s="120" t="s">
        <v>27</v>
      </c>
      <c r="B31" s="85"/>
      <c r="C31" s="119">
        <f>'Income Statement'!C15:G15</f>
        <v>277604</v>
      </c>
      <c r="D31" s="119">
        <f>'Income Statement'!D15:H15</f>
        <v>312930</v>
      </c>
      <c r="E31" s="119">
        <f>'Income Statement'!E15:I15</f>
        <v>410358</v>
      </c>
      <c r="F31" s="119">
        <f>'Income Statement'!F15:J15</f>
        <v>633697</v>
      </c>
      <c r="G31" s="119">
        <f>'Income Statement'!G15:K15</f>
        <v>970169</v>
      </c>
      <c r="H31" s="119">
        <f>'Income Statement'!H15:L15</f>
        <v>1355984</v>
      </c>
      <c r="I31" s="119">
        <f>'Income Statement'!I15:M15</f>
        <v>1685412</v>
      </c>
      <c r="J31" s="119">
        <f t="shared" ref="J31:U31" si="18">J27+J29</f>
        <v>2056575.1565501003</v>
      </c>
      <c r="K31" s="119">
        <f t="shared" si="18"/>
        <v>2194920.4494276233</v>
      </c>
      <c r="L31" s="119">
        <f t="shared" si="18"/>
        <v>2376270.9682587683</v>
      </c>
      <c r="M31" s="119">
        <f t="shared" si="18"/>
        <v>2551693.160182646</v>
      </c>
      <c r="N31" s="119">
        <f t="shared" si="18"/>
        <v>2699442.9162307852</v>
      </c>
      <c r="O31" s="119">
        <f t="shared" si="18"/>
        <v>2794999.9021364204</v>
      </c>
      <c r="P31" s="119">
        <f t="shared" si="18"/>
        <v>2891145.6736448854</v>
      </c>
      <c r="Q31" s="119">
        <f t="shared" si="18"/>
        <v>2941950.7165428861</v>
      </c>
      <c r="R31" s="119">
        <f t="shared" si="18"/>
        <v>2943600.0078655472</v>
      </c>
      <c r="S31" s="119">
        <f t="shared" si="18"/>
        <v>3065762.5324729662</v>
      </c>
      <c r="T31" s="119">
        <f t="shared" si="18"/>
        <v>3199146.9586596759</v>
      </c>
      <c r="U31" s="119">
        <f t="shared" si="18"/>
        <v>3343510.6320860782</v>
      </c>
      <c r="V31" s="8"/>
      <c r="W31" s="8"/>
      <c r="X31" s="8"/>
      <c r="Y31" s="8"/>
      <c r="Z31" s="8"/>
      <c r="AA31" s="8"/>
      <c r="AB31" s="8"/>
    </row>
    <row r="32" spans="1:28" ht="13.8">
      <c r="A32" s="121" t="s">
        <v>28</v>
      </c>
      <c r="B32" s="85"/>
      <c r="C32" s="110">
        <f>C31/'Income Statement'!C9</f>
        <v>0.69636196252843985</v>
      </c>
      <c r="D32" s="110">
        <f>D31/'Income Statement'!D9</f>
        <v>0.6102819431199209</v>
      </c>
      <c r="E32" s="110">
        <f>E31/'Income Statement'!E9</f>
        <v>0.55266624108088014</v>
      </c>
      <c r="F32" s="110">
        <f>F31/'Income Statement'!F9</f>
        <v>0.56132980075665173</v>
      </c>
      <c r="G32" s="110">
        <f>G31/'Income Statement'!G9</f>
        <v>0.54553280836352924</v>
      </c>
      <c r="H32" s="110">
        <f>H31/'Income Statement'!H9</f>
        <v>0.49048392090817278</v>
      </c>
      <c r="I32" s="110">
        <f>I31/'Income Statement'!I9</f>
        <v>0.53906722268173002</v>
      </c>
      <c r="J32" s="110">
        <f t="shared" ref="J32:U32" si="19">J31/J23</f>
        <v>0.53036146647329696</v>
      </c>
      <c r="K32" s="110">
        <f t="shared" si="19"/>
        <v>0.492938594924894</v>
      </c>
      <c r="L32" s="110">
        <f t="shared" si="19"/>
        <v>0.46366735932631947</v>
      </c>
      <c r="M32" s="110">
        <f t="shared" si="19"/>
        <v>0.43585167487095139</v>
      </c>
      <c r="N32" s="110">
        <f t="shared" si="19"/>
        <v>0.40973793072654996</v>
      </c>
      <c r="O32" s="110">
        <f t="shared" si="19"/>
        <v>0.38486058017353431</v>
      </c>
      <c r="P32" s="110">
        <f t="shared" si="19"/>
        <v>0.37078905646459565</v>
      </c>
      <c r="Q32" s="110">
        <f t="shared" si="19"/>
        <v>0.35765242837499994</v>
      </c>
      <c r="R32" s="110">
        <f t="shared" si="19"/>
        <v>0.34130220186386323</v>
      </c>
      <c r="S32" s="110">
        <f t="shared" si="19"/>
        <v>0.33920726301657089</v>
      </c>
      <c r="T32" s="110">
        <f t="shared" si="19"/>
        <v>0.33753681482878378</v>
      </c>
      <c r="U32" s="110">
        <f t="shared" si="19"/>
        <v>0.33620652946954255</v>
      </c>
      <c r="V32" s="8"/>
      <c r="W32" s="8"/>
      <c r="X32" s="8"/>
      <c r="Y32" s="8"/>
      <c r="Z32" s="8"/>
      <c r="AA32" s="8"/>
      <c r="AB32" s="8"/>
    </row>
    <row r="33" spans="1:28" ht="13.8">
      <c r="A33" s="116"/>
      <c r="B33" s="85"/>
      <c r="C33" s="85"/>
      <c r="D33" s="85"/>
      <c r="E33" s="85"/>
      <c r="F33" s="85"/>
      <c r="G33" s="85"/>
      <c r="H33" s="85"/>
      <c r="I33" s="85"/>
      <c r="J33" s="85"/>
      <c r="K33" s="85"/>
      <c r="L33" s="85"/>
      <c r="M33" s="85"/>
      <c r="N33" s="85"/>
      <c r="O33" s="85"/>
      <c r="P33" s="85"/>
      <c r="Q33" s="85"/>
      <c r="R33" s="85"/>
      <c r="S33" s="85"/>
      <c r="T33" s="85"/>
      <c r="U33" s="85"/>
      <c r="V33" s="8"/>
      <c r="W33" s="8"/>
      <c r="X33" s="8"/>
      <c r="Y33" s="8"/>
      <c r="Z33" s="8"/>
      <c r="AA33" s="8"/>
      <c r="AB33" s="8"/>
    </row>
    <row r="34" spans="1:28" ht="13.8">
      <c r="A34" s="103" t="s">
        <v>29</v>
      </c>
      <c r="B34" s="85"/>
      <c r="C34" s="85"/>
      <c r="D34" s="85"/>
      <c r="E34" s="85"/>
      <c r="F34" s="85"/>
      <c r="G34" s="85"/>
      <c r="H34" s="85"/>
      <c r="I34" s="85"/>
      <c r="J34" s="85"/>
      <c r="K34" s="85"/>
      <c r="L34" s="85"/>
      <c r="M34" s="85"/>
      <c r="N34" s="85"/>
      <c r="O34" s="85"/>
      <c r="P34" s="85"/>
      <c r="Q34" s="85"/>
      <c r="R34" s="85"/>
      <c r="S34" s="85"/>
      <c r="T34" s="85"/>
      <c r="U34" s="85"/>
      <c r="V34" s="8"/>
      <c r="W34" s="8"/>
      <c r="X34" s="8"/>
      <c r="Y34" s="8"/>
      <c r="Z34" s="8"/>
      <c r="AA34" s="8"/>
      <c r="AB34" s="8"/>
    </row>
    <row r="35" spans="1:28" ht="13.8">
      <c r="A35" s="121" t="s">
        <v>454</v>
      </c>
      <c r="B35" s="85"/>
      <c r="C35" s="114">
        <f>'Income Statement'!C17</f>
        <v>76937</v>
      </c>
      <c r="D35" s="114">
        <f>'Income Statement'!D17</f>
        <v>170530</v>
      </c>
      <c r="E35" s="114">
        <f>'Income Statement'!E17</f>
        <v>296320</v>
      </c>
      <c r="F35" s="114">
        <f>'Income Statement'!F17</f>
        <v>478121</v>
      </c>
      <c r="G35" s="114">
        <f>'Income Statement'!G17</f>
        <v>764567</v>
      </c>
      <c r="H35" s="114">
        <f>'Income Statement'!H17</f>
        <v>1446414</v>
      </c>
      <c r="I35" s="114">
        <f>'Income Statement'!I17</f>
        <v>1531766</v>
      </c>
      <c r="J35" s="115">
        <f t="shared" ref="J35:U35" si="20">J19*J36</f>
        <v>1821110.6983924673</v>
      </c>
      <c r="K35" s="115">
        <f t="shared" si="20"/>
        <v>2253894.248647436</v>
      </c>
      <c r="L35" s="115">
        <f t="shared" si="20"/>
        <v>2741548.0975814518</v>
      </c>
      <c r="M35" s="115">
        <f t="shared" si="20"/>
        <v>3293236.7411485957</v>
      </c>
      <c r="N35" s="115">
        <f t="shared" si="20"/>
        <v>3878968.2291525812</v>
      </c>
      <c r="O35" s="115">
        <f t="shared" si="20"/>
        <v>4457708.0538112884</v>
      </c>
      <c r="P35" s="115">
        <f t="shared" si="20"/>
        <v>4896941.4364807932</v>
      </c>
      <c r="Q35" s="115">
        <f t="shared" si="20"/>
        <v>5275222.2068207711</v>
      </c>
      <c r="R35" s="115">
        <f t="shared" si="20"/>
        <v>5673887.7238522284</v>
      </c>
      <c r="S35" s="115">
        <f t="shared" si="20"/>
        <v>5966319.8971395707</v>
      </c>
      <c r="T35" s="115">
        <f t="shared" si="20"/>
        <v>6273824.0246381452</v>
      </c>
      <c r="U35" s="115">
        <f t="shared" si="20"/>
        <v>6597176.9148679944</v>
      </c>
      <c r="V35" s="8"/>
      <c r="W35" s="8"/>
      <c r="X35" s="8"/>
      <c r="Y35" s="8"/>
      <c r="Z35" s="8"/>
      <c r="AA35" s="8"/>
      <c r="AB35" s="8"/>
    </row>
    <row r="36" spans="1:28" ht="13.8">
      <c r="A36" s="121" t="s">
        <v>30</v>
      </c>
      <c r="B36" s="85"/>
      <c r="C36" s="110">
        <f>C35/'Income Statement'!C7</f>
        <v>0.734692513368984</v>
      </c>
      <c r="D36" s="110">
        <f>D35/'Income Statement'!D7</f>
        <v>0.75671382168657586</v>
      </c>
      <c r="E36" s="110">
        <f>E35/'Income Statement'!E7</f>
        <v>0.71083305546426523</v>
      </c>
      <c r="F36" s="110">
        <f>F35/'Income Statement'!F7</f>
        <v>0.64543262740693541</v>
      </c>
      <c r="G36" s="110">
        <f>G35/'Income Statement'!G7</f>
        <v>0.6030925802054673</v>
      </c>
      <c r="H36" s="110">
        <f>H35/'Income Statement'!H7</f>
        <v>0.63861593345460321</v>
      </c>
      <c r="I36" s="110">
        <f>I35/'Income Statement'!I7</f>
        <v>0.56492691524543592</v>
      </c>
      <c r="J36" s="122">
        <f>I36-0.038</f>
        <v>0.52692691524543589</v>
      </c>
      <c r="K36" s="122">
        <f>J36+0.028</f>
        <v>0.55492691524543591</v>
      </c>
      <c r="L36" s="122">
        <f t="shared" ref="L36:O36" si="21">K36+0.02</f>
        <v>0.57492691524543593</v>
      </c>
      <c r="M36" s="122">
        <f t="shared" si="21"/>
        <v>0.59492691524543595</v>
      </c>
      <c r="N36" s="122">
        <f t="shared" si="21"/>
        <v>0.61492691524543597</v>
      </c>
      <c r="O36" s="122">
        <f t="shared" si="21"/>
        <v>0.63492691524543599</v>
      </c>
      <c r="P36" s="122">
        <f t="shared" ref="P36:Q36" si="22">O36+0.01</f>
        <v>0.64492691524543599</v>
      </c>
      <c r="Q36" s="122">
        <f t="shared" si="22"/>
        <v>0.654926915245436</v>
      </c>
      <c r="R36" s="122">
        <f>Q36+0.014</f>
        <v>0.66892691524543602</v>
      </c>
      <c r="S36" s="122">
        <f t="shared" ref="S36:U36" si="23">R36</f>
        <v>0.66892691524543602</v>
      </c>
      <c r="T36" s="122">
        <f t="shared" si="23"/>
        <v>0.66892691524543602</v>
      </c>
      <c r="U36" s="122">
        <f t="shared" si="23"/>
        <v>0.66892691524543602</v>
      </c>
      <c r="V36" s="8"/>
      <c r="W36" s="8"/>
      <c r="X36" s="8"/>
      <c r="Y36" s="8"/>
      <c r="Z36" s="8"/>
      <c r="AA36" s="8"/>
      <c r="AB36" s="8"/>
    </row>
    <row r="37" spans="1:28" ht="13.8">
      <c r="A37" s="121" t="s">
        <v>455</v>
      </c>
      <c r="B37" s="85"/>
      <c r="C37" s="114">
        <f>'Income Statement'!C18</f>
        <v>44108</v>
      </c>
      <c r="D37" s="114">
        <f>'Income Statement'!D18</f>
        <v>29303</v>
      </c>
      <c r="E37" s="114">
        <f>'Income Statement'!E18</f>
        <v>35828</v>
      </c>
      <c r="F37" s="114">
        <f>'Income Statement'!F18</f>
        <v>17103</v>
      </c>
      <c r="G37" s="114">
        <f>'Income Statement'!G18</f>
        <v>43652</v>
      </c>
      <c r="H37" s="114">
        <f>'Income Statement'!H18</f>
        <v>-37814</v>
      </c>
      <c r="I37" s="114">
        <f>'Income Statement'!I18</f>
        <v>-90644</v>
      </c>
      <c r="J37" s="107">
        <f t="shared" ref="J37:U37" si="24">J21*J38</f>
        <v>0</v>
      </c>
      <c r="K37" s="107">
        <f t="shared" si="24"/>
        <v>3911.2033367579947</v>
      </c>
      <c r="L37" s="107">
        <f t="shared" si="24"/>
        <v>7128.6374256418567</v>
      </c>
      <c r="M37" s="107">
        <f t="shared" si="24"/>
        <v>9569.0195187489589</v>
      </c>
      <c r="N37" s="107">
        <f t="shared" si="24"/>
        <v>9807.1126727412993</v>
      </c>
      <c r="O37" s="107">
        <f t="shared" si="24"/>
        <v>9661.9674051847287</v>
      </c>
      <c r="P37" s="107">
        <f t="shared" si="24"/>
        <v>9191.7556839521549</v>
      </c>
      <c r="Q37" s="107">
        <f t="shared" si="24"/>
        <v>8552.6222720613496</v>
      </c>
      <c r="R37" s="107">
        <f t="shared" si="24"/>
        <v>7127.0284286428041</v>
      </c>
      <c r="S37" s="107">
        <f t="shared" si="24"/>
        <v>5939.0596950144773</v>
      </c>
      <c r="T37" s="107">
        <f t="shared" si="24"/>
        <v>4949.1075297509888</v>
      </c>
      <c r="U37" s="107">
        <f t="shared" si="24"/>
        <v>4124.1655411544443</v>
      </c>
      <c r="V37" s="8"/>
      <c r="W37" s="8"/>
      <c r="X37" s="8"/>
      <c r="Y37" s="8"/>
      <c r="Z37" s="8"/>
      <c r="AA37" s="8"/>
      <c r="AB37" s="8"/>
    </row>
    <row r="38" spans="1:28" ht="13.8">
      <c r="A38" s="121" t="s">
        <v>30</v>
      </c>
      <c r="B38" s="85"/>
      <c r="C38" s="118">
        <f>C37/'Income Statement'!C8</f>
        <v>0.15006345069727722</v>
      </c>
      <c r="D38" s="118">
        <f>D37/'Income Statement'!D8</f>
        <v>0.101956458958898</v>
      </c>
      <c r="E38" s="118">
        <f>E37/'Income Statement'!E8</f>
        <v>0.11002232506149372</v>
      </c>
      <c r="F38" s="118">
        <f>F37/'Income Statement'!F8</f>
        <v>4.4063429903773071E-2</v>
      </c>
      <c r="G38" s="118">
        <f>G37/'Income Statement'!G8</f>
        <v>8.5484212092964959E-2</v>
      </c>
      <c r="H38" s="118">
        <f>H37/'Income Statement'!H8</f>
        <v>-7.5678856191360597E-2</v>
      </c>
      <c r="I38" s="118">
        <f>I37/'Income Statement'!I8</f>
        <v>-0.21837034110428266</v>
      </c>
      <c r="J38" s="111">
        <v>0</v>
      </c>
      <c r="K38" s="111">
        <v>0.01</v>
      </c>
      <c r="L38" s="111">
        <v>0.02</v>
      </c>
      <c r="M38" s="111">
        <v>0.03</v>
      </c>
      <c r="N38" s="123">
        <v>3.5000000000000003E-2</v>
      </c>
      <c r="O38" s="111">
        <v>0.04</v>
      </c>
      <c r="P38" s="111">
        <v>4.4999999999999998E-2</v>
      </c>
      <c r="Q38" s="111">
        <v>0.05</v>
      </c>
      <c r="R38" s="124">
        <f t="shared" ref="R38:U38" si="25">Q38</f>
        <v>0.05</v>
      </c>
      <c r="S38" s="124">
        <f t="shared" si="25"/>
        <v>0.05</v>
      </c>
      <c r="T38" s="124">
        <f t="shared" si="25"/>
        <v>0.05</v>
      </c>
      <c r="U38" s="124">
        <f t="shared" si="25"/>
        <v>0.05</v>
      </c>
      <c r="V38" s="8"/>
      <c r="W38" s="8"/>
      <c r="X38" s="8"/>
      <c r="Y38" s="8"/>
      <c r="Z38" s="8"/>
      <c r="AA38" s="8"/>
      <c r="AB38" s="8"/>
    </row>
    <row r="39" spans="1:28" ht="13.8">
      <c r="A39" s="120" t="s">
        <v>31</v>
      </c>
      <c r="B39" s="85"/>
      <c r="C39" s="119">
        <f>'Income Statement'!C19</f>
        <v>121045</v>
      </c>
      <c r="D39" s="119">
        <f>'Income Statement'!D19</f>
        <v>199833</v>
      </c>
      <c r="E39" s="119">
        <f>'Income Statement'!E19</f>
        <v>332148</v>
      </c>
      <c r="F39" s="119">
        <f>'Income Statement'!F19</f>
        <v>495224</v>
      </c>
      <c r="G39" s="119">
        <f>'Income Statement'!G19</f>
        <v>808219</v>
      </c>
      <c r="H39" s="119">
        <f>'Income Statement'!H19</f>
        <v>1408600</v>
      </c>
      <c r="I39" s="119">
        <f>'Income Statement'!I19</f>
        <v>1441122</v>
      </c>
      <c r="J39" s="125">
        <f t="shared" ref="J39:U39" si="26">J35+J37</f>
        <v>1821110.6983924673</v>
      </c>
      <c r="K39" s="125">
        <f t="shared" si="26"/>
        <v>2257805.4519841941</v>
      </c>
      <c r="L39" s="125">
        <f t="shared" si="26"/>
        <v>2748676.7350070938</v>
      </c>
      <c r="M39" s="125">
        <f t="shared" si="26"/>
        <v>3302805.7606673446</v>
      </c>
      <c r="N39" s="125">
        <f t="shared" si="26"/>
        <v>3888775.3418253227</v>
      </c>
      <c r="O39" s="125">
        <f t="shared" si="26"/>
        <v>4467370.0212164735</v>
      </c>
      <c r="P39" s="125">
        <f t="shared" si="26"/>
        <v>4906133.1921647452</v>
      </c>
      <c r="Q39" s="125">
        <f t="shared" si="26"/>
        <v>5283774.8290928323</v>
      </c>
      <c r="R39" s="125">
        <f t="shared" si="26"/>
        <v>5681014.7522808714</v>
      </c>
      <c r="S39" s="125">
        <f t="shared" si="26"/>
        <v>5972258.9568345854</v>
      </c>
      <c r="T39" s="125">
        <f t="shared" si="26"/>
        <v>6278773.1321678963</v>
      </c>
      <c r="U39" s="125">
        <f t="shared" si="26"/>
        <v>6601301.0804091487</v>
      </c>
      <c r="V39" s="8"/>
      <c r="W39" s="8"/>
      <c r="X39" s="8"/>
      <c r="Y39" s="8"/>
      <c r="Z39" s="8"/>
      <c r="AA39" s="8"/>
      <c r="AB39" s="8"/>
    </row>
    <row r="40" spans="1:28" ht="13.8">
      <c r="A40" s="121" t="s">
        <v>32</v>
      </c>
      <c r="B40" s="85"/>
      <c r="C40" s="110">
        <f>C39/'Income Statement'!C9</f>
        <v>0.30363803747156021</v>
      </c>
      <c r="D40" s="110">
        <f>D39/'Income Statement'!D9</f>
        <v>0.3897180568800791</v>
      </c>
      <c r="E40" s="110">
        <f>E39/'Income Statement'!E9</f>
        <v>0.44733375891911986</v>
      </c>
      <c r="F40" s="110">
        <f>F39/'Income Statement'!F9</f>
        <v>0.43867019924334827</v>
      </c>
      <c r="G40" s="110">
        <f>G39/'Income Statement'!G9</f>
        <v>0.45446719163647076</v>
      </c>
      <c r="H40" s="110">
        <f>H39/'Income Statement'!H9</f>
        <v>0.50951607909182717</v>
      </c>
      <c r="I40" s="110">
        <f>I39/'Income Statement'!I9</f>
        <v>0.46093277731826998</v>
      </c>
      <c r="J40" s="113">
        <f t="shared" ref="J40:U40" si="27">J39/J23</f>
        <v>0.46963853352670309</v>
      </c>
      <c r="K40" s="113">
        <f t="shared" si="27"/>
        <v>0.507061405075106</v>
      </c>
      <c r="L40" s="113">
        <f t="shared" si="27"/>
        <v>0.53633264067368047</v>
      </c>
      <c r="M40" s="113">
        <f t="shared" si="27"/>
        <v>0.56414832512904856</v>
      </c>
      <c r="N40" s="113">
        <f t="shared" si="27"/>
        <v>0.59026206927345004</v>
      </c>
      <c r="O40" s="113">
        <f t="shared" si="27"/>
        <v>0.61513941982646581</v>
      </c>
      <c r="P40" s="113">
        <f t="shared" si="27"/>
        <v>0.6292109435354043</v>
      </c>
      <c r="Q40" s="113">
        <f t="shared" si="27"/>
        <v>0.642347571625</v>
      </c>
      <c r="R40" s="113">
        <f t="shared" si="27"/>
        <v>0.65869779813613683</v>
      </c>
      <c r="S40" s="113">
        <f t="shared" si="27"/>
        <v>0.66079273698342922</v>
      </c>
      <c r="T40" s="113">
        <f t="shared" si="27"/>
        <v>0.66246318517121616</v>
      </c>
      <c r="U40" s="113">
        <f t="shared" si="27"/>
        <v>0.66379347053045745</v>
      </c>
      <c r="V40" s="8"/>
      <c r="W40" s="8"/>
      <c r="X40" s="8"/>
      <c r="Y40" s="8"/>
      <c r="Z40" s="8"/>
      <c r="AA40" s="8"/>
      <c r="AB40" s="8"/>
    </row>
    <row r="41" spans="1:28" ht="13.8">
      <c r="A41" s="116"/>
      <c r="B41" s="85"/>
      <c r="C41" s="85"/>
      <c r="D41" s="85"/>
      <c r="E41" s="85"/>
      <c r="F41" s="85"/>
      <c r="G41" s="85"/>
      <c r="H41" s="85"/>
      <c r="I41" s="85"/>
      <c r="J41" s="85"/>
      <c r="K41" s="85"/>
      <c r="L41" s="85"/>
      <c r="M41" s="85"/>
      <c r="N41" s="85"/>
      <c r="O41" s="85"/>
      <c r="P41" s="85"/>
      <c r="Q41" s="85"/>
      <c r="R41" s="85"/>
      <c r="S41" s="85"/>
      <c r="T41" s="85"/>
      <c r="U41" s="85"/>
      <c r="V41" s="8"/>
      <c r="W41" s="8"/>
      <c r="X41" s="8"/>
      <c r="Y41" s="8"/>
      <c r="Z41" s="8"/>
      <c r="AA41" s="8"/>
      <c r="AB41" s="8"/>
    </row>
    <row r="42" spans="1:28" ht="13.8">
      <c r="A42" s="103" t="s">
        <v>33</v>
      </c>
      <c r="B42" s="85"/>
      <c r="C42" s="85"/>
      <c r="D42" s="85"/>
      <c r="E42" s="85"/>
      <c r="F42" s="85"/>
      <c r="G42" s="85"/>
      <c r="H42" s="85"/>
      <c r="I42" s="85"/>
      <c r="J42" s="85"/>
      <c r="K42" s="85"/>
      <c r="L42" s="85"/>
      <c r="M42" s="85"/>
      <c r="N42" s="85"/>
      <c r="O42" s="85"/>
      <c r="P42" s="85"/>
      <c r="Q42" s="85"/>
      <c r="R42" s="85"/>
      <c r="S42" s="85"/>
      <c r="T42" s="85"/>
      <c r="U42" s="85"/>
      <c r="V42" s="8"/>
      <c r="W42" s="8"/>
      <c r="X42" s="8"/>
      <c r="Y42" s="8"/>
      <c r="Z42" s="8"/>
      <c r="AA42" s="8"/>
      <c r="AB42" s="8"/>
    </row>
    <row r="43" spans="1:28" ht="13.8">
      <c r="A43" s="126" t="s">
        <v>34</v>
      </c>
      <c r="B43" s="85"/>
      <c r="C43" s="114">
        <f>'Income Statement'!C23</f>
        <v>76177</v>
      </c>
      <c r="D43" s="114">
        <f>'Income Statement'!D23</f>
        <v>107945</v>
      </c>
      <c r="E43" s="114">
        <f>'Income Statement'!E23</f>
        <v>170692</v>
      </c>
      <c r="F43" s="114">
        <f>'Income Statement'!F23</f>
        <v>265011</v>
      </c>
      <c r="G43" s="114">
        <f>'Income Statement'!G23</f>
        <v>355784</v>
      </c>
      <c r="H43" s="114">
        <f>'Income Statement'!H23</f>
        <v>461602</v>
      </c>
      <c r="I43" s="114">
        <f>'Income Statement'!I23</f>
        <v>788913</v>
      </c>
      <c r="J43" s="115">
        <f t="shared" ref="J43:U43" si="28">J23*J44</f>
        <v>1056003.5855091442</v>
      </c>
      <c r="K43" s="115">
        <f t="shared" si="28"/>
        <v>1301657.7801483334</v>
      </c>
      <c r="L43" s="115">
        <f t="shared" si="28"/>
        <v>1281236.9258164656</v>
      </c>
      <c r="M43" s="115">
        <f t="shared" si="28"/>
        <v>1375807.2463997479</v>
      </c>
      <c r="N43" s="115">
        <f t="shared" si="28"/>
        <v>1449408.0167723435</v>
      </c>
      <c r="O43" s="115">
        <f t="shared" si="28"/>
        <v>1488785.8342873428</v>
      </c>
      <c r="P43" s="115">
        <f t="shared" si="28"/>
        <v>1520469.3788328776</v>
      </c>
      <c r="Q43" s="115">
        <f t="shared" si="28"/>
        <v>1604016.4813989648</v>
      </c>
      <c r="R43" s="115">
        <f t="shared" si="28"/>
        <v>1681799.8782285512</v>
      </c>
      <c r="S43" s="115">
        <f t="shared" si="28"/>
        <v>1762414.1904149719</v>
      </c>
      <c r="T43" s="115">
        <f t="shared" si="28"/>
        <v>1848194.4177113762</v>
      </c>
      <c r="U43" s="115">
        <f t="shared" si="28"/>
        <v>1939238.2839365688</v>
      </c>
      <c r="V43" s="8"/>
      <c r="W43" s="8"/>
      <c r="X43" s="8"/>
      <c r="Y43" s="8"/>
      <c r="Z43" s="8"/>
      <c r="AA43" s="8"/>
      <c r="AB43" s="8"/>
    </row>
    <row r="44" spans="1:28" ht="13.8">
      <c r="A44" s="126" t="s">
        <v>456</v>
      </c>
      <c r="B44" s="85"/>
      <c r="C44" s="110">
        <f>C43/'Income Statement'!C9</f>
        <v>0.19108789938015647</v>
      </c>
      <c r="D44" s="110">
        <f>D43/'Income Statement'!D9</f>
        <v>0.21051635940970781</v>
      </c>
      <c r="E44" s="110">
        <f>E43/'Income Statement'!E9</f>
        <v>0.22988635782067754</v>
      </c>
      <c r="F44" s="110">
        <f>F43/'Income Statement'!F9</f>
        <v>0.23474716122740211</v>
      </c>
      <c r="G44" s="110">
        <f>G43/'Income Statement'!G9</f>
        <v>0.20005982946353665</v>
      </c>
      <c r="H44" s="110">
        <f>H43/'Income Statement'!H9</f>
        <v>0.16696978641271165</v>
      </c>
      <c r="I44" s="110">
        <f>I43/'Income Statement'!I9</f>
        <v>0.25232829708552668</v>
      </c>
      <c r="J44" s="122">
        <f t="shared" ref="J44:K44" si="29">I44+0.02</f>
        <v>0.27232829708552669</v>
      </c>
      <c r="K44" s="124">
        <f t="shared" si="29"/>
        <v>0.29232829708552671</v>
      </c>
      <c r="L44" s="111">
        <v>0.25</v>
      </c>
      <c r="M44" s="111">
        <f t="shared" ref="M44:O44" si="30">L44-0.015</f>
        <v>0.23499999999999999</v>
      </c>
      <c r="N44" s="111">
        <f t="shared" si="30"/>
        <v>0.21999999999999997</v>
      </c>
      <c r="O44" s="111">
        <f t="shared" si="30"/>
        <v>0.20499999999999996</v>
      </c>
      <c r="P44" s="111">
        <f>O44-0.01</f>
        <v>0.19499999999999995</v>
      </c>
      <c r="Q44" s="124">
        <f t="shared" ref="Q44:U44" si="31">P44</f>
        <v>0.19499999999999995</v>
      </c>
      <c r="R44" s="124">
        <f t="shared" si="31"/>
        <v>0.19499999999999995</v>
      </c>
      <c r="S44" s="124">
        <f t="shared" si="31"/>
        <v>0.19499999999999995</v>
      </c>
      <c r="T44" s="124">
        <f t="shared" si="31"/>
        <v>0.19499999999999995</v>
      </c>
      <c r="U44" s="124">
        <f t="shared" si="31"/>
        <v>0.19499999999999995</v>
      </c>
      <c r="V44" s="8"/>
      <c r="W44" s="8"/>
      <c r="X44" s="8"/>
      <c r="Y44" s="8"/>
      <c r="Z44" s="8"/>
      <c r="AA44" s="8"/>
      <c r="AB44" s="8"/>
    </row>
    <row r="45" spans="1:28" ht="13.8">
      <c r="A45" s="126" t="s">
        <v>35</v>
      </c>
      <c r="B45" s="85"/>
      <c r="C45" s="114">
        <f>'Income Statement'!C24</f>
        <v>52888</v>
      </c>
      <c r="D45" s="114">
        <f>'Income Statement'!D24</f>
        <v>64069</v>
      </c>
      <c r="E45" s="114">
        <f>'Income Statement'!E24</f>
        <v>102780</v>
      </c>
      <c r="F45" s="114">
        <f>'Income Statement'!F24</f>
        <v>178855</v>
      </c>
      <c r="G45" s="114">
        <f>'Income Statement'!G24</f>
        <v>299457</v>
      </c>
      <c r="H45" s="114">
        <f>'Income Statement'!H24</f>
        <v>455601</v>
      </c>
      <c r="I45" s="114">
        <f>'Income Statement'!I24</f>
        <v>838419</v>
      </c>
      <c r="J45" s="115">
        <f t="shared" ref="J45:U45" si="32">J23*J46</f>
        <v>1117403.4346503294</v>
      </c>
      <c r="K45" s="115">
        <f t="shared" si="32"/>
        <v>1372162.8981081231</v>
      </c>
      <c r="L45" s="115">
        <f t="shared" si="32"/>
        <v>1434985.3569144416</v>
      </c>
      <c r="M45" s="115">
        <f t="shared" si="32"/>
        <v>1633405.1989171477</v>
      </c>
      <c r="N45" s="115">
        <f t="shared" si="32"/>
        <v>1831524.6757395982</v>
      </c>
      <c r="O45" s="115">
        <f t="shared" si="32"/>
        <v>2011676.4687687517</v>
      </c>
      <c r="P45" s="115">
        <f t="shared" si="32"/>
        <v>2152048.9669634583</v>
      </c>
      <c r="Q45" s="115">
        <f t="shared" si="32"/>
        <v>2270300.2505954588</v>
      </c>
      <c r="R45" s="115">
        <f t="shared" si="32"/>
        <v>2380393.6738004116</v>
      </c>
      <c r="S45" s="115">
        <f t="shared" si="32"/>
        <v>2494493.9310488841</v>
      </c>
      <c r="T45" s="115">
        <f t="shared" si="32"/>
        <v>2615905.9450684106</v>
      </c>
      <c r="U45" s="115">
        <f t="shared" si="32"/>
        <v>2744768.0326486826</v>
      </c>
      <c r="V45" s="8"/>
      <c r="W45" s="8"/>
      <c r="X45" s="8"/>
      <c r="Y45" s="8"/>
      <c r="Z45" s="8"/>
      <c r="AA45" s="8"/>
      <c r="AB45" s="8"/>
    </row>
    <row r="46" spans="1:28" ht="13.8">
      <c r="A46" s="126" t="s">
        <v>456</v>
      </c>
      <c r="B46" s="85"/>
      <c r="C46" s="110">
        <f>C45/'Income Statement'!C9</f>
        <v>0.13266808646202549</v>
      </c>
      <c r="D46" s="110">
        <f>D45/'Income Statement'!D9</f>
        <v>0.12494856298133836</v>
      </c>
      <c r="E46" s="110">
        <f>E45/'Income Statement'!E9</f>
        <v>0.13842312385354461</v>
      </c>
      <c r="F46" s="110">
        <f>F45/'Income Statement'!F9</f>
        <v>0.1584300407202984</v>
      </c>
      <c r="G46" s="110">
        <f>G45/'Income Statement'!G9</f>
        <v>0.1683867637433451</v>
      </c>
      <c r="H46" s="110">
        <f>H45/'Income Statement'!H9</f>
        <v>0.1647991162504015</v>
      </c>
      <c r="I46" s="110">
        <f>I45/'Income Statement'!I9</f>
        <v>0.26816244441928344</v>
      </c>
      <c r="J46" s="122">
        <f t="shared" ref="J46:K46" si="33">I46+0.02</f>
        <v>0.28816244441928346</v>
      </c>
      <c r="K46" s="122">
        <f t="shared" si="33"/>
        <v>0.30816244441928348</v>
      </c>
      <c r="L46" s="111">
        <v>0.28000000000000003</v>
      </c>
      <c r="M46" s="111">
        <f t="shared" ref="M46:P46" si="34">L46-0.001</f>
        <v>0.27900000000000003</v>
      </c>
      <c r="N46" s="111">
        <f t="shared" si="34"/>
        <v>0.27800000000000002</v>
      </c>
      <c r="O46" s="111">
        <f t="shared" si="34"/>
        <v>0.27700000000000002</v>
      </c>
      <c r="P46" s="111">
        <f t="shared" si="34"/>
        <v>0.27600000000000002</v>
      </c>
      <c r="Q46" s="111">
        <f t="shared" ref="Q46:U46" si="35">P46</f>
        <v>0.27600000000000002</v>
      </c>
      <c r="R46" s="111">
        <f t="shared" si="35"/>
        <v>0.27600000000000002</v>
      </c>
      <c r="S46" s="111">
        <f t="shared" si="35"/>
        <v>0.27600000000000002</v>
      </c>
      <c r="T46" s="111">
        <f t="shared" si="35"/>
        <v>0.27600000000000002</v>
      </c>
      <c r="U46" s="111">
        <f t="shared" si="35"/>
        <v>0.27600000000000002</v>
      </c>
      <c r="V46" s="8"/>
      <c r="W46" s="8"/>
      <c r="X46" s="8"/>
      <c r="Y46" s="8"/>
      <c r="Z46" s="8"/>
      <c r="AA46" s="8"/>
      <c r="AB46" s="8"/>
    </row>
    <row r="47" spans="1:28" ht="13.8">
      <c r="A47" s="126" t="s">
        <v>36</v>
      </c>
      <c r="B47" s="85"/>
      <c r="C47" s="114">
        <f>'Income Statement'!C25</f>
        <v>35341</v>
      </c>
      <c r="D47" s="114">
        <f>'Income Statement'!D25</f>
        <v>47435</v>
      </c>
      <c r="E47" s="114">
        <f>'Income Statement'!E25</f>
        <v>71972</v>
      </c>
      <c r="F47" s="114">
        <f>'Income Statement'!F25</f>
        <v>116417</v>
      </c>
      <c r="G47" s="114">
        <f>'Income Statement'!G25</f>
        <v>173231</v>
      </c>
      <c r="H47" s="114">
        <f>'Income Statement'!H25</f>
        <v>256297</v>
      </c>
      <c r="I47" s="114">
        <f>'Income Statement'!I25</f>
        <v>344678</v>
      </c>
      <c r="J47" s="115">
        <f t="shared" ref="J47:U47" si="36">J23*J48</f>
        <v>387768.58549425681</v>
      </c>
      <c r="K47" s="115">
        <f t="shared" si="36"/>
        <v>400745.33112706355</v>
      </c>
      <c r="L47" s="115">
        <f t="shared" si="36"/>
        <v>256247.38516329313</v>
      </c>
      <c r="M47" s="115">
        <f t="shared" si="36"/>
        <v>289797.69658207457</v>
      </c>
      <c r="N47" s="115">
        <f t="shared" si="36"/>
        <v>322822.69464474928</v>
      </c>
      <c r="O47" s="115">
        <f t="shared" si="36"/>
        <v>352224.94128261536</v>
      </c>
      <c r="P47" s="115">
        <f t="shared" si="36"/>
        <v>374269.3855588623</v>
      </c>
      <c r="Q47" s="115">
        <f t="shared" si="36"/>
        <v>390721.96341769665</v>
      </c>
      <c r="R47" s="115">
        <f t="shared" si="36"/>
        <v>405356.89372688165</v>
      </c>
      <c r="S47" s="115">
        <f t="shared" si="36"/>
        <v>420267.99925280112</v>
      </c>
      <c r="T47" s="115">
        <f t="shared" si="36"/>
        <v>435984.32417806837</v>
      </c>
      <c r="U47" s="115">
        <f t="shared" si="36"/>
        <v>452488.93291853281</v>
      </c>
      <c r="V47" s="8"/>
      <c r="W47" s="8"/>
      <c r="X47" s="8"/>
      <c r="Y47" s="8"/>
      <c r="Z47" s="8"/>
      <c r="AA47" s="8"/>
      <c r="AB47" s="8"/>
    </row>
    <row r="48" spans="1:28" ht="13.8">
      <c r="A48" s="126" t="s">
        <v>30</v>
      </c>
      <c r="B48" s="85"/>
      <c r="C48" s="110">
        <f>C47/'Income Statement'!C9</f>
        <v>8.8651921866102767E-2</v>
      </c>
      <c r="D48" s="110">
        <f>D47/'Income Statement'!D9</f>
        <v>9.2508624842276066E-2</v>
      </c>
      <c r="E48" s="110">
        <f>E47/'Income Statement'!E9</f>
        <v>9.6931203249536024E-2</v>
      </c>
      <c r="F48" s="110">
        <f>F47/'Income Statement'!F9</f>
        <v>0.10312236197218407</v>
      </c>
      <c r="G48" s="110">
        <f>G47/'Income Statement'!G9</f>
        <v>9.7409001860111519E-2</v>
      </c>
      <c r="H48" s="110">
        <f>H47/'Income Statement'!H9</f>
        <v>9.2707257222063064E-2</v>
      </c>
      <c r="I48" s="110">
        <f>I47/'Income Statement'!I9</f>
        <v>0.11024284399274084</v>
      </c>
      <c r="J48" s="111">
        <v>0.1</v>
      </c>
      <c r="K48" s="111">
        <v>0.09</v>
      </c>
      <c r="L48" s="111">
        <v>0.05</v>
      </c>
      <c r="M48" s="124">
        <f t="shared" ref="M48:U48" si="37">L48-0.0005</f>
        <v>4.9500000000000002E-2</v>
      </c>
      <c r="N48" s="124">
        <f t="shared" si="37"/>
        <v>4.9000000000000002E-2</v>
      </c>
      <c r="O48" s="124">
        <f t="shared" si="37"/>
        <v>4.8500000000000001E-2</v>
      </c>
      <c r="P48" s="124">
        <f t="shared" si="37"/>
        <v>4.8000000000000001E-2</v>
      </c>
      <c r="Q48" s="124">
        <f t="shared" si="37"/>
        <v>4.7500000000000001E-2</v>
      </c>
      <c r="R48" s="124">
        <f t="shared" si="37"/>
        <v>4.7E-2</v>
      </c>
      <c r="S48" s="124">
        <f t="shared" si="37"/>
        <v>4.65E-2</v>
      </c>
      <c r="T48" s="124">
        <f t="shared" si="37"/>
        <v>4.5999999999999999E-2</v>
      </c>
      <c r="U48" s="124">
        <f t="shared" si="37"/>
        <v>4.5499999999999999E-2</v>
      </c>
      <c r="V48" s="8"/>
      <c r="W48" s="8"/>
      <c r="X48" s="8"/>
      <c r="Y48" s="8"/>
      <c r="Z48" s="8"/>
      <c r="AA48" s="8"/>
      <c r="AB48" s="8"/>
    </row>
    <row r="49" spans="1:28" ht="13.8">
      <c r="A49" s="120"/>
      <c r="B49" s="85"/>
      <c r="C49" s="85"/>
      <c r="D49" s="85"/>
      <c r="E49" s="85"/>
      <c r="F49" s="85"/>
      <c r="G49" s="85"/>
      <c r="H49" s="85"/>
      <c r="I49" s="85"/>
      <c r="J49" s="85"/>
      <c r="K49" s="85"/>
      <c r="L49" s="85"/>
      <c r="M49" s="85"/>
      <c r="N49" s="85"/>
      <c r="O49" s="85"/>
      <c r="P49" s="85"/>
      <c r="Q49" s="85"/>
      <c r="R49" s="85"/>
      <c r="S49" s="85"/>
      <c r="T49" s="85"/>
      <c r="U49" s="85"/>
      <c r="V49" s="8"/>
      <c r="W49" s="8"/>
      <c r="X49" s="8"/>
      <c r="Y49" s="8"/>
      <c r="Z49" s="8"/>
      <c r="AA49" s="8"/>
      <c r="AB49" s="8"/>
    </row>
    <row r="50" spans="1:28" ht="13.8">
      <c r="A50" s="120"/>
      <c r="B50" s="85"/>
      <c r="C50" s="85"/>
      <c r="D50" s="85"/>
      <c r="E50" s="85"/>
      <c r="F50" s="85"/>
      <c r="G50" s="85"/>
      <c r="H50" s="85"/>
      <c r="I50" s="85"/>
      <c r="J50" s="85"/>
      <c r="K50" s="85"/>
      <c r="L50" s="85"/>
      <c r="M50" s="85"/>
      <c r="N50" s="85"/>
      <c r="O50" s="85"/>
      <c r="P50" s="85"/>
      <c r="Q50" s="85"/>
      <c r="R50" s="85"/>
      <c r="S50" s="85"/>
      <c r="T50" s="85"/>
      <c r="U50" s="85"/>
      <c r="V50" s="8"/>
      <c r="W50" s="8"/>
      <c r="X50" s="8"/>
      <c r="Y50" s="8"/>
      <c r="Z50" s="8"/>
      <c r="AA50" s="8"/>
      <c r="AB50" s="8"/>
    </row>
    <row r="51" spans="1:28" ht="13.8">
      <c r="A51" s="127" t="s">
        <v>37</v>
      </c>
      <c r="B51" s="85"/>
      <c r="C51" s="85"/>
      <c r="D51" s="85"/>
      <c r="E51" s="85"/>
      <c r="F51" s="85"/>
      <c r="G51" s="85"/>
      <c r="H51" s="85"/>
      <c r="I51" s="85"/>
      <c r="J51" s="85"/>
      <c r="K51" s="85"/>
      <c r="L51" s="85"/>
      <c r="M51" s="85"/>
      <c r="N51" s="85"/>
      <c r="O51" s="85"/>
      <c r="P51" s="85"/>
      <c r="Q51" s="85"/>
      <c r="R51" s="85"/>
      <c r="S51" s="85"/>
      <c r="T51" s="85"/>
      <c r="U51" s="85"/>
      <c r="V51" s="8"/>
      <c r="W51" s="8"/>
      <c r="X51" s="8"/>
      <c r="Y51" s="8"/>
      <c r="Z51" s="8"/>
      <c r="AA51" s="8"/>
      <c r="AB51" s="8"/>
    </row>
    <row r="52" spans="1:28" ht="13.8">
      <c r="A52" s="120" t="s">
        <v>38</v>
      </c>
      <c r="B52" s="85"/>
      <c r="C52" s="110">
        <f>-('Income Statement'!C33/AVERAGE(('Balance Sheet'!B27+'Balance Sheet'!B32),('Balance Sheet'!C27+'Balance Sheet'!C32)))</f>
        <v>-1.9466666666666667E-2</v>
      </c>
      <c r="D52" s="110">
        <f>-('Income Statement'!D33/AVERAGE(('Balance Sheet'!C27+'Balance Sheet'!C32),('Balance Sheet'!D27+'Balance Sheet'!D32)))</f>
        <v>0.21493333333333334</v>
      </c>
      <c r="E52" s="128">
        <v>0</v>
      </c>
      <c r="F52" s="110">
        <f>-('Income Statement'!F33/AVERAGE(('Balance Sheet'!E27+'Balance Sheet'!E32),('Balance Sheet'!F27+'Balance Sheet'!F32)))</f>
        <v>4.7506224399646614E-2</v>
      </c>
      <c r="G52" s="110">
        <f>-('Income Statement'!G33/AVERAGE(('Balance Sheet'!F27+'Balance Sheet'!F32),('Balance Sheet'!G27+'Balance Sheet'!G32)))</f>
        <v>3.5317725752508362E-2</v>
      </c>
      <c r="H52" s="110">
        <f>-('Income Statement'!H33/AVERAGE(('Balance Sheet'!G27+'Balance Sheet'!G32),('Balance Sheet'!H27+'Balance Sheet'!H32)))</f>
        <v>3.228427495801961E-2</v>
      </c>
      <c r="I52" s="110">
        <f>-('Income Statement'!I33/AVERAGE(('Balance Sheet'!H27+'Balance Sheet'!H32),('Balance Sheet'!I27+'Balance Sheet'!I32)))</f>
        <v>6.0770195404261332E-2</v>
      </c>
      <c r="J52" s="111">
        <v>6.0999999999999999E-2</v>
      </c>
      <c r="K52" s="111">
        <v>6.0999999999999999E-2</v>
      </c>
      <c r="L52" s="111">
        <v>6.0999999999999999E-2</v>
      </c>
      <c r="M52" s="111">
        <v>6.0999999999999999E-2</v>
      </c>
      <c r="N52" s="111">
        <v>6.0999999999999999E-2</v>
      </c>
      <c r="O52" s="111">
        <v>6.0999999999999999E-2</v>
      </c>
      <c r="P52" s="111">
        <v>6.0999999999999999E-2</v>
      </c>
      <c r="Q52" s="111">
        <v>6.0999999999999999E-2</v>
      </c>
      <c r="R52" s="111">
        <v>6.0999999999999999E-2</v>
      </c>
      <c r="S52" s="111">
        <v>6.0999999999999999E-2</v>
      </c>
      <c r="T52" s="111">
        <v>6.0999999999999999E-2</v>
      </c>
      <c r="U52" s="111">
        <v>6.0999999999999999E-2</v>
      </c>
      <c r="V52" s="8"/>
      <c r="W52" s="8"/>
      <c r="X52" s="8"/>
      <c r="Y52" s="8"/>
      <c r="Z52" s="8"/>
      <c r="AA52" s="8"/>
      <c r="AB52" s="8"/>
    </row>
    <row r="53" spans="1:28" ht="13.8">
      <c r="A53" s="129" t="s">
        <v>39</v>
      </c>
      <c r="B53" s="85"/>
      <c r="C53" s="130">
        <v>0</v>
      </c>
      <c r="D53" s="130">
        <v>-2338</v>
      </c>
      <c r="E53" s="130">
        <v>0</v>
      </c>
      <c r="F53" s="130">
        <v>0</v>
      </c>
      <c r="G53" s="130">
        <v>0</v>
      </c>
      <c r="H53" s="130">
        <v>0</v>
      </c>
      <c r="I53" s="130">
        <v>0</v>
      </c>
      <c r="J53" s="131">
        <v>0</v>
      </c>
      <c r="K53" s="131">
        <v>0</v>
      </c>
      <c r="L53" s="131">
        <v>0</v>
      </c>
      <c r="M53" s="131">
        <v>0</v>
      </c>
      <c r="N53" s="131">
        <v>0</v>
      </c>
      <c r="O53" s="131">
        <v>0</v>
      </c>
      <c r="P53" s="131">
        <v>0</v>
      </c>
      <c r="Q53" s="131">
        <v>0</v>
      </c>
      <c r="R53" s="131">
        <v>0</v>
      </c>
      <c r="S53" s="131">
        <v>0</v>
      </c>
      <c r="T53" s="131">
        <v>0</v>
      </c>
      <c r="U53" s="131">
        <v>0</v>
      </c>
      <c r="V53" s="8"/>
      <c r="W53" s="8"/>
      <c r="X53" s="8"/>
      <c r="Y53" s="8"/>
      <c r="Z53" s="8"/>
      <c r="AA53" s="8"/>
      <c r="AB53" s="8"/>
    </row>
    <row r="54" spans="1:28" ht="27.6">
      <c r="A54" s="129" t="s">
        <v>40</v>
      </c>
      <c r="B54" s="85"/>
      <c r="C54" s="130">
        <v>888</v>
      </c>
      <c r="D54" s="130">
        <v>-40333</v>
      </c>
      <c r="E54" s="130">
        <v>0</v>
      </c>
      <c r="F54" s="130">
        <v>0</v>
      </c>
      <c r="G54" s="130">
        <v>0</v>
      </c>
      <c r="H54" s="130">
        <v>0</v>
      </c>
      <c r="I54" s="130">
        <v>0</v>
      </c>
      <c r="J54" s="131">
        <v>0</v>
      </c>
      <c r="K54" s="131">
        <v>0</v>
      </c>
      <c r="L54" s="131">
        <v>0</v>
      </c>
      <c r="M54" s="131">
        <v>0</v>
      </c>
      <c r="N54" s="131">
        <v>0</v>
      </c>
      <c r="O54" s="131">
        <v>0</v>
      </c>
      <c r="P54" s="131">
        <v>0</v>
      </c>
      <c r="Q54" s="131">
        <v>0</v>
      </c>
      <c r="R54" s="131">
        <v>0</v>
      </c>
      <c r="S54" s="131">
        <v>0</v>
      </c>
      <c r="T54" s="131">
        <v>0</v>
      </c>
      <c r="U54" s="131">
        <v>0</v>
      </c>
      <c r="V54" s="8"/>
      <c r="W54" s="8"/>
      <c r="X54" s="8"/>
      <c r="Y54" s="8"/>
      <c r="Z54" s="8"/>
      <c r="AA54" s="8"/>
      <c r="AB54" s="8"/>
    </row>
    <row r="55" spans="1:28" ht="13.8">
      <c r="A55" s="120" t="s">
        <v>41</v>
      </c>
      <c r="B55" s="85"/>
      <c r="C55" s="110">
        <f>'Income Statement'!C36/AVERAGE('Balance Sheet'!B8,'Balance Sheet'!C8)</f>
        <v>-6.3653723742838958E-3</v>
      </c>
      <c r="D55" s="110">
        <f>'Income Statement'!D36/AVERAGE('Balance Sheet'!C8,'Balance Sheet'!D8)</f>
        <v>6.6568466375842728E-3</v>
      </c>
      <c r="E55" s="110">
        <f>'Income Statement'!E36/AVERAGE('Balance Sheet'!D8,'Balance Sheet'!E8)</f>
        <v>2.5894343386996942E-2</v>
      </c>
      <c r="F55" s="110">
        <f>'Income Statement'!F36/AVERAGE('Balance Sheet'!E8,'Balance Sheet'!F8)</f>
        <v>1.9390709686264516E-2</v>
      </c>
      <c r="G55" s="110">
        <f>'Income Statement'!G36/AVERAGE('Balance Sheet'!F8,'Balance Sheet'!G8)</f>
        <v>6.507516660511076E-3</v>
      </c>
      <c r="H55" s="110">
        <f>'Income Statement'!H36/AVERAGE('Balance Sheet'!G8,'Balance Sheet'!H8)</f>
        <v>2.7583796510992453E-3</v>
      </c>
      <c r="I55" s="110">
        <f>'Income Statement'!I36/AVERAGE('Balance Sheet'!H8,'Balance Sheet'!I8)</f>
        <v>2.1307697494570958E-2</v>
      </c>
      <c r="J55" s="111">
        <f>AVERAGE(0.0137,0.0433)</f>
        <v>2.8499999999999998E-2</v>
      </c>
      <c r="K55" s="111">
        <v>2.9000000000000001E-2</v>
      </c>
      <c r="L55" s="111">
        <v>2.9000000000000001E-2</v>
      </c>
      <c r="M55" s="111">
        <v>2.9000000000000001E-2</v>
      </c>
      <c r="N55" s="111">
        <v>2.9000000000000001E-2</v>
      </c>
      <c r="O55" s="111">
        <v>2.9000000000000001E-2</v>
      </c>
      <c r="P55" s="111">
        <v>2.9000000000000001E-2</v>
      </c>
      <c r="Q55" s="111">
        <v>2.9000000000000001E-2</v>
      </c>
      <c r="R55" s="111">
        <v>2.9000000000000001E-2</v>
      </c>
      <c r="S55" s="111">
        <v>2.9000000000000001E-2</v>
      </c>
      <c r="T55" s="111">
        <v>2.9000000000000001E-2</v>
      </c>
      <c r="U55" s="111">
        <v>2.9000000000000001E-2</v>
      </c>
      <c r="V55" s="8"/>
      <c r="W55" s="8"/>
      <c r="X55" s="8"/>
      <c r="Y55" s="8"/>
      <c r="Z55" s="8"/>
      <c r="AA55" s="8"/>
      <c r="AB55" s="8"/>
    </row>
    <row r="56" spans="1:28" ht="13.8">
      <c r="A56" s="120"/>
      <c r="B56" s="85"/>
      <c r="C56" s="85"/>
      <c r="D56" s="85"/>
      <c r="E56" s="85"/>
      <c r="F56" s="85"/>
      <c r="G56" s="85"/>
      <c r="H56" s="85"/>
      <c r="I56" s="85"/>
      <c r="J56" s="85"/>
      <c r="K56" s="85"/>
      <c r="L56" s="85"/>
      <c r="M56" s="85"/>
      <c r="N56" s="85"/>
      <c r="O56" s="85"/>
      <c r="P56" s="85"/>
      <c r="Q56" s="85"/>
      <c r="R56" s="85"/>
      <c r="S56" s="85"/>
      <c r="T56" s="85"/>
      <c r="U56" s="85"/>
      <c r="V56" s="8"/>
      <c r="W56" s="8"/>
      <c r="X56" s="8"/>
      <c r="Y56" s="8"/>
      <c r="Z56" s="8"/>
      <c r="AA56" s="8"/>
      <c r="AB56" s="8"/>
    </row>
    <row r="57" spans="1:28" ht="13.8">
      <c r="A57" s="132" t="s">
        <v>42</v>
      </c>
      <c r="B57" s="86"/>
      <c r="C57" s="85"/>
      <c r="D57" s="85"/>
      <c r="E57" s="85"/>
      <c r="F57" s="85"/>
      <c r="G57" s="85"/>
      <c r="H57" s="85"/>
      <c r="I57" s="86"/>
      <c r="J57" s="86"/>
      <c r="K57" s="86"/>
      <c r="L57" s="85"/>
      <c r="M57" s="85"/>
      <c r="N57" s="85"/>
      <c r="O57" s="85"/>
      <c r="P57" s="85"/>
      <c r="Q57" s="85"/>
      <c r="R57" s="85"/>
      <c r="S57" s="85"/>
      <c r="T57" s="85"/>
      <c r="U57" s="85"/>
      <c r="V57" s="8"/>
      <c r="W57" s="8"/>
      <c r="X57" s="8"/>
      <c r="Y57" s="8"/>
      <c r="Z57" s="8"/>
      <c r="AA57" s="8"/>
      <c r="AB57" s="8"/>
    </row>
    <row r="58" spans="1:28" ht="13.8">
      <c r="A58" s="133" t="s">
        <v>43</v>
      </c>
      <c r="B58" s="86"/>
      <c r="C58" s="85"/>
      <c r="D58" s="85"/>
      <c r="E58" s="85"/>
      <c r="F58" s="85"/>
      <c r="G58" s="85"/>
      <c r="H58" s="85"/>
      <c r="I58" s="86"/>
      <c r="J58" s="134">
        <v>0.21</v>
      </c>
      <c r="K58" s="134">
        <v>0.21</v>
      </c>
      <c r="L58" s="134">
        <v>0.21</v>
      </c>
      <c r="M58" s="134">
        <v>0.21</v>
      </c>
      <c r="N58" s="134">
        <v>0.21</v>
      </c>
      <c r="O58" s="134">
        <v>0.21</v>
      </c>
      <c r="P58" s="134">
        <v>0.21</v>
      </c>
      <c r="Q58" s="134">
        <v>0.21</v>
      </c>
      <c r="R58" s="134">
        <v>0.21</v>
      </c>
      <c r="S58" s="134">
        <v>0.21</v>
      </c>
      <c r="T58" s="134">
        <v>0.21</v>
      </c>
      <c r="U58" s="134">
        <v>0.21</v>
      </c>
      <c r="V58" s="8"/>
      <c r="W58" s="8"/>
      <c r="X58" s="8"/>
      <c r="Y58" s="8"/>
      <c r="Z58" s="8"/>
      <c r="AA58" s="8"/>
      <c r="AB58" s="8"/>
    </row>
    <row r="59" spans="1:28" ht="13.8">
      <c r="A59" s="133" t="s">
        <v>44</v>
      </c>
      <c r="B59" s="86"/>
      <c r="C59" s="85"/>
      <c r="D59" s="85"/>
      <c r="E59" s="85"/>
      <c r="F59" s="85"/>
      <c r="G59" s="85"/>
      <c r="H59" s="85"/>
      <c r="I59" s="135"/>
      <c r="J59" s="136">
        <f t="shared" ref="J59:U59" si="38">I61</f>
        <v>1959100</v>
      </c>
      <c r="K59" s="136">
        <f t="shared" si="38"/>
        <v>2651482.7223849325</v>
      </c>
      <c r="L59" s="136">
        <f t="shared" si="38"/>
        <v>3419356.1154873781</v>
      </c>
      <c r="M59" s="136">
        <f t="shared" si="38"/>
        <v>3586228.194440302</v>
      </c>
      <c r="N59" s="136">
        <f t="shared" si="38"/>
        <v>3516466.7813298204</v>
      </c>
      <c r="O59" s="136">
        <f t="shared" si="38"/>
        <v>3156039.2790642972</v>
      </c>
      <c r="P59" s="136">
        <f t="shared" si="38"/>
        <v>2456864.6669459925</v>
      </c>
      <c r="Q59" s="136">
        <f t="shared" si="38"/>
        <v>1505225.9073243742</v>
      </c>
      <c r="R59" s="136">
        <f t="shared" si="38"/>
        <v>387980.42267881054</v>
      </c>
      <c r="S59" s="136">
        <f t="shared" si="38"/>
        <v>0</v>
      </c>
      <c r="T59" s="136">
        <f t="shared" si="38"/>
        <v>0</v>
      </c>
      <c r="U59" s="136">
        <f t="shared" si="38"/>
        <v>0</v>
      </c>
      <c r="V59" s="8"/>
      <c r="W59" s="8"/>
      <c r="X59" s="8"/>
      <c r="Y59" s="8"/>
      <c r="Z59" s="8"/>
      <c r="AA59" s="8"/>
      <c r="AB59" s="8"/>
    </row>
    <row r="60" spans="1:28" ht="13.8">
      <c r="A60" s="133" t="s">
        <v>45</v>
      </c>
      <c r="B60" s="86"/>
      <c r="C60" s="85"/>
      <c r="D60" s="85"/>
      <c r="E60" s="85"/>
      <c r="F60" s="85"/>
      <c r="G60" s="85"/>
      <c r="H60" s="85"/>
      <c r="I60" s="135"/>
      <c r="J60" s="136">
        <f>'Income Statement'!J39</f>
        <v>-692382.72238493245</v>
      </c>
      <c r="K60" s="136">
        <f>'Income Statement'!K39</f>
        <v>-767873.39310244587</v>
      </c>
      <c r="L60" s="136">
        <f>'Income Statement'!L39</f>
        <v>-166872.07895292394</v>
      </c>
      <c r="M60" s="136">
        <f>'Income Statement'!M39</f>
        <v>69761.413110481517</v>
      </c>
      <c r="N60" s="136">
        <f>'Income Statement'!N39</f>
        <v>360427.50226552336</v>
      </c>
      <c r="O60" s="136">
        <f>'Income Statement'!O39</f>
        <v>699174.61211830482</v>
      </c>
      <c r="P60" s="136">
        <f>'Income Statement'!P39</f>
        <v>951638.7596216182</v>
      </c>
      <c r="Q60" s="136">
        <f>'Income Statement'!Q39</f>
        <v>1117245.4846455636</v>
      </c>
      <c r="R60" s="136">
        <f>'Income Statement'!R39</f>
        <v>1317312.0423480857</v>
      </c>
      <c r="S60" s="136">
        <f>'Income Statement'!S39</f>
        <v>1404171.9115175307</v>
      </c>
      <c r="T60" s="136">
        <f>'Income Statement'!T39</f>
        <v>1493283.4732558634</v>
      </c>
      <c r="U60" s="136">
        <f>'Income Statement'!U39</f>
        <v>1585251.9228663051</v>
      </c>
      <c r="V60" s="8"/>
      <c r="W60" s="8"/>
      <c r="X60" s="8"/>
      <c r="Y60" s="8"/>
      <c r="Z60" s="8"/>
      <c r="AA60" s="8"/>
      <c r="AB60" s="8"/>
    </row>
    <row r="61" spans="1:28" ht="13.8">
      <c r="A61" s="133" t="s">
        <v>46</v>
      </c>
      <c r="B61" s="86"/>
      <c r="C61" s="85"/>
      <c r="D61" s="85"/>
      <c r="E61" s="85"/>
      <c r="F61" s="85"/>
      <c r="G61" s="85"/>
      <c r="H61" s="85"/>
      <c r="I61" s="136">
        <v>1959100</v>
      </c>
      <c r="J61" s="136">
        <f t="shared" ref="J61:U61" si="39">IF((J59-J60)&gt;0,J59-J60,0)</f>
        <v>2651482.7223849325</v>
      </c>
      <c r="K61" s="136">
        <f t="shared" si="39"/>
        <v>3419356.1154873781</v>
      </c>
      <c r="L61" s="136">
        <f t="shared" si="39"/>
        <v>3586228.194440302</v>
      </c>
      <c r="M61" s="136">
        <f t="shared" si="39"/>
        <v>3516466.7813298204</v>
      </c>
      <c r="N61" s="136">
        <f t="shared" si="39"/>
        <v>3156039.2790642972</v>
      </c>
      <c r="O61" s="136">
        <f t="shared" si="39"/>
        <v>2456864.6669459925</v>
      </c>
      <c r="P61" s="136">
        <f t="shared" si="39"/>
        <v>1505225.9073243742</v>
      </c>
      <c r="Q61" s="136">
        <f t="shared" si="39"/>
        <v>387980.42267881054</v>
      </c>
      <c r="R61" s="136">
        <f t="shared" si="39"/>
        <v>0</v>
      </c>
      <c r="S61" s="136">
        <f t="shared" si="39"/>
        <v>0</v>
      </c>
      <c r="T61" s="136">
        <f t="shared" si="39"/>
        <v>0</v>
      </c>
      <c r="U61" s="136">
        <f t="shared" si="39"/>
        <v>0</v>
      </c>
      <c r="V61" s="8"/>
      <c r="W61" s="8"/>
      <c r="X61" s="8"/>
      <c r="Y61" s="8"/>
      <c r="Z61" s="8"/>
      <c r="AA61" s="8"/>
      <c r="AB61" s="8"/>
    </row>
    <row r="62" spans="1:28" ht="13.8">
      <c r="A62" s="133" t="s">
        <v>47</v>
      </c>
      <c r="B62" s="86"/>
      <c r="C62" s="85"/>
      <c r="D62" s="85"/>
      <c r="E62" s="85"/>
      <c r="F62" s="85"/>
      <c r="G62" s="85"/>
      <c r="H62" s="85"/>
      <c r="I62" s="86"/>
      <c r="J62" s="137">
        <f t="shared" ref="J62:U62" si="40">IF(J61&gt;0,0,J60-J59)</f>
        <v>0</v>
      </c>
      <c r="K62" s="137">
        <f t="shared" si="40"/>
        <v>0</v>
      </c>
      <c r="L62" s="137">
        <f t="shared" si="40"/>
        <v>0</v>
      </c>
      <c r="M62" s="137">
        <f t="shared" si="40"/>
        <v>0</v>
      </c>
      <c r="N62" s="137">
        <f t="shared" si="40"/>
        <v>0</v>
      </c>
      <c r="O62" s="137">
        <f t="shared" si="40"/>
        <v>0</v>
      </c>
      <c r="P62" s="137">
        <f t="shared" si="40"/>
        <v>0</v>
      </c>
      <c r="Q62" s="137">
        <f t="shared" si="40"/>
        <v>0</v>
      </c>
      <c r="R62" s="136">
        <f t="shared" si="40"/>
        <v>929331.61966927513</v>
      </c>
      <c r="S62" s="136">
        <f t="shared" si="40"/>
        <v>1404171.9115175307</v>
      </c>
      <c r="T62" s="136">
        <f t="shared" si="40"/>
        <v>1493283.4732558634</v>
      </c>
      <c r="U62" s="136">
        <f t="shared" si="40"/>
        <v>1585251.9228663051</v>
      </c>
      <c r="V62" s="8"/>
      <c r="W62" s="8"/>
      <c r="X62" s="8"/>
      <c r="Y62" s="8"/>
      <c r="Z62" s="8"/>
      <c r="AA62" s="8"/>
      <c r="AB62" s="8"/>
    </row>
    <row r="63" spans="1:28" ht="13.8">
      <c r="A63" s="133" t="s">
        <v>48</v>
      </c>
      <c r="B63" s="86"/>
      <c r="C63" s="85"/>
      <c r="D63" s="85"/>
      <c r="E63" s="85"/>
      <c r="F63" s="85"/>
      <c r="G63" s="85"/>
      <c r="H63" s="85"/>
      <c r="I63" s="86"/>
      <c r="J63" s="137">
        <f t="shared" ref="J63:U63" si="41">J62*J58</f>
        <v>0</v>
      </c>
      <c r="K63" s="137">
        <f t="shared" si="41"/>
        <v>0</v>
      </c>
      <c r="L63" s="137">
        <f t="shared" si="41"/>
        <v>0</v>
      </c>
      <c r="M63" s="137">
        <f t="shared" si="41"/>
        <v>0</v>
      </c>
      <c r="N63" s="137">
        <f t="shared" si="41"/>
        <v>0</v>
      </c>
      <c r="O63" s="137">
        <f t="shared" si="41"/>
        <v>0</v>
      </c>
      <c r="P63" s="137">
        <f t="shared" si="41"/>
        <v>0</v>
      </c>
      <c r="Q63" s="137">
        <f t="shared" si="41"/>
        <v>0</v>
      </c>
      <c r="R63" s="136">
        <f t="shared" si="41"/>
        <v>195159.64013054778</v>
      </c>
      <c r="S63" s="136">
        <f t="shared" si="41"/>
        <v>294876.10141868144</v>
      </c>
      <c r="T63" s="136">
        <f t="shared" si="41"/>
        <v>313589.52938373131</v>
      </c>
      <c r="U63" s="136">
        <f t="shared" si="41"/>
        <v>332902.90380192408</v>
      </c>
      <c r="V63" s="8"/>
      <c r="W63" s="8"/>
      <c r="X63" s="8"/>
      <c r="Y63" s="8"/>
      <c r="Z63" s="8"/>
      <c r="AA63" s="8"/>
      <c r="AB63" s="8"/>
    </row>
    <row r="64" spans="1:28" ht="13.2">
      <c r="A64" s="92"/>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2">
      <c r="A65" s="92"/>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2">
      <c r="A66" s="92"/>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2">
      <c r="A67" s="92"/>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2">
      <c r="A68" s="92"/>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2">
      <c r="A69" s="92"/>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2">
      <c r="A70" s="92"/>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2">
      <c r="A71" s="92"/>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2">
      <c r="A72" s="92"/>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2">
      <c r="A73" s="92"/>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2">
      <c r="A74" s="92"/>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2">
      <c r="A75" s="92"/>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2">
      <c r="A76" s="92"/>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2">
      <c r="A77" s="92"/>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2">
      <c r="A78" s="92"/>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2">
      <c r="A79" s="92"/>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2">
      <c r="A80" s="92"/>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2">
      <c r="A81" s="92"/>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2">
      <c r="A82" s="92"/>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2">
      <c r="A83" s="92"/>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2">
      <c r="A84" s="92"/>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2">
      <c r="A85" s="92"/>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2">
      <c r="A86" s="92"/>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2">
      <c r="A87" s="92"/>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2">
      <c r="A88" s="92"/>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2">
      <c r="A89" s="92"/>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2">
      <c r="A90" s="92"/>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2">
      <c r="A91" s="92"/>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2">
      <c r="A92" s="92"/>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2">
      <c r="A93" s="92"/>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2">
      <c r="A94" s="92"/>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2">
      <c r="A95" s="92"/>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2">
      <c r="A96" s="92"/>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2">
      <c r="A97" s="92"/>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2">
      <c r="A98" s="92"/>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2">
      <c r="A99" s="92"/>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2">
      <c r="A100" s="92"/>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2">
      <c r="A101" s="92"/>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2">
      <c r="A102" s="92"/>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2">
      <c r="A103" s="92"/>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2">
      <c r="A104" s="92"/>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2">
      <c r="A105" s="92"/>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2">
      <c r="A106" s="92"/>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2">
      <c r="A107" s="92"/>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2">
      <c r="A108" s="92"/>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2">
      <c r="A109" s="92"/>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2">
      <c r="A110" s="92"/>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2">
      <c r="A111" s="92"/>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2">
      <c r="A112" s="92"/>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2">
      <c r="A113" s="92"/>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2">
      <c r="A114" s="92"/>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2">
      <c r="A115" s="92"/>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2">
      <c r="A116" s="92"/>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2">
      <c r="A117" s="92"/>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2">
      <c r="A118" s="92"/>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2">
      <c r="A119" s="92"/>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2">
      <c r="A120" s="92"/>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2">
      <c r="A121" s="92"/>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2">
      <c r="A122" s="92"/>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2">
      <c r="A123" s="92"/>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2">
      <c r="A124" s="92"/>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2">
      <c r="A125" s="92"/>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2">
      <c r="A126" s="92"/>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2">
      <c r="A127" s="92"/>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2">
      <c r="A128" s="92"/>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2">
      <c r="A129" s="92"/>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2">
      <c r="A130" s="92"/>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2">
      <c r="A131" s="92"/>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2">
      <c r="A132" s="92"/>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2">
      <c r="A133" s="92"/>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2">
      <c r="A134" s="92"/>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2">
      <c r="A135" s="92"/>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2">
      <c r="A136" s="92"/>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2">
      <c r="A137" s="92"/>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2">
      <c r="A138" s="92"/>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2">
      <c r="A139" s="92"/>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2">
      <c r="A140" s="92"/>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2">
      <c r="A141" s="92"/>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2">
      <c r="A142" s="92"/>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2">
      <c r="A143" s="92"/>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2">
      <c r="A144" s="92"/>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2">
      <c r="A145" s="92"/>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2">
      <c r="A146" s="92"/>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2">
      <c r="A147" s="92"/>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2">
      <c r="A148" s="92"/>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2">
      <c r="A149" s="92"/>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2">
      <c r="A150" s="92"/>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2">
      <c r="A151" s="92"/>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2">
      <c r="A152" s="92"/>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2">
      <c r="A153" s="92"/>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2">
      <c r="A154" s="92"/>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2">
      <c r="A155" s="92"/>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2">
      <c r="A156" s="92"/>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2">
      <c r="A157" s="92"/>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2">
      <c r="A158" s="92"/>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2">
      <c r="A159" s="92"/>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2">
      <c r="A160" s="92"/>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2">
      <c r="A161" s="92"/>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2">
      <c r="A162" s="92"/>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2">
      <c r="A163" s="92"/>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2">
      <c r="A164" s="92"/>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2">
      <c r="A165" s="92"/>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2">
      <c r="A166" s="92"/>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2">
      <c r="A167" s="92"/>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2">
      <c r="A168" s="92"/>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2">
      <c r="A169" s="92"/>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2">
      <c r="A170" s="92"/>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2">
      <c r="A171" s="92"/>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2">
      <c r="A172" s="92"/>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2">
      <c r="A173" s="92"/>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2">
      <c r="A174" s="92"/>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2">
      <c r="A175" s="92"/>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2">
      <c r="A176" s="92"/>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2">
      <c r="A177" s="92"/>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2">
      <c r="A178" s="92"/>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2">
      <c r="A179" s="92"/>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2">
      <c r="A180" s="92"/>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2">
      <c r="A181" s="92"/>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2">
      <c r="A182" s="92"/>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2">
      <c r="A183" s="92"/>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2">
      <c r="A184" s="92"/>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2">
      <c r="A185" s="92"/>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2">
      <c r="A186" s="92"/>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2">
      <c r="A187" s="92"/>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2">
      <c r="A188" s="92"/>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2">
      <c r="A189" s="92"/>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2">
      <c r="A190" s="92"/>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2">
      <c r="A191" s="92"/>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2">
      <c r="A192" s="92"/>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2">
      <c r="A193" s="92"/>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2">
      <c r="A194" s="92"/>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2">
      <c r="A195" s="92"/>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2">
      <c r="A196" s="92"/>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2">
      <c r="A197" s="92"/>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2">
      <c r="A198" s="92"/>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2">
      <c r="A199" s="92"/>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2">
      <c r="A200" s="92"/>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2">
      <c r="A201" s="92"/>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2">
      <c r="A202" s="92"/>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2">
      <c r="A203" s="92"/>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2">
      <c r="A204" s="92"/>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2">
      <c r="A205" s="92"/>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2">
      <c r="A206" s="92"/>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2">
      <c r="A207" s="92"/>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2">
      <c r="A208" s="92"/>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2">
      <c r="A209" s="92"/>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2">
      <c r="A210" s="92"/>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2">
      <c r="A211" s="92"/>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2">
      <c r="A212" s="92"/>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2">
      <c r="A213" s="92"/>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2">
      <c r="A214" s="92"/>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2">
      <c r="A215" s="92"/>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2">
      <c r="A216" s="92"/>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2">
      <c r="A217" s="92"/>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2">
      <c r="A218" s="92"/>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2">
      <c r="A219" s="92"/>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2">
      <c r="A220" s="92"/>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2">
      <c r="A221" s="92"/>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2">
      <c r="A222" s="92"/>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2">
      <c r="A223" s="92"/>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2">
      <c r="A224" s="92"/>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2">
      <c r="A225" s="92"/>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2">
      <c r="A226" s="92"/>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2">
      <c r="A227" s="92"/>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2">
      <c r="A228" s="92"/>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2">
      <c r="A229" s="92"/>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2">
      <c r="A230" s="92"/>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2">
      <c r="A231" s="92"/>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2">
      <c r="A232" s="92"/>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2">
      <c r="A233" s="92"/>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2">
      <c r="A234" s="92"/>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2">
      <c r="A235" s="92"/>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2">
      <c r="A236" s="92"/>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2">
      <c r="A237" s="92"/>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2">
      <c r="A238" s="92"/>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2">
      <c r="A239" s="92"/>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2">
      <c r="A240" s="92"/>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2">
      <c r="A241" s="92"/>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2">
      <c r="A242" s="92"/>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2">
      <c r="A243" s="92"/>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2">
      <c r="A244" s="92"/>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2">
      <c r="A245" s="92"/>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2">
      <c r="A246" s="92"/>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2">
      <c r="A247" s="92"/>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2">
      <c r="A248" s="92"/>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2">
      <c r="A249" s="92"/>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2">
      <c r="A250" s="92"/>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2">
      <c r="A251" s="92"/>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2">
      <c r="A252" s="92"/>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2">
      <c r="A253" s="92"/>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2">
      <c r="A254" s="92"/>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2">
      <c r="A255" s="92"/>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2">
      <c r="A256" s="92"/>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2">
      <c r="A257" s="92"/>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2">
      <c r="A258" s="92"/>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2">
      <c r="A259" s="92"/>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2">
      <c r="A260" s="92"/>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2">
      <c r="A261" s="92"/>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2">
      <c r="A262" s="92"/>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2">
      <c r="A263" s="92"/>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2">
      <c r="A264" s="92"/>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2">
      <c r="A265" s="92"/>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2">
      <c r="A266" s="92"/>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2">
      <c r="A267" s="92"/>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2">
      <c r="A268" s="92"/>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2">
      <c r="A269" s="92"/>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2">
      <c r="A270" s="92"/>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2">
      <c r="A271" s="92"/>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2">
      <c r="A272" s="92"/>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2">
      <c r="A273" s="92"/>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2">
      <c r="A274" s="92"/>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2">
      <c r="A275" s="92"/>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2">
      <c r="A276" s="92"/>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2">
      <c r="A277" s="92"/>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2">
      <c r="A278" s="92"/>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2">
      <c r="A279" s="92"/>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2">
      <c r="A280" s="92"/>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2">
      <c r="A281" s="92"/>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2">
      <c r="A282" s="92"/>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2">
      <c r="A283" s="92"/>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2">
      <c r="A284" s="92"/>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2">
      <c r="A285" s="92"/>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2">
      <c r="A286" s="92"/>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2">
      <c r="A287" s="92"/>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2">
      <c r="A288" s="92"/>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2">
      <c r="A289" s="92"/>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2">
      <c r="A290" s="92"/>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2">
      <c r="A291" s="92"/>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2">
      <c r="A292" s="92"/>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2">
      <c r="A293" s="92"/>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2">
      <c r="A294" s="92"/>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2">
      <c r="A295" s="92"/>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2">
      <c r="A296" s="92"/>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2">
      <c r="A297" s="92"/>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2">
      <c r="A298" s="92"/>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2">
      <c r="A299" s="92"/>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2">
      <c r="A300" s="92"/>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2">
      <c r="A301" s="92"/>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2">
      <c r="A302" s="92"/>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2">
      <c r="A303" s="92"/>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2">
      <c r="A304" s="92"/>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2">
      <c r="A305" s="92"/>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2">
      <c r="A306" s="92"/>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2">
      <c r="A307" s="92"/>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2">
      <c r="A308" s="92"/>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2">
      <c r="A309" s="92"/>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2">
      <c r="A310" s="92"/>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2">
      <c r="A311" s="92"/>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2">
      <c r="A312" s="92"/>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2">
      <c r="A313" s="92"/>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2">
      <c r="A314" s="92"/>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2">
      <c r="A315" s="92"/>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2">
      <c r="A316" s="92"/>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2">
      <c r="A317" s="92"/>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2">
      <c r="A318" s="92"/>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2">
      <c r="A319" s="92"/>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2">
      <c r="A320" s="92"/>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2">
      <c r="A321" s="92"/>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2">
      <c r="A322" s="92"/>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2">
      <c r="A323" s="92"/>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2">
      <c r="A324" s="92"/>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2">
      <c r="A325" s="92"/>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2">
      <c r="A326" s="92"/>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2">
      <c r="A327" s="92"/>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2">
      <c r="A328" s="92"/>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2">
      <c r="A329" s="92"/>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2">
      <c r="A330" s="92"/>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2">
      <c r="A331" s="92"/>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2">
      <c r="A332" s="92"/>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2">
      <c r="A333" s="92"/>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2">
      <c r="A334" s="92"/>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2">
      <c r="A335" s="92"/>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2">
      <c r="A336" s="92"/>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2">
      <c r="A337" s="92"/>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2">
      <c r="A338" s="92"/>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2">
      <c r="A339" s="92"/>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2">
      <c r="A340" s="92"/>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2">
      <c r="A341" s="92"/>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2">
      <c r="A342" s="92"/>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2">
      <c r="A343" s="92"/>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2">
      <c r="A344" s="92"/>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2">
      <c r="A345" s="92"/>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2">
      <c r="A346" s="92"/>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2">
      <c r="A347" s="92"/>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2">
      <c r="A348" s="92"/>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2">
      <c r="A349" s="92"/>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2">
      <c r="A350" s="92"/>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2">
      <c r="A351" s="92"/>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2">
      <c r="A352" s="92"/>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2">
      <c r="A353" s="92"/>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2">
      <c r="A354" s="92"/>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2">
      <c r="A355" s="92"/>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2">
      <c r="A356" s="92"/>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2">
      <c r="A357" s="92"/>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2">
      <c r="A358" s="92"/>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2">
      <c r="A359" s="92"/>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2">
      <c r="A360" s="92"/>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2">
      <c r="A361" s="92"/>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2">
      <c r="A362" s="92"/>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2">
      <c r="A363" s="92"/>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2">
      <c r="A364" s="92"/>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2">
      <c r="A365" s="92"/>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2">
      <c r="A366" s="92"/>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2">
      <c r="A367" s="92"/>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2">
      <c r="A368" s="92"/>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2">
      <c r="A369" s="92"/>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2">
      <c r="A370" s="92"/>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2">
      <c r="A371" s="92"/>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2">
      <c r="A372" s="92"/>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2">
      <c r="A373" s="92"/>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2">
      <c r="A374" s="92"/>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2">
      <c r="A375" s="92"/>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2">
      <c r="A376" s="92"/>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2">
      <c r="A377" s="92"/>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2">
      <c r="A378" s="92"/>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2">
      <c r="A379" s="92"/>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2">
      <c r="A380" s="92"/>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2">
      <c r="A381" s="92"/>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2">
      <c r="A382" s="92"/>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2">
      <c r="A383" s="92"/>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2">
      <c r="A384" s="92"/>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2">
      <c r="A385" s="92"/>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2">
      <c r="A386" s="92"/>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2">
      <c r="A387" s="92"/>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2">
      <c r="A388" s="92"/>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2">
      <c r="A389" s="92"/>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2">
      <c r="A390" s="92"/>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2">
      <c r="A391" s="92"/>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2">
      <c r="A392" s="92"/>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2">
      <c r="A393" s="92"/>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2">
      <c r="A394" s="92"/>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2">
      <c r="A395" s="92"/>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2">
      <c r="A396" s="92"/>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2">
      <c r="A397" s="92"/>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2">
      <c r="A398" s="92"/>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2">
      <c r="A399" s="92"/>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2">
      <c r="A400" s="92"/>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2">
      <c r="A401" s="92"/>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2">
      <c r="A402" s="92"/>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2">
      <c r="A403" s="92"/>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2">
      <c r="A404" s="92"/>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2">
      <c r="A405" s="92"/>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2">
      <c r="A406" s="92"/>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2">
      <c r="A407" s="92"/>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2">
      <c r="A408" s="92"/>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2">
      <c r="A409" s="92"/>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2">
      <c r="A410" s="92"/>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2">
      <c r="A411" s="92"/>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2">
      <c r="A412" s="92"/>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2">
      <c r="A413" s="92"/>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2">
      <c r="A414" s="92"/>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2">
      <c r="A415" s="92"/>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2">
      <c r="A416" s="92"/>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2">
      <c r="A417" s="92"/>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2">
      <c r="A418" s="92"/>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2">
      <c r="A419" s="92"/>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2">
      <c r="A420" s="92"/>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2">
      <c r="A421" s="92"/>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2">
      <c r="A422" s="92"/>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2">
      <c r="A423" s="92"/>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2">
      <c r="A424" s="92"/>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2">
      <c r="A425" s="92"/>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2">
      <c r="A426" s="92"/>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2">
      <c r="A427" s="92"/>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2">
      <c r="A428" s="92"/>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2">
      <c r="A429" s="92"/>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2">
      <c r="A430" s="92"/>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2">
      <c r="A431" s="92"/>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2">
      <c r="A432" s="92"/>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2">
      <c r="A433" s="92"/>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2">
      <c r="A434" s="92"/>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2">
      <c r="A435" s="92"/>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2">
      <c r="A436" s="92"/>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2">
      <c r="A437" s="92"/>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2">
      <c r="A438" s="92"/>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2">
      <c r="A439" s="92"/>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2">
      <c r="A440" s="92"/>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2">
      <c r="A441" s="92"/>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2">
      <c r="A442" s="92"/>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2">
      <c r="A443" s="92"/>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2">
      <c r="A444" s="92"/>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2">
      <c r="A445" s="92"/>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2">
      <c r="A446" s="92"/>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2">
      <c r="A447" s="92"/>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2">
      <c r="A448" s="92"/>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2">
      <c r="A449" s="92"/>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2">
      <c r="A450" s="92"/>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2">
      <c r="A451" s="92"/>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2">
      <c r="A452" s="92"/>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2">
      <c r="A453" s="92"/>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2">
      <c r="A454" s="92"/>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2">
      <c r="A455" s="92"/>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2">
      <c r="A456" s="92"/>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2">
      <c r="A457" s="92"/>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2">
      <c r="A458" s="92"/>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2">
      <c r="A459" s="92"/>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2">
      <c r="A460" s="92"/>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2">
      <c r="A461" s="92"/>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2">
      <c r="A462" s="92"/>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2">
      <c r="A463" s="92"/>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2">
      <c r="A464" s="92"/>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2">
      <c r="A465" s="92"/>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2">
      <c r="A466" s="92"/>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2">
      <c r="A467" s="92"/>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2">
      <c r="A468" s="92"/>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2">
      <c r="A469" s="92"/>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2">
      <c r="A470" s="92"/>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2">
      <c r="A471" s="92"/>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2">
      <c r="A472" s="92"/>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2">
      <c r="A473" s="92"/>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2">
      <c r="A474" s="92"/>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2">
      <c r="A475" s="92"/>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2">
      <c r="A476" s="92"/>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2">
      <c r="A477" s="92"/>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2">
      <c r="A478" s="92"/>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2">
      <c r="A479" s="92"/>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2">
      <c r="A480" s="92"/>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2">
      <c r="A481" s="92"/>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2">
      <c r="A482" s="92"/>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2">
      <c r="A483" s="92"/>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2">
      <c r="A484" s="92"/>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2">
      <c r="A485" s="92"/>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2">
      <c r="A486" s="92"/>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2">
      <c r="A487" s="92"/>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2">
      <c r="A488" s="92"/>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2">
      <c r="A489" s="92"/>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2">
      <c r="A490" s="92"/>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2">
      <c r="A491" s="92"/>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2">
      <c r="A492" s="92"/>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2">
      <c r="A493" s="92"/>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2">
      <c r="A494" s="92"/>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2">
      <c r="A495" s="92"/>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2">
      <c r="A496" s="92"/>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2">
      <c r="A497" s="92"/>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2">
      <c r="A498" s="92"/>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2">
      <c r="A499" s="92"/>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2">
      <c r="A500" s="92"/>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2">
      <c r="A501" s="92"/>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2">
      <c r="A502" s="92"/>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2">
      <c r="A503" s="92"/>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2">
      <c r="A504" s="92"/>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2">
      <c r="A505" s="92"/>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2">
      <c r="A506" s="92"/>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2">
      <c r="A507" s="92"/>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2">
      <c r="A508" s="92"/>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2">
      <c r="A509" s="92"/>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2">
      <c r="A510" s="92"/>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2">
      <c r="A511" s="92"/>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2">
      <c r="A512" s="92"/>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2">
      <c r="A513" s="92"/>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2">
      <c r="A514" s="92"/>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2">
      <c r="A515" s="92"/>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2">
      <c r="A516" s="92"/>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2">
      <c r="A517" s="92"/>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2">
      <c r="A518" s="92"/>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2">
      <c r="A519" s="92"/>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2">
      <c r="A520" s="92"/>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2">
      <c r="A521" s="92"/>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2">
      <c r="A522" s="92"/>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2">
      <c r="A523" s="92"/>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2">
      <c r="A524" s="92"/>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2">
      <c r="A525" s="92"/>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2">
      <c r="A526" s="92"/>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2">
      <c r="A527" s="92"/>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2">
      <c r="A528" s="92"/>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2">
      <c r="A529" s="92"/>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2">
      <c r="A530" s="92"/>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2">
      <c r="A531" s="92"/>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2">
      <c r="A532" s="92"/>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2">
      <c r="A533" s="92"/>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2">
      <c r="A534" s="92"/>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2">
      <c r="A535" s="92"/>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2">
      <c r="A536" s="92"/>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2">
      <c r="A537" s="92"/>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2">
      <c r="A538" s="92"/>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2">
      <c r="A539" s="92"/>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2">
      <c r="A540" s="92"/>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2">
      <c r="A541" s="92"/>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2">
      <c r="A542" s="92"/>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2">
      <c r="A543" s="92"/>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2">
      <c r="A544" s="92"/>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2">
      <c r="A545" s="92"/>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2">
      <c r="A546" s="92"/>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2">
      <c r="A547" s="92"/>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2">
      <c r="A548" s="92"/>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2">
      <c r="A549" s="92"/>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2">
      <c r="A550" s="92"/>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2">
      <c r="A551" s="92"/>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2">
      <c r="A552" s="92"/>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2">
      <c r="A553" s="92"/>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2">
      <c r="A554" s="92"/>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2">
      <c r="A555" s="92"/>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2">
      <c r="A556" s="92"/>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2">
      <c r="A557" s="92"/>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2">
      <c r="A558" s="92"/>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2">
      <c r="A559" s="92"/>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2">
      <c r="A560" s="92"/>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2">
      <c r="A561" s="92"/>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2">
      <c r="A562" s="92"/>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2">
      <c r="A563" s="92"/>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2">
      <c r="A564" s="92"/>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2">
      <c r="A565" s="92"/>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2">
      <c r="A566" s="92"/>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2">
      <c r="A567" s="92"/>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2">
      <c r="A568" s="92"/>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2">
      <c r="A569" s="92"/>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2">
      <c r="A570" s="92"/>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2">
      <c r="A571" s="92"/>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2">
      <c r="A572" s="92"/>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2">
      <c r="A573" s="92"/>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2">
      <c r="A574" s="92"/>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2">
      <c r="A575" s="92"/>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2">
      <c r="A576" s="92"/>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2">
      <c r="A577" s="92"/>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2">
      <c r="A578" s="92"/>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2">
      <c r="A579" s="92"/>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2">
      <c r="A580" s="92"/>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2">
      <c r="A581" s="92"/>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2">
      <c r="A582" s="92"/>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2">
      <c r="A583" s="92"/>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2">
      <c r="A584" s="92"/>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2">
      <c r="A585" s="92"/>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2">
      <c r="A586" s="92"/>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2">
      <c r="A587" s="92"/>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2">
      <c r="A588" s="92"/>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2">
      <c r="A589" s="92"/>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2">
      <c r="A590" s="92"/>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2">
      <c r="A591" s="92"/>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2">
      <c r="A592" s="92"/>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2">
      <c r="A593" s="92"/>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2">
      <c r="A594" s="92"/>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2">
      <c r="A595" s="92"/>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2">
      <c r="A596" s="92"/>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2">
      <c r="A597" s="92"/>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2">
      <c r="A598" s="92"/>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2">
      <c r="A599" s="92"/>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2">
      <c r="A600" s="92"/>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2">
      <c r="A601" s="92"/>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2">
      <c r="A602" s="92"/>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2">
      <c r="A603" s="92"/>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2">
      <c r="A604" s="92"/>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2">
      <c r="A605" s="92"/>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2">
      <c r="A606" s="92"/>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2">
      <c r="A607" s="92"/>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2">
      <c r="A608" s="92"/>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2">
      <c r="A609" s="92"/>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2">
      <c r="A610" s="92"/>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2">
      <c r="A611" s="92"/>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2">
      <c r="A612" s="92"/>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2">
      <c r="A613" s="92"/>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2">
      <c r="A614" s="92"/>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2">
      <c r="A615" s="92"/>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2">
      <c r="A616" s="92"/>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2">
      <c r="A617" s="92"/>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2">
      <c r="A618" s="92"/>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2">
      <c r="A619" s="92"/>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2">
      <c r="A620" s="92"/>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2">
      <c r="A621" s="92"/>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2">
      <c r="A622" s="92"/>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2">
      <c r="A623" s="92"/>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2">
      <c r="A624" s="92"/>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2">
      <c r="A625" s="92"/>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2">
      <c r="A626" s="92"/>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2">
      <c r="A627" s="92"/>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2">
      <c r="A628" s="92"/>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2">
      <c r="A629" s="92"/>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2">
      <c r="A630" s="92"/>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2">
      <c r="A631" s="92"/>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2">
      <c r="A632" s="92"/>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2">
      <c r="A633" s="92"/>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2">
      <c r="A634" s="92"/>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2">
      <c r="A635" s="92"/>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2">
      <c r="A636" s="92"/>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2">
      <c r="A637" s="92"/>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2">
      <c r="A638" s="92"/>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2">
      <c r="A639" s="92"/>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2">
      <c r="A640" s="92"/>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2">
      <c r="A641" s="92"/>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2">
      <c r="A642" s="92"/>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2">
      <c r="A643" s="92"/>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2">
      <c r="A644" s="92"/>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2">
      <c r="A645" s="92"/>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2">
      <c r="A646" s="92"/>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2">
      <c r="A647" s="92"/>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2">
      <c r="A648" s="92"/>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2">
      <c r="A649" s="92"/>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2">
      <c r="A650" s="92"/>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2">
      <c r="A651" s="92"/>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2">
      <c r="A652" s="92"/>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2">
      <c r="A653" s="92"/>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2">
      <c r="A654" s="92"/>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2">
      <c r="A655" s="92"/>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2">
      <c r="A656" s="92"/>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2">
      <c r="A657" s="92"/>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2">
      <c r="A658" s="92"/>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2">
      <c r="A659" s="92"/>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2">
      <c r="A660" s="92"/>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2">
      <c r="A661" s="92"/>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2">
      <c r="A662" s="92"/>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2">
      <c r="A663" s="92"/>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2">
      <c r="A664" s="92"/>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2">
      <c r="A665" s="92"/>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2">
      <c r="A666" s="92"/>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2">
      <c r="A667" s="92"/>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2">
      <c r="A668" s="92"/>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2">
      <c r="A669" s="92"/>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2">
      <c r="A670" s="92"/>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2">
      <c r="A671" s="92"/>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2">
      <c r="A672" s="92"/>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2">
      <c r="A673" s="92"/>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2">
      <c r="A674" s="92"/>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2">
      <c r="A675" s="92"/>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2">
      <c r="A676" s="92"/>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2">
      <c r="A677" s="92"/>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2">
      <c r="A678" s="92"/>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2">
      <c r="A679" s="92"/>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2">
      <c r="A680" s="92"/>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2">
      <c r="A681" s="92"/>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2">
      <c r="A682" s="92"/>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2">
      <c r="A683" s="92"/>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2">
      <c r="A684" s="92"/>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2">
      <c r="A685" s="92"/>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2">
      <c r="A686" s="92"/>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2">
      <c r="A687" s="92"/>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2">
      <c r="A688" s="92"/>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2">
      <c r="A689" s="92"/>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2">
      <c r="A690" s="92"/>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2">
      <c r="A691" s="92"/>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2">
      <c r="A692" s="92"/>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2">
      <c r="A693" s="92"/>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2">
      <c r="A694" s="92"/>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2">
      <c r="A695" s="92"/>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2">
      <c r="A696" s="92"/>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2">
      <c r="A697" s="92"/>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2">
      <c r="A698" s="92"/>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2">
      <c r="A699" s="92"/>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2">
      <c r="A700" s="92"/>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2">
      <c r="A701" s="92"/>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2">
      <c r="A702" s="92"/>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2">
      <c r="A703" s="92"/>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2">
      <c r="A704" s="92"/>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2">
      <c r="A705" s="92"/>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2">
      <c r="A706" s="92"/>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2">
      <c r="A707" s="92"/>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2">
      <c r="A708" s="92"/>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2">
      <c r="A709" s="92"/>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2">
      <c r="A710" s="92"/>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2">
      <c r="A711" s="92"/>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2">
      <c r="A712" s="92"/>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2">
      <c r="A713" s="92"/>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2">
      <c r="A714" s="92"/>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2">
      <c r="A715" s="92"/>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2">
      <c r="A716" s="92"/>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2">
      <c r="A717" s="92"/>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2">
      <c r="A718" s="92"/>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2">
      <c r="A719" s="92"/>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2">
      <c r="A720" s="92"/>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2">
      <c r="A721" s="92"/>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2">
      <c r="A722" s="92"/>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2">
      <c r="A723" s="92"/>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2">
      <c r="A724" s="92"/>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2">
      <c r="A725" s="92"/>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2">
      <c r="A726" s="92"/>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2">
      <c r="A727" s="92"/>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2">
      <c r="A728" s="92"/>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2">
      <c r="A729" s="92"/>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2">
      <c r="A730" s="92"/>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2">
      <c r="A731" s="92"/>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2">
      <c r="A732" s="92"/>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2">
      <c r="A733" s="92"/>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2">
      <c r="A734" s="92"/>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2">
      <c r="A735" s="92"/>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2">
      <c r="A736" s="92"/>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2">
      <c r="A737" s="92"/>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2">
      <c r="A738" s="92"/>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2">
      <c r="A739" s="92"/>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2">
      <c r="A740" s="92"/>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2">
      <c r="A741" s="92"/>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2">
      <c r="A742" s="92"/>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2">
      <c r="A743" s="92"/>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2">
      <c r="A744" s="92"/>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2">
      <c r="A745" s="92"/>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2">
      <c r="A746" s="92"/>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2">
      <c r="A747" s="92"/>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2">
      <c r="A748" s="92"/>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2">
      <c r="A749" s="92"/>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2">
      <c r="A750" s="92"/>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2">
      <c r="A751" s="92"/>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2">
      <c r="A752" s="92"/>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2">
      <c r="A753" s="92"/>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2">
      <c r="A754" s="92"/>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2">
      <c r="A755" s="92"/>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2">
      <c r="A756" s="92"/>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2">
      <c r="A757" s="92"/>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2">
      <c r="A758" s="92"/>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2">
      <c r="A759" s="92"/>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2">
      <c r="A760" s="92"/>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2">
      <c r="A761" s="92"/>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2">
      <c r="A762" s="92"/>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2">
      <c r="A763" s="92"/>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2">
      <c r="A764" s="92"/>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2">
      <c r="A765" s="92"/>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2">
      <c r="A766" s="92"/>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2">
      <c r="A767" s="92"/>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2">
      <c r="A768" s="92"/>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2">
      <c r="A769" s="92"/>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2">
      <c r="A770" s="92"/>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2">
      <c r="A771" s="92"/>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2">
      <c r="A772" s="92"/>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2">
      <c r="A773" s="92"/>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2">
      <c r="A774" s="92"/>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2">
      <c r="A775" s="92"/>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2">
      <c r="A776" s="92"/>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2">
      <c r="A777" s="92"/>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2">
      <c r="A778" s="92"/>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2">
      <c r="A779" s="92"/>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2">
      <c r="A780" s="92"/>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2">
      <c r="A781" s="92"/>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2">
      <c r="A782" s="92"/>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2">
      <c r="A783" s="92"/>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2">
      <c r="A784" s="92"/>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2">
      <c r="A785" s="92"/>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2">
      <c r="A786" s="92"/>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2">
      <c r="A787" s="92"/>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2">
      <c r="A788" s="92"/>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2">
      <c r="A789" s="92"/>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2">
      <c r="A790" s="92"/>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2">
      <c r="A791" s="92"/>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2">
      <c r="A792" s="92"/>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2">
      <c r="A793" s="92"/>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2">
      <c r="A794" s="92"/>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2">
      <c r="A795" s="92"/>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2">
      <c r="A796" s="92"/>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2">
      <c r="A797" s="92"/>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2">
      <c r="A798" s="92"/>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2">
      <c r="A799" s="92"/>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2">
      <c r="A800" s="92"/>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2">
      <c r="A801" s="92"/>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2">
      <c r="A802" s="92"/>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2">
      <c r="A803" s="92"/>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2">
      <c r="A804" s="92"/>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2">
      <c r="A805" s="92"/>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2">
      <c r="A806" s="92"/>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2">
      <c r="A807" s="92"/>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2">
      <c r="A808" s="92"/>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2">
      <c r="A809" s="92"/>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2">
      <c r="A810" s="92"/>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2">
      <c r="A811" s="92"/>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2">
      <c r="A812" s="92"/>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2">
      <c r="A813" s="92"/>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2">
      <c r="A814" s="92"/>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2">
      <c r="A815" s="92"/>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2">
      <c r="A816" s="92"/>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2">
      <c r="A817" s="92"/>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2">
      <c r="A818" s="92"/>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2">
      <c r="A819" s="92"/>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2">
      <c r="A820" s="92"/>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2">
      <c r="A821" s="92"/>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2">
      <c r="A822" s="92"/>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2">
      <c r="A823" s="92"/>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2">
      <c r="A824" s="92"/>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2">
      <c r="A825" s="92"/>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2">
      <c r="A826" s="92"/>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2">
      <c r="A827" s="92"/>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2">
      <c r="A828" s="92"/>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2">
      <c r="A829" s="92"/>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2">
      <c r="A830" s="92"/>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2">
      <c r="A831" s="92"/>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2">
      <c r="A832" s="92"/>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2">
      <c r="A833" s="92"/>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2">
      <c r="A834" s="92"/>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2">
      <c r="A835" s="92"/>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2">
      <c r="A836" s="92"/>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2">
      <c r="A837" s="92"/>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2">
      <c r="A838" s="92"/>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2">
      <c r="A839" s="92"/>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2">
      <c r="A840" s="92"/>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2">
      <c r="A841" s="92"/>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2">
      <c r="A842" s="92"/>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2">
      <c r="A843" s="92"/>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2">
      <c r="A844" s="92"/>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2">
      <c r="A845" s="92"/>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2">
      <c r="A846" s="92"/>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2">
      <c r="A847" s="92"/>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2">
      <c r="A848" s="92"/>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2">
      <c r="A849" s="92"/>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2">
      <c r="A850" s="92"/>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2">
      <c r="A851" s="92"/>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2">
      <c r="A852" s="92"/>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2">
      <c r="A853" s="92"/>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2">
      <c r="A854" s="92"/>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2">
      <c r="A855" s="92"/>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2">
      <c r="A856" s="92"/>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2">
      <c r="A857" s="92"/>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2">
      <c r="A858" s="92"/>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2">
      <c r="A859" s="92"/>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2">
      <c r="A860" s="92"/>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2">
      <c r="A861" s="92"/>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2">
      <c r="A862" s="92"/>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2">
      <c r="A863" s="92"/>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2">
      <c r="A864" s="92"/>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2">
      <c r="A865" s="92"/>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2">
      <c r="A866" s="92"/>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2">
      <c r="A867" s="92"/>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2">
      <c r="A868" s="92"/>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2">
      <c r="A869" s="92"/>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2">
      <c r="A870" s="92"/>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2">
      <c r="A871" s="92"/>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2">
      <c r="A872" s="92"/>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2">
      <c r="A873" s="92"/>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2">
      <c r="A874" s="92"/>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2">
      <c r="A875" s="92"/>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2">
      <c r="A876" s="92"/>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2">
      <c r="A877" s="92"/>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2">
      <c r="A878" s="92"/>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2">
      <c r="A879" s="92"/>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2">
      <c r="A880" s="92"/>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2">
      <c r="A881" s="92"/>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2">
      <c r="A882" s="92"/>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2">
      <c r="A883" s="92"/>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2">
      <c r="A884" s="92"/>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2">
      <c r="A885" s="92"/>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2">
      <c r="A886" s="92"/>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2">
      <c r="A887" s="92"/>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2">
      <c r="A888" s="92"/>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2">
      <c r="A889" s="92"/>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2">
      <c r="A890" s="92"/>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2">
      <c r="A891" s="92"/>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2">
      <c r="A892" s="92"/>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2">
      <c r="A893" s="92"/>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2">
      <c r="A894" s="92"/>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2">
      <c r="A895" s="92"/>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2">
      <c r="A896" s="92"/>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2">
      <c r="A897" s="92"/>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2">
      <c r="A898" s="92"/>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2">
      <c r="A899" s="92"/>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2">
      <c r="A900" s="92"/>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2">
      <c r="A901" s="92"/>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2">
      <c r="A902" s="92"/>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2">
      <c r="A903" s="92"/>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2">
      <c r="A904" s="92"/>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2">
      <c r="A905" s="92"/>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2">
      <c r="A906" s="92"/>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2">
      <c r="A907" s="92"/>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2">
      <c r="A908" s="92"/>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2">
      <c r="A909" s="92"/>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2">
      <c r="A910" s="92"/>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2">
      <c r="A911" s="92"/>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2">
      <c r="A912" s="92"/>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2">
      <c r="A913" s="92"/>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2">
      <c r="A914" s="92"/>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2">
      <c r="A915" s="92"/>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2">
      <c r="A916" s="92"/>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2">
      <c r="A917" s="92"/>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2">
      <c r="A918" s="92"/>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2">
      <c r="A919" s="92"/>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2">
      <c r="A920" s="92"/>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2">
      <c r="A921" s="92"/>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2">
      <c r="A922" s="92"/>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2">
      <c r="A923" s="92"/>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2">
      <c r="A924" s="92"/>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2">
      <c r="A925" s="92"/>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2">
      <c r="A926" s="92"/>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2">
      <c r="A927" s="92"/>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2">
      <c r="A928" s="92"/>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2">
      <c r="A929" s="92"/>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2">
      <c r="A930" s="92"/>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2">
      <c r="A931" s="92"/>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2">
      <c r="A932" s="92"/>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2">
      <c r="A933" s="92"/>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2">
      <c r="A934" s="92"/>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2">
      <c r="A935" s="92"/>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2">
      <c r="A936" s="92"/>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2">
      <c r="A937" s="92"/>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2">
      <c r="A938" s="92"/>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2">
      <c r="A939" s="92"/>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2">
      <c r="A940" s="92"/>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2">
      <c r="A941" s="92"/>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2">
      <c r="A942" s="92"/>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2">
      <c r="A943" s="92"/>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2">
      <c r="A944" s="92"/>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2">
      <c r="A945" s="92"/>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2">
      <c r="A946" s="92"/>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2">
      <c r="A947" s="92"/>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2">
      <c r="A948" s="92"/>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2">
      <c r="A949" s="92"/>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2">
      <c r="A950" s="92"/>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2">
      <c r="A951" s="92"/>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2">
      <c r="A952" s="92"/>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2">
      <c r="A953" s="92"/>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2">
      <c r="A954" s="92"/>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2">
      <c r="A955" s="92"/>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2">
      <c r="A956" s="92"/>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2">
      <c r="A957" s="92"/>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2">
      <c r="A958" s="92"/>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2">
      <c r="A959" s="92"/>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2">
      <c r="A960" s="92"/>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2">
      <c r="A961" s="92"/>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2">
      <c r="A962" s="92"/>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2">
      <c r="A963" s="92"/>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2">
      <c r="A964" s="92"/>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2">
      <c r="A965" s="92"/>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2">
      <c r="A966" s="92"/>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2">
      <c r="A967" s="92"/>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2">
      <c r="A968" s="92"/>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2">
      <c r="A969" s="92"/>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2">
      <c r="A970" s="92"/>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2">
      <c r="A971" s="92"/>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2">
      <c r="A972" s="92"/>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2">
      <c r="A973" s="92"/>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2">
      <c r="A974" s="92"/>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2">
      <c r="A975" s="92"/>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2">
      <c r="A976" s="92"/>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2">
      <c r="A977" s="92"/>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2">
      <c r="A978" s="92"/>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2">
      <c r="A979" s="92"/>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2">
      <c r="A980" s="92"/>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2">
      <c r="A981" s="92"/>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2">
      <c r="A982" s="92"/>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2">
      <c r="A983" s="92"/>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2">
      <c r="A984" s="92"/>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2">
      <c r="A985" s="92"/>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2">
      <c r="A986" s="92"/>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2">
      <c r="A987" s="92"/>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2">
      <c r="A988" s="92"/>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2">
      <c r="A989" s="92"/>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2">
      <c r="A990" s="92"/>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2">
      <c r="A991" s="92"/>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2">
      <c r="A992" s="92"/>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2">
      <c r="A993" s="92"/>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2">
      <c r="A994" s="92"/>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2">
      <c r="A995" s="92"/>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2">
      <c r="A996" s="92"/>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2">
      <c r="A997" s="92"/>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2">
      <c r="A998" s="92"/>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3.2">
      <c r="A999" s="92"/>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3.2">
      <c r="A1000" s="92"/>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3.2">
      <c r="A1001" s="92"/>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3.2">
      <c r="A1002" s="92"/>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3.2">
      <c r="A1003" s="92"/>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3.2">
      <c r="A1004" s="92"/>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row r="1005" spans="1:28" ht="13.2">
      <c r="A1005" s="92"/>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row>
    <row r="1006" spans="1:28" ht="13.2">
      <c r="A1006" s="92"/>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row>
    <row r="1007" spans="1:28" ht="13.2">
      <c r="A1007" s="92"/>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row>
    <row r="1008" spans="1:28" ht="13.2">
      <c r="A1008" s="92"/>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row>
  </sheetData>
  <pageMargins left="0.7" right="0.7" top="0.75" bottom="0.75" header="0.3" footer="0.3"/>
  <pageSetup orientation="portrait" horizontalDpi="1200" verticalDpi="1200" r:id="rId1"/>
  <ignoredErrors>
    <ignoredError sqref="L31:U31 L23:U23 L36:U36 L45:U45"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9"/>
  <sheetViews>
    <sheetView topLeftCell="A51" zoomScale="80" zoomScaleNormal="80" workbookViewId="0">
      <pane xSplit="1" topLeftCell="I1" activePane="topRight" state="frozen"/>
      <selection pane="topRight" activeCell="A30" sqref="A30:U66"/>
    </sheetView>
  </sheetViews>
  <sheetFormatPr defaultColWidth="12.6640625" defaultRowHeight="15.75" customHeight="1"/>
  <cols>
    <col min="1" max="1" width="54.88671875" style="93" customWidth="1"/>
    <col min="2" max="2" width="6.109375" hidden="1" customWidth="1"/>
    <col min="3" max="8" width="0" hidden="1" customWidth="1"/>
  </cols>
  <sheetData>
    <row r="1" spans="1:28" ht="15.6">
      <c r="A1" s="95" t="s">
        <v>4</v>
      </c>
      <c r="B1" s="2"/>
      <c r="C1" s="2"/>
      <c r="D1" s="2"/>
      <c r="E1" s="2"/>
      <c r="F1" s="2"/>
      <c r="G1" s="2"/>
      <c r="H1" s="2"/>
      <c r="I1" s="2"/>
      <c r="J1" s="2"/>
      <c r="K1" s="2"/>
      <c r="L1" s="2"/>
      <c r="M1" s="2"/>
      <c r="N1" s="2"/>
      <c r="O1" s="2"/>
      <c r="P1" s="2"/>
      <c r="Q1" s="2"/>
      <c r="R1" s="2"/>
      <c r="S1" s="2"/>
      <c r="T1" s="2"/>
      <c r="U1" s="2"/>
      <c r="V1" s="2"/>
      <c r="W1" s="2"/>
      <c r="X1" s="2"/>
      <c r="Y1" s="2"/>
      <c r="Z1" s="2"/>
      <c r="AA1" s="2"/>
      <c r="AB1" s="2"/>
    </row>
    <row r="2" spans="1:28" ht="13.2">
      <c r="A2" s="96" t="s">
        <v>5</v>
      </c>
      <c r="B2" s="2"/>
      <c r="C2" s="2"/>
      <c r="D2" s="2"/>
      <c r="E2" s="2"/>
      <c r="F2" s="2"/>
      <c r="G2" s="2"/>
      <c r="H2" s="2"/>
      <c r="I2" s="2"/>
      <c r="J2" s="2"/>
      <c r="K2" s="2"/>
      <c r="L2" s="2"/>
      <c r="M2" s="2"/>
      <c r="N2" s="2"/>
      <c r="O2" s="2"/>
      <c r="P2" s="2"/>
      <c r="Q2" s="2"/>
      <c r="R2" s="2"/>
      <c r="S2" s="2"/>
      <c r="T2" s="2"/>
      <c r="U2" s="2"/>
      <c r="V2" s="2"/>
      <c r="W2" s="2"/>
      <c r="X2" s="2"/>
      <c r="Y2" s="2"/>
      <c r="Z2" s="2"/>
      <c r="AA2" s="2"/>
      <c r="AB2" s="2"/>
    </row>
    <row r="3" spans="1:28" ht="13.2">
      <c r="A3" s="94" t="s">
        <v>6</v>
      </c>
      <c r="B3" s="2"/>
      <c r="C3" s="2"/>
      <c r="D3" s="2"/>
      <c r="E3" s="2"/>
      <c r="F3" s="2"/>
      <c r="G3" s="2"/>
      <c r="H3" s="2"/>
      <c r="I3" s="2"/>
      <c r="J3" s="2"/>
      <c r="K3" s="2"/>
      <c r="L3" s="2"/>
      <c r="M3" s="2"/>
      <c r="N3" s="2"/>
      <c r="O3" s="2"/>
      <c r="P3" s="2"/>
      <c r="Q3" s="2"/>
      <c r="R3" s="2"/>
      <c r="S3" s="2"/>
      <c r="T3" s="2"/>
      <c r="U3" s="2"/>
      <c r="V3" s="2"/>
      <c r="W3" s="2"/>
      <c r="X3" s="2"/>
      <c r="Y3" s="2"/>
      <c r="Z3" s="2"/>
      <c r="AA3" s="2"/>
      <c r="AB3" s="2"/>
    </row>
    <row r="4" spans="1:28" ht="13.2">
      <c r="A4" s="94"/>
      <c r="B4" s="2"/>
      <c r="C4" s="2"/>
      <c r="D4" s="2"/>
      <c r="E4" s="2"/>
      <c r="F4" s="2"/>
      <c r="G4" s="2"/>
      <c r="H4" s="2"/>
      <c r="I4" s="2"/>
      <c r="J4" s="2"/>
      <c r="K4" s="2"/>
      <c r="L4" s="2"/>
      <c r="M4" s="2"/>
      <c r="N4" s="2"/>
      <c r="O4" s="2"/>
      <c r="P4" s="2"/>
      <c r="Q4" s="2"/>
      <c r="R4" s="2"/>
      <c r="S4" s="2"/>
      <c r="T4" s="2"/>
      <c r="U4" s="2"/>
      <c r="V4" s="2"/>
      <c r="W4" s="2"/>
      <c r="X4" s="2"/>
      <c r="Y4" s="2"/>
      <c r="Z4" s="2"/>
      <c r="AA4" s="2"/>
      <c r="AB4" s="2"/>
    </row>
    <row r="5" spans="1:28" ht="13.2">
      <c r="A5" s="97" t="s">
        <v>8</v>
      </c>
      <c r="B5" s="2"/>
      <c r="C5" s="11">
        <v>2016</v>
      </c>
      <c r="D5" s="11">
        <v>2017</v>
      </c>
      <c r="E5" s="11">
        <v>2018</v>
      </c>
      <c r="F5" s="11">
        <v>2019</v>
      </c>
      <c r="G5" s="11">
        <v>2020</v>
      </c>
      <c r="H5" s="11">
        <v>2021</v>
      </c>
      <c r="I5" s="11">
        <v>2022</v>
      </c>
      <c r="J5" s="11">
        <v>2023</v>
      </c>
      <c r="K5" s="11">
        <v>2024</v>
      </c>
      <c r="L5" s="11">
        <v>2025</v>
      </c>
      <c r="M5" s="11">
        <v>2026</v>
      </c>
      <c r="N5" s="11">
        <v>2027</v>
      </c>
      <c r="O5" s="11">
        <v>2028</v>
      </c>
      <c r="P5" s="11">
        <v>2029</v>
      </c>
      <c r="Q5" s="11">
        <v>2030</v>
      </c>
      <c r="R5" s="11">
        <v>2031</v>
      </c>
      <c r="S5" s="11">
        <v>2032</v>
      </c>
      <c r="T5" s="11">
        <v>2033</v>
      </c>
      <c r="U5" s="11">
        <v>2034</v>
      </c>
      <c r="V5" s="2"/>
      <c r="W5" s="2"/>
      <c r="X5" s="2"/>
      <c r="Y5" s="2"/>
      <c r="Z5" s="2"/>
      <c r="AA5" s="2"/>
      <c r="AB5" s="2"/>
    </row>
    <row r="6" spans="1:28" ht="13.2">
      <c r="A6" s="94"/>
      <c r="B6" s="2"/>
      <c r="C6" s="2"/>
      <c r="D6" s="2"/>
      <c r="E6" s="2"/>
      <c r="F6" s="2"/>
      <c r="G6" s="2"/>
      <c r="H6" s="2"/>
      <c r="I6" s="2"/>
      <c r="J6" s="2"/>
      <c r="K6" s="2"/>
      <c r="L6" s="2"/>
      <c r="M6" s="2"/>
      <c r="N6" s="2"/>
      <c r="O6" s="2"/>
      <c r="P6" s="2"/>
      <c r="Q6" s="2"/>
      <c r="R6" s="2"/>
      <c r="S6" s="2"/>
      <c r="T6" s="2"/>
      <c r="U6" s="2"/>
      <c r="V6" s="2"/>
      <c r="W6" s="2"/>
      <c r="X6" s="2"/>
      <c r="Y6" s="2"/>
      <c r="Z6" s="2"/>
      <c r="AA6" s="2"/>
      <c r="AB6" s="2"/>
    </row>
    <row r="7" spans="1:28" ht="13.2">
      <c r="A7" s="96" t="s">
        <v>49</v>
      </c>
      <c r="B7" s="2"/>
      <c r="C7" s="2"/>
      <c r="D7" s="2"/>
      <c r="E7" s="2"/>
      <c r="F7" s="2"/>
      <c r="G7" s="2"/>
      <c r="H7" s="2"/>
      <c r="I7" s="2"/>
      <c r="J7" s="2"/>
      <c r="K7" s="2"/>
      <c r="L7" s="2"/>
      <c r="M7" s="2"/>
      <c r="N7" s="2"/>
      <c r="O7" s="2"/>
      <c r="P7" s="2"/>
      <c r="Q7" s="2"/>
      <c r="R7" s="2"/>
      <c r="S7" s="2"/>
      <c r="T7" s="2"/>
      <c r="U7" s="2"/>
      <c r="V7" s="2"/>
      <c r="W7" s="2"/>
      <c r="X7" s="2"/>
      <c r="Y7" s="2"/>
      <c r="Z7" s="2"/>
      <c r="AA7" s="2"/>
      <c r="AB7" s="2"/>
    </row>
    <row r="8" spans="1:28" ht="13.2">
      <c r="A8" s="94" t="s">
        <v>50</v>
      </c>
      <c r="B8" s="2"/>
      <c r="C8" s="12">
        <f>'Balance Sheet'!C10/('Income Statement'!C9/365)</f>
        <v>72.764875868244999</v>
      </c>
      <c r="D8" s="12">
        <f>'Balance Sheet'!D10/('Income Statement'!D9/365)</f>
        <v>85.813221702813976</v>
      </c>
      <c r="E8" s="12">
        <f>'Balance Sheet'!E10/('Income Statement'!E9/365)</f>
        <v>89.997212143740256</v>
      </c>
      <c r="F8" s="12">
        <f>'Balance Sheet'!F10/('Income Statement'!F9/365)</f>
        <v>107.55902760246288</v>
      </c>
      <c r="G8" s="12">
        <f>'Balance Sheet'!G10/('Income Statement'!G9/365)</f>
        <v>107.51645872554245</v>
      </c>
      <c r="H8" s="12">
        <f>'Balance Sheet'!H10/('Income Statement'!H9/365)</f>
        <v>99.33626361145113</v>
      </c>
      <c r="I8" s="12">
        <f>'Balance Sheet'!I10/('Income Statement'!I9/365)</f>
        <v>88.81702389930831</v>
      </c>
      <c r="J8" s="13">
        <v>88</v>
      </c>
      <c r="K8" s="13">
        <f t="shared" ref="K8:U8" si="0">J8</f>
        <v>88</v>
      </c>
      <c r="L8" s="13">
        <f t="shared" si="0"/>
        <v>88</v>
      </c>
      <c r="M8" s="13">
        <f t="shared" si="0"/>
        <v>88</v>
      </c>
      <c r="N8" s="13">
        <f t="shared" si="0"/>
        <v>88</v>
      </c>
      <c r="O8" s="13">
        <f t="shared" si="0"/>
        <v>88</v>
      </c>
      <c r="P8" s="13">
        <f t="shared" si="0"/>
        <v>88</v>
      </c>
      <c r="Q8" s="13">
        <f t="shared" si="0"/>
        <v>88</v>
      </c>
      <c r="R8" s="13">
        <f t="shared" si="0"/>
        <v>88</v>
      </c>
      <c r="S8" s="13">
        <f t="shared" si="0"/>
        <v>88</v>
      </c>
      <c r="T8" s="13">
        <f t="shared" si="0"/>
        <v>88</v>
      </c>
      <c r="U8" s="13">
        <f t="shared" si="0"/>
        <v>88</v>
      </c>
      <c r="V8" s="2"/>
      <c r="W8" s="2"/>
      <c r="X8" s="2"/>
      <c r="Y8" s="2"/>
      <c r="Z8" s="2"/>
      <c r="AA8" s="2"/>
      <c r="AB8" s="2"/>
    </row>
    <row r="9" spans="1:28" ht="13.2">
      <c r="A9" s="94" t="s">
        <v>51</v>
      </c>
      <c r="B9" s="2"/>
      <c r="C9" s="12">
        <f>'Balance Sheet'!C11/('Income Statement'!C15/365)</f>
        <v>57.284188988631286</v>
      </c>
      <c r="D9" s="12">
        <f>'Balance Sheet'!D11/('Income Statement'!D15/365)</f>
        <v>38.187773623494074</v>
      </c>
      <c r="E9" s="12">
        <f>'Balance Sheet'!E11/('Income Statement'!E15/365)</f>
        <v>31.651691937284031</v>
      </c>
      <c r="F9" s="12">
        <f>'Balance Sheet'!F11/('Income Statement'!F15/365)</f>
        <v>28.634520914569581</v>
      </c>
      <c r="G9" s="12">
        <f>'Balance Sheet'!G11/('Income Statement'!G15/365)</f>
        <v>20.276544602022945</v>
      </c>
      <c r="H9" s="12">
        <f>'Balance Sheet'!H11/('Income Statement'!H15/365)</f>
        <v>13.533153783525469</v>
      </c>
      <c r="I9" s="12">
        <f>'Balance Sheet'!I11/('Income Statement'!I15/365)</f>
        <v>23.117584899122591</v>
      </c>
      <c r="J9" s="14">
        <f>AVERAGE(D9:I9)</f>
        <v>25.900211626669783</v>
      </c>
      <c r="K9" s="13">
        <v>25.9</v>
      </c>
      <c r="L9" s="13">
        <v>25.9</v>
      </c>
      <c r="M9" s="13">
        <v>25.9</v>
      </c>
      <c r="N9" s="13">
        <v>25.9</v>
      </c>
      <c r="O9" s="13">
        <v>25.9</v>
      </c>
      <c r="P9" s="13">
        <v>25.9</v>
      </c>
      <c r="Q9" s="13">
        <v>25.9</v>
      </c>
      <c r="R9" s="13">
        <v>25.9</v>
      </c>
      <c r="S9" s="13">
        <v>25.9</v>
      </c>
      <c r="T9" s="13">
        <v>25.9</v>
      </c>
      <c r="U9" s="13">
        <v>25.9</v>
      </c>
      <c r="V9" s="2"/>
      <c r="W9" s="2"/>
      <c r="X9" s="2"/>
      <c r="Y9" s="2"/>
      <c r="Z9" s="2"/>
      <c r="AA9" s="2"/>
      <c r="AB9" s="2"/>
    </row>
    <row r="10" spans="1:28" ht="13.2">
      <c r="A10" s="94" t="s">
        <v>52</v>
      </c>
      <c r="B10" s="2"/>
      <c r="C10" s="15">
        <f>'Balance Sheet'!C12/'Income Statement'!C9</f>
        <v>1.9107034007359858E-2</v>
      </c>
      <c r="D10" s="15">
        <f>'Balance Sheet'!D12/'Income Statement'!D9</f>
        <v>2.8032443838576497E-2</v>
      </c>
      <c r="E10" s="15">
        <f>'Balance Sheet'!E12/'Income Statement'!E9</f>
        <v>2.2305543658906461E-2</v>
      </c>
      <c r="F10" s="15">
        <f>'Balance Sheet'!F12/'Income Statement'!F9</f>
        <v>2.4622626383954235E-2</v>
      </c>
      <c r="G10" s="15">
        <f>'Balance Sheet'!G12/'Income Statement'!G9</f>
        <v>1.5226148624484646E-2</v>
      </c>
      <c r="H10" s="15">
        <f>'Balance Sheet'!H12/'Income Statement'!H9</f>
        <v>3.1335275035954777E-2</v>
      </c>
      <c r="I10" s="15">
        <f>'Balance Sheet'!I12/'Income Statement'!I9</f>
        <v>3.066558687671396E-2</v>
      </c>
      <c r="J10" s="16">
        <f t="shared" ref="J10:U10" si="1">I10</f>
        <v>3.066558687671396E-2</v>
      </c>
      <c r="K10" s="17">
        <f t="shared" si="1"/>
        <v>3.066558687671396E-2</v>
      </c>
      <c r="L10" s="17">
        <f t="shared" si="1"/>
        <v>3.066558687671396E-2</v>
      </c>
      <c r="M10" s="17">
        <f t="shared" si="1"/>
        <v>3.066558687671396E-2</v>
      </c>
      <c r="N10" s="17">
        <f t="shared" si="1"/>
        <v>3.066558687671396E-2</v>
      </c>
      <c r="O10" s="17">
        <f t="shared" si="1"/>
        <v>3.066558687671396E-2</v>
      </c>
      <c r="P10" s="17">
        <f t="shared" si="1"/>
        <v>3.066558687671396E-2</v>
      </c>
      <c r="Q10" s="17">
        <f t="shared" si="1"/>
        <v>3.066558687671396E-2</v>
      </c>
      <c r="R10" s="17">
        <f t="shared" si="1"/>
        <v>3.066558687671396E-2</v>
      </c>
      <c r="S10" s="17">
        <f t="shared" si="1"/>
        <v>3.066558687671396E-2</v>
      </c>
      <c r="T10" s="17">
        <f t="shared" si="1"/>
        <v>3.066558687671396E-2</v>
      </c>
      <c r="U10" s="17">
        <f t="shared" si="1"/>
        <v>3.066558687671396E-2</v>
      </c>
      <c r="V10" s="2"/>
      <c r="W10" s="2"/>
      <c r="X10" s="2"/>
      <c r="Y10" s="2"/>
      <c r="Z10" s="2"/>
      <c r="AA10" s="2"/>
      <c r="AB10" s="2"/>
    </row>
    <row r="11" spans="1:28" ht="13.2">
      <c r="A11" s="94"/>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3.2">
      <c r="A12" s="96" t="s">
        <v>53</v>
      </c>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3.2">
      <c r="A13" s="94" t="s">
        <v>54</v>
      </c>
      <c r="B13" s="2"/>
      <c r="C13" s="18">
        <f>'Balance Sheet'!C24/(('Balance Sheet'!C11-'Balance Sheet'!B11+'Income Statement'!C15)/365)</f>
        <v>35.681519559612916</v>
      </c>
      <c r="D13" s="18">
        <f>'Balance Sheet'!D24/(('Balance Sheet'!D11-'Balance Sheet'!C11+'Income Statement'!D15)/365)</f>
        <v>68.158254496825577</v>
      </c>
      <c r="E13" s="18">
        <f>'Balance Sheet'!E24/(('Balance Sheet'!E11-'Balance Sheet'!D11+'Income Statement'!E15)/365)</f>
        <v>49.976016631050598</v>
      </c>
      <c r="F13" s="18">
        <f>'Balance Sheet'!F24/(('Balance Sheet'!F11-'Balance Sheet'!E11+'Income Statement'!F15)/365)</f>
        <v>64.921529855238916</v>
      </c>
      <c r="G13" s="18">
        <f>'Balance Sheet'!G24/(('Balance Sheet'!G11-'Balance Sheet'!F11+'Income Statement'!G15)/365)</f>
        <v>42.073803048185972</v>
      </c>
      <c r="H13" s="18">
        <f>'Balance Sheet'!H24/(('Balance Sheet'!H11-'Balance Sheet'!G11+'Income Statement'!H15)/365)</f>
        <v>33.715871824544408</v>
      </c>
      <c r="I13" s="18">
        <f>'Balance Sheet'!I24/(('Balance Sheet'!I11-'Balance Sheet'!H11+'Income Statement'!I15)/365)</f>
        <v>34.532744162495412</v>
      </c>
      <c r="J13" s="14">
        <f>AVERAGE(H13:I13)</f>
        <v>34.124307993519906</v>
      </c>
      <c r="K13" s="13">
        <v>34.1</v>
      </c>
      <c r="L13" s="13">
        <v>34.1</v>
      </c>
      <c r="M13" s="13">
        <v>34.1</v>
      </c>
      <c r="N13" s="13">
        <v>34.1</v>
      </c>
      <c r="O13" s="13">
        <v>34.1</v>
      </c>
      <c r="P13" s="13">
        <v>34.1</v>
      </c>
      <c r="Q13" s="13">
        <v>34.1</v>
      </c>
      <c r="R13" s="13">
        <v>34.1</v>
      </c>
      <c r="S13" s="13">
        <v>34.1</v>
      </c>
      <c r="T13" s="13">
        <v>34.1</v>
      </c>
      <c r="U13" s="13">
        <v>34.1</v>
      </c>
      <c r="V13" s="2"/>
      <c r="W13" s="2"/>
      <c r="X13" s="2"/>
      <c r="Y13" s="2"/>
      <c r="Z13" s="2"/>
      <c r="AA13" s="2"/>
      <c r="AB13" s="2"/>
    </row>
    <row r="14" spans="1:28" ht="13.2">
      <c r="A14" s="94" t="s">
        <v>55</v>
      </c>
      <c r="B14" s="2"/>
      <c r="C14" s="15">
        <f>('Balance Sheet'!C25-'Accrued Liabilities'!C9)/'Income Statement'!C9</f>
        <v>0.11578105049805719</v>
      </c>
      <c r="D14" s="15">
        <f>('Balance Sheet'!D25-'Accrued Liabilities'!D9)/'Income Statement'!D9</f>
        <v>0.14108662286475429</v>
      </c>
      <c r="E14" s="15">
        <f>('Balance Sheet'!E25-'Accrued Liabilities'!E9)/'Income Statement'!E9</f>
        <v>0.12388586758894878</v>
      </c>
      <c r="F14" s="15">
        <f>('Balance Sheet'!F25-'Accrued Liabilities'!F9)/'Income Statement'!F9</f>
        <v>0.14399147504564092</v>
      </c>
      <c r="G14" s="15">
        <f>('Balance Sheet'!G25-'Accrued Liabilities'!G9)/'Income Statement'!G9</f>
        <v>0.15540703153642513</v>
      </c>
      <c r="H14" s="15">
        <f>('Balance Sheet'!H25-'Accrued Liabilities'!H9)/'Income Statement'!H9</f>
        <v>0.17175206106958588</v>
      </c>
      <c r="I14" s="15">
        <f>('Balance Sheet'!I25-'Accrued Liabilities'!I9)/'Income Statement'!I9</f>
        <v>0.20515753227055902</v>
      </c>
      <c r="J14" s="16">
        <f t="shared" ref="J14:K14" si="2">I14+0.025</f>
        <v>0.23015753227055902</v>
      </c>
      <c r="K14" s="16">
        <f t="shared" si="2"/>
        <v>0.25515753227055904</v>
      </c>
      <c r="L14" s="17">
        <v>0.27300000000000002</v>
      </c>
      <c r="M14" s="17">
        <v>0.27300000000000002</v>
      </c>
      <c r="N14" s="17">
        <v>0.27300000000000002</v>
      </c>
      <c r="O14" s="17">
        <v>0.27300000000000002</v>
      </c>
      <c r="P14" s="17">
        <v>0.27300000000000002</v>
      </c>
      <c r="Q14" s="17">
        <v>0.27300000000000002</v>
      </c>
      <c r="R14" s="17">
        <v>0.27300000000000002</v>
      </c>
      <c r="S14" s="17">
        <v>0.27300000000000002</v>
      </c>
      <c r="T14" s="17">
        <v>0.27300000000000002</v>
      </c>
      <c r="U14" s="17">
        <v>0.27300000000000002</v>
      </c>
      <c r="V14" s="2"/>
      <c r="W14" s="2"/>
      <c r="X14" s="2"/>
      <c r="Y14" s="2"/>
      <c r="Z14" s="2"/>
      <c r="AA14" s="2"/>
      <c r="AB14" s="2"/>
    </row>
    <row r="15" spans="1:28" ht="13.2">
      <c r="A15" s="94" t="s">
        <v>56</v>
      </c>
      <c r="B15" s="2"/>
      <c r="C15" s="15">
        <f>'Balance Sheet'!C28/'Income Statement'!C9</f>
        <v>6.0082930096400596E-2</v>
      </c>
      <c r="D15" s="15">
        <f>'Balance Sheet'!D28/'Income Statement'!D9</f>
        <v>6.7284495956221491E-2</v>
      </c>
      <c r="E15" s="15">
        <f>'Balance Sheet'!E28/'Income Statement'!E9</f>
        <v>6.1200852249005393E-2</v>
      </c>
      <c r="F15" s="15">
        <f>'Balance Sheet'!F28/'Income Statement'!F9</f>
        <v>3.5308936586351036E-2</v>
      </c>
      <c r="G15" s="15">
        <f>'Balance Sheet'!G28/'Income Statement'!G9</f>
        <v>3.1188357096426651E-2</v>
      </c>
      <c r="H15" s="15">
        <f>'Balance Sheet'!H28/'Income Statement'!H9</f>
        <v>1.6552219068040618E-2</v>
      </c>
      <c r="I15" s="15">
        <f>'Balance Sheet'!I28/'Income Statement'!I9</f>
        <v>2.8043194156852285E-2</v>
      </c>
      <c r="J15" s="19">
        <v>0.03</v>
      </c>
      <c r="K15" s="19">
        <v>0.03</v>
      </c>
      <c r="L15" s="19">
        <v>0.03</v>
      </c>
      <c r="M15" s="19">
        <v>0.03</v>
      </c>
      <c r="N15" s="19">
        <v>0.03</v>
      </c>
      <c r="O15" s="19">
        <v>0.03</v>
      </c>
      <c r="P15" s="19">
        <v>0.03</v>
      </c>
      <c r="Q15" s="19">
        <v>0.03</v>
      </c>
      <c r="R15" s="19">
        <v>0.03</v>
      </c>
      <c r="S15" s="19">
        <v>0.03</v>
      </c>
      <c r="T15" s="19">
        <v>0.03</v>
      </c>
      <c r="U15" s="19">
        <v>0.03</v>
      </c>
      <c r="V15" s="2"/>
      <c r="W15" s="2"/>
      <c r="X15" s="2"/>
      <c r="Y15" s="2"/>
      <c r="Z15" s="2"/>
      <c r="AA15" s="2"/>
      <c r="AB15" s="2"/>
    </row>
    <row r="16" spans="1:28" ht="13.2">
      <c r="A16" s="94"/>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3.2">
      <c r="A17" s="96" t="s">
        <v>57</v>
      </c>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3.2">
      <c r="A18" s="94" t="s">
        <v>58</v>
      </c>
      <c r="B18" s="2"/>
      <c r="C18" s="12">
        <f>'Income Statement'!C9/C22</f>
        <v>41.839735516372798</v>
      </c>
      <c r="D18" s="12">
        <f>'Income Statement'!D9/D22</f>
        <v>34.796620521172642</v>
      </c>
      <c r="E18" s="12">
        <f>'Income Statement'!E9/E22</f>
        <v>29.389882837238758</v>
      </c>
      <c r="F18" s="12">
        <f>'Income Statement'!F9/F22</f>
        <v>10.932588948499932</v>
      </c>
      <c r="G18" s="12">
        <f>'Income Statement'!G9/G22</f>
        <v>11.458907066502574</v>
      </c>
      <c r="H18" s="12">
        <f>'Income Statement'!H9/H22</f>
        <v>15.569244285255706</v>
      </c>
      <c r="I18" s="12">
        <f>'Income Statement'!I9/I22</f>
        <v>9.3320737483994023</v>
      </c>
      <c r="J18" s="20">
        <f>AVERAGE(F18:I18)</f>
        <v>11.823203512164403</v>
      </c>
      <c r="K18" s="13">
        <v>11.8</v>
      </c>
      <c r="L18" s="13">
        <v>11.8</v>
      </c>
      <c r="M18" s="13">
        <v>11.8</v>
      </c>
      <c r="N18" s="13">
        <v>11.8</v>
      </c>
      <c r="O18" s="13">
        <v>11.8</v>
      </c>
      <c r="P18" s="13">
        <v>11.8</v>
      </c>
      <c r="Q18" s="13">
        <v>11.8</v>
      </c>
      <c r="R18" s="13">
        <v>11.8</v>
      </c>
      <c r="S18" s="13">
        <v>11.8</v>
      </c>
      <c r="T18" s="13">
        <v>11.8</v>
      </c>
      <c r="U18" s="13">
        <v>11.8</v>
      </c>
      <c r="V18" s="2"/>
      <c r="W18" s="2"/>
      <c r="X18" s="2"/>
      <c r="Y18" s="2"/>
      <c r="Z18" s="2"/>
      <c r="AA18" s="2"/>
      <c r="AB18" s="2"/>
    </row>
    <row r="19" spans="1:28" ht="13.2">
      <c r="A19" s="94" t="s">
        <v>59</v>
      </c>
      <c r="B19" s="2"/>
      <c r="C19" s="12"/>
      <c r="D19" s="12">
        <f t="shared" ref="D19:I19" si="3">C20/D23</f>
        <v>3.3765576323987538</v>
      </c>
      <c r="E19" s="12">
        <f t="shared" si="3"/>
        <v>3.5326742842470149</v>
      </c>
      <c r="F19" s="12">
        <f t="shared" si="3"/>
        <v>3.4924236537415494</v>
      </c>
      <c r="G19" s="12">
        <f t="shared" si="3"/>
        <v>6.2505298074265179</v>
      </c>
      <c r="H19" s="12">
        <f t="shared" si="3"/>
        <v>7.9490146518699891</v>
      </c>
      <c r="I19" s="12">
        <f t="shared" si="3"/>
        <v>8.0386740331491708</v>
      </c>
      <c r="J19" s="13">
        <v>8</v>
      </c>
      <c r="K19" s="13">
        <v>8</v>
      </c>
      <c r="L19" s="13">
        <f t="shared" ref="L19:U19" si="4">K19</f>
        <v>8</v>
      </c>
      <c r="M19" s="13">
        <f t="shared" si="4"/>
        <v>8</v>
      </c>
      <c r="N19" s="13">
        <f t="shared" si="4"/>
        <v>8</v>
      </c>
      <c r="O19" s="13">
        <f t="shared" si="4"/>
        <v>8</v>
      </c>
      <c r="P19" s="13">
        <f t="shared" si="4"/>
        <v>8</v>
      </c>
      <c r="Q19" s="13">
        <f t="shared" si="4"/>
        <v>8</v>
      </c>
      <c r="R19" s="13">
        <f t="shared" si="4"/>
        <v>8</v>
      </c>
      <c r="S19" s="13">
        <f t="shared" si="4"/>
        <v>8</v>
      </c>
      <c r="T19" s="13">
        <f t="shared" si="4"/>
        <v>8</v>
      </c>
      <c r="U19" s="13">
        <f t="shared" si="4"/>
        <v>8</v>
      </c>
      <c r="V19" s="2"/>
      <c r="W19" s="2"/>
      <c r="X19" s="2"/>
      <c r="Y19" s="2"/>
      <c r="Z19" s="2"/>
      <c r="AA19" s="2"/>
      <c r="AB19" s="2"/>
    </row>
    <row r="20" spans="1:28" ht="13.2">
      <c r="A20" s="94" t="s">
        <v>60</v>
      </c>
      <c r="B20" s="2"/>
      <c r="C20" s="21">
        <v>17342</v>
      </c>
      <c r="D20" s="21">
        <v>27516</v>
      </c>
      <c r="E20" s="21">
        <v>44944</v>
      </c>
      <c r="F20" s="21">
        <v>135674</v>
      </c>
      <c r="G20" s="21">
        <v>201277</v>
      </c>
      <c r="H20" s="21">
        <v>248805</v>
      </c>
      <c r="I20" s="21">
        <v>435122</v>
      </c>
      <c r="J20" s="22">
        <f t="shared" ref="J20:U20" si="5">J22-J21</f>
        <v>482453.77038781013</v>
      </c>
      <c r="K20" s="22">
        <f t="shared" si="5"/>
        <v>592137.62396049476</v>
      </c>
      <c r="L20" s="22">
        <f t="shared" si="5"/>
        <v>723122.77626522142</v>
      </c>
      <c r="M20" s="22">
        <f t="shared" si="5"/>
        <v>875339.49766991031</v>
      </c>
      <c r="N20" s="22">
        <f t="shared" si="5"/>
        <v>1046936.5397266251</v>
      </c>
      <c r="O20" s="22">
        <f t="shared" si="5"/>
        <v>1234935.104251503</v>
      </c>
      <c r="P20" s="22">
        <f t="shared" si="5"/>
        <v>1434633.2585928338</v>
      </c>
      <c r="Q20" s="22">
        <f t="shared" si="5"/>
        <v>1650271.4565801658</v>
      </c>
      <c r="R20" s="22">
        <f t="shared" si="5"/>
        <v>1890359.5593739324</v>
      </c>
      <c r="S20" s="22">
        <f t="shared" si="5"/>
        <v>2161688.9728686512</v>
      </c>
      <c r="T20" s="22">
        <f t="shared" si="5"/>
        <v>2469179.6369789294</v>
      </c>
      <c r="U20" s="22">
        <f t="shared" si="5"/>
        <v>2817394.1781833</v>
      </c>
      <c r="V20" s="2"/>
      <c r="W20" s="2"/>
      <c r="X20" s="2"/>
      <c r="Y20" s="2"/>
      <c r="Z20" s="2"/>
      <c r="AA20" s="2"/>
      <c r="AB20" s="2"/>
    </row>
    <row r="21" spans="1:28" ht="13.2">
      <c r="A21" s="94" t="s">
        <v>61</v>
      </c>
      <c r="B21" s="2"/>
      <c r="C21" s="21">
        <v>-7814</v>
      </c>
      <c r="D21" s="21">
        <v>-12780</v>
      </c>
      <c r="E21" s="21">
        <v>-19680</v>
      </c>
      <c r="F21" s="21">
        <v>-32412</v>
      </c>
      <c r="G21" s="21">
        <v>-46080</v>
      </c>
      <c r="H21" s="21">
        <v>-71238</v>
      </c>
      <c r="I21" s="21">
        <v>-100091</v>
      </c>
      <c r="J21" s="22">
        <f t="shared" ref="J21:U21" si="6">I21-J23</f>
        <v>-154481.25</v>
      </c>
      <c r="K21" s="22">
        <f t="shared" si="6"/>
        <v>-214787.97129847627</v>
      </c>
      <c r="L21" s="22">
        <f t="shared" si="6"/>
        <v>-288805.17429353809</v>
      </c>
      <c r="M21" s="22">
        <f t="shared" si="6"/>
        <v>-379195.5213266908</v>
      </c>
      <c r="N21" s="22">
        <f t="shared" si="6"/>
        <v>-488612.95853542956</v>
      </c>
      <c r="O21" s="22">
        <f t="shared" si="6"/>
        <v>-619480.02600125771</v>
      </c>
      <c r="P21" s="22">
        <f t="shared" si="6"/>
        <v>-773846.91403269558</v>
      </c>
      <c r="Q21" s="22">
        <f t="shared" si="6"/>
        <v>-953176.0713567998</v>
      </c>
      <c r="R21" s="22">
        <f t="shared" si="6"/>
        <v>-1159460.0034293206</v>
      </c>
      <c r="S21" s="22">
        <f t="shared" si="6"/>
        <v>-1395754.9483510621</v>
      </c>
      <c r="T21" s="22">
        <f t="shared" si="6"/>
        <v>-1665966.0699596435</v>
      </c>
      <c r="U21" s="22">
        <f t="shared" si="6"/>
        <v>-1974613.5245820098</v>
      </c>
      <c r="V21" s="2"/>
      <c r="W21" s="2"/>
      <c r="X21" s="2"/>
      <c r="Y21" s="2"/>
      <c r="Z21" s="2"/>
      <c r="AA21" s="2"/>
      <c r="AB21" s="2"/>
    </row>
    <row r="22" spans="1:28" ht="13.2">
      <c r="A22" s="94" t="s">
        <v>62</v>
      </c>
      <c r="B22" s="2"/>
      <c r="C22" s="23">
        <f t="shared" ref="C22:H22" si="7">SUM(C20:C21)</f>
        <v>9528</v>
      </c>
      <c r="D22" s="23">
        <f t="shared" si="7"/>
        <v>14736</v>
      </c>
      <c r="E22" s="23">
        <f t="shared" si="7"/>
        <v>25264</v>
      </c>
      <c r="F22" s="23">
        <f t="shared" si="7"/>
        <v>103262</v>
      </c>
      <c r="G22" s="23">
        <f t="shared" si="7"/>
        <v>155197</v>
      </c>
      <c r="H22" s="23">
        <f t="shared" si="7"/>
        <v>177567</v>
      </c>
      <c r="I22" s="23">
        <f>SUM(I20:I21)</f>
        <v>335031</v>
      </c>
      <c r="J22" s="22">
        <f>'Income Statement'!J9/J18</f>
        <v>327972.52038781013</v>
      </c>
      <c r="K22" s="22">
        <f>'Income Statement'!K9/K18</f>
        <v>377349.65266201843</v>
      </c>
      <c r="L22" s="22">
        <f>'Income Statement'!L9/L18</f>
        <v>434317.60197168327</v>
      </c>
      <c r="M22" s="22">
        <f>'Income Statement'!M9/M18</f>
        <v>496143.97634321958</v>
      </c>
      <c r="N22" s="22">
        <f>'Income Statement'!N9/N18</f>
        <v>558323.58119119552</v>
      </c>
      <c r="O22" s="22">
        <f>'Income Statement'!O9/O18</f>
        <v>615455.07825024519</v>
      </c>
      <c r="P22" s="22">
        <f>'Income Statement'!P9/P18</f>
        <v>660786.34456013818</v>
      </c>
      <c r="Q22" s="22">
        <f>'Income Statement'!Q9/Q18</f>
        <v>697095.38522336597</v>
      </c>
      <c r="R22" s="22">
        <f>'Income Statement'!R9/R18</f>
        <v>730899.55594461167</v>
      </c>
      <c r="S22" s="22">
        <f>'Income Statement'!S9/S18</f>
        <v>765934.02451758902</v>
      </c>
      <c r="T22" s="22">
        <f>'Income Statement'!T9/T18</f>
        <v>803213.56701928575</v>
      </c>
      <c r="U22" s="22">
        <f>'Income Statement'!U9/U18</f>
        <v>842780.65360129031</v>
      </c>
      <c r="V22" s="2"/>
      <c r="W22" s="2"/>
      <c r="X22" s="2"/>
      <c r="Y22" s="2"/>
      <c r="Z22" s="2"/>
      <c r="AA22" s="2"/>
      <c r="AB22" s="2"/>
    </row>
    <row r="23" spans="1:28" ht="13.2">
      <c r="A23" s="94" t="s">
        <v>63</v>
      </c>
      <c r="B23" s="2"/>
      <c r="C23" s="23">
        <f>'Cash Flows'!C9</f>
        <v>5302</v>
      </c>
      <c r="D23" s="23">
        <f>'Cash Flows'!D9</f>
        <v>5136</v>
      </c>
      <c r="E23" s="23">
        <f>'Cash Flows'!E9</f>
        <v>7789</v>
      </c>
      <c r="F23" s="23">
        <f>'Cash Flows'!F9</f>
        <v>12869</v>
      </c>
      <c r="G23" s="23">
        <f>'Cash Flows'!G9</f>
        <v>21706</v>
      </c>
      <c r="H23" s="23">
        <f>'Cash Flows'!H9</f>
        <v>25321</v>
      </c>
      <c r="I23" s="23">
        <f>'Cash Flows'!I9</f>
        <v>30951</v>
      </c>
      <c r="J23" s="22">
        <f t="shared" ref="J23:U23" si="8">I20/J19</f>
        <v>54390.25</v>
      </c>
      <c r="K23" s="22">
        <f t="shared" si="8"/>
        <v>60306.721298476266</v>
      </c>
      <c r="L23" s="22">
        <f t="shared" si="8"/>
        <v>74017.202995061845</v>
      </c>
      <c r="M23" s="22">
        <f t="shared" si="8"/>
        <v>90390.347033152677</v>
      </c>
      <c r="N23" s="22">
        <f t="shared" si="8"/>
        <v>109417.43720873879</v>
      </c>
      <c r="O23" s="22">
        <f t="shared" si="8"/>
        <v>130867.06746582814</v>
      </c>
      <c r="P23" s="22">
        <f t="shared" si="8"/>
        <v>154366.88803143788</v>
      </c>
      <c r="Q23" s="22">
        <f t="shared" si="8"/>
        <v>179329.15732410422</v>
      </c>
      <c r="R23" s="22">
        <f t="shared" si="8"/>
        <v>206283.93207252072</v>
      </c>
      <c r="S23" s="22">
        <f t="shared" si="8"/>
        <v>236294.94492174155</v>
      </c>
      <c r="T23" s="22">
        <f t="shared" si="8"/>
        <v>270211.12160858139</v>
      </c>
      <c r="U23" s="22">
        <f t="shared" si="8"/>
        <v>308647.45462236617</v>
      </c>
      <c r="V23" s="2"/>
      <c r="W23" s="2"/>
      <c r="X23" s="2"/>
      <c r="Y23" s="2"/>
      <c r="Z23" s="2"/>
      <c r="AA23" s="2"/>
      <c r="AB23" s="2"/>
    </row>
    <row r="24" spans="1:28" ht="13.2">
      <c r="A24" s="94" t="s">
        <v>64</v>
      </c>
      <c r="B24" s="2"/>
      <c r="C24" s="24">
        <f>-'Cash Flows'!C35</f>
        <v>8596</v>
      </c>
      <c r="D24" s="24">
        <f>-'Cash Flows'!D35</f>
        <v>9229</v>
      </c>
      <c r="E24" s="24">
        <f>-'Cash Flows'!E35</f>
        <v>18327</v>
      </c>
      <c r="F24" s="24">
        <f>-'Cash Flows'!F35</f>
        <v>77180</v>
      </c>
      <c r="G24" s="24">
        <f>-'Cash Flows'!G35</f>
        <v>82382</v>
      </c>
      <c r="H24" s="24">
        <f>-'Cash Flows'!H35</f>
        <v>40041</v>
      </c>
      <c r="I24" s="24">
        <f>-'Cash Flows'!I35</f>
        <v>161696</v>
      </c>
      <c r="J24" s="22">
        <f t="shared" ref="J24:U24" si="9">J20-I20</f>
        <v>47331.770387810131</v>
      </c>
      <c r="K24" s="22">
        <f t="shared" si="9"/>
        <v>109683.85357268463</v>
      </c>
      <c r="L24" s="22">
        <f t="shared" si="9"/>
        <v>130985.15230472665</v>
      </c>
      <c r="M24" s="22">
        <f t="shared" si="9"/>
        <v>152216.7214046889</v>
      </c>
      <c r="N24" s="22">
        <f t="shared" si="9"/>
        <v>171597.04205671477</v>
      </c>
      <c r="O24" s="22">
        <f t="shared" si="9"/>
        <v>187998.56452487793</v>
      </c>
      <c r="P24" s="22">
        <f t="shared" si="9"/>
        <v>199698.15434133075</v>
      </c>
      <c r="Q24" s="22">
        <f t="shared" si="9"/>
        <v>215638.19798733201</v>
      </c>
      <c r="R24" s="22">
        <f t="shared" si="9"/>
        <v>240088.10279376665</v>
      </c>
      <c r="S24" s="22">
        <f t="shared" si="9"/>
        <v>271329.41349471873</v>
      </c>
      <c r="T24" s="22">
        <f t="shared" si="9"/>
        <v>307490.66411027825</v>
      </c>
      <c r="U24" s="22">
        <f t="shared" si="9"/>
        <v>348214.54120437056</v>
      </c>
      <c r="V24" s="2"/>
      <c r="W24" s="2"/>
      <c r="X24" s="2"/>
      <c r="Y24" s="2"/>
      <c r="Z24" s="2"/>
      <c r="AA24" s="2"/>
      <c r="AB24" s="2"/>
    </row>
    <row r="25" spans="1:28" ht="13.2">
      <c r="A25" s="94"/>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3.2">
      <c r="A26" s="94" t="s">
        <v>65</v>
      </c>
      <c r="B26" s="2"/>
      <c r="C26" s="23">
        <f>'Balance Sheet'!C17</f>
        <v>0</v>
      </c>
      <c r="D26" s="23">
        <f>'Balance Sheet'!D17</f>
        <v>2030</v>
      </c>
      <c r="E26" s="23">
        <f>'Balance Sheet'!E17</f>
        <v>1477</v>
      </c>
      <c r="F26" s="23">
        <f>'Balance Sheet'!F17</f>
        <v>76668</v>
      </c>
      <c r="G26" s="23">
        <f>'Balance Sheet'!G17</f>
        <v>62181</v>
      </c>
      <c r="H26" s="23">
        <f>'Balance Sheet'!H17</f>
        <v>84126</v>
      </c>
      <c r="I26" s="23">
        <f>'Balance Sheet'!I17</f>
        <v>58881</v>
      </c>
      <c r="J26" s="25">
        <f>I26-'Intangible Assets'!B3</f>
        <v>41815</v>
      </c>
      <c r="K26" s="25">
        <f>J26-'Intangible Assets'!B4</f>
        <v>27540</v>
      </c>
      <c r="L26" s="25">
        <f>K26-'Intangible Assets'!B5</f>
        <v>14969</v>
      </c>
      <c r="M26" s="25">
        <f>L26-'Intangible Assets'!B6</f>
        <v>10895</v>
      </c>
      <c r="N26" s="25">
        <f>M26-'Intangible Assets'!B7</f>
        <v>8158</v>
      </c>
      <c r="O26" s="25">
        <f>N26-'Intangible Assets'!B8</f>
        <v>0</v>
      </c>
      <c r="P26" s="26">
        <v>0</v>
      </c>
      <c r="Q26" s="26">
        <v>0</v>
      </c>
      <c r="R26" s="26">
        <v>0</v>
      </c>
      <c r="S26" s="26">
        <v>0</v>
      </c>
      <c r="T26" s="26">
        <v>0</v>
      </c>
      <c r="U26" s="26">
        <v>0</v>
      </c>
      <c r="V26" s="2"/>
      <c r="W26" s="2"/>
      <c r="X26" s="2"/>
      <c r="Y26" s="2"/>
      <c r="Z26" s="2"/>
      <c r="AA26" s="2"/>
      <c r="AB26" s="2"/>
    </row>
    <row r="27" spans="1:28" ht="13.2">
      <c r="A27" s="94" t="s">
        <v>66</v>
      </c>
      <c r="B27" s="2"/>
      <c r="C27" s="23">
        <f>'Balance Sheet'!C18</f>
        <v>0</v>
      </c>
      <c r="D27" s="23">
        <f>'Balance Sheet'!D18</f>
        <v>1382</v>
      </c>
      <c r="E27" s="23">
        <f>'Balance Sheet'!E18</f>
        <v>1382</v>
      </c>
      <c r="F27" s="23">
        <f>'Balance Sheet'!F18</f>
        <v>74116</v>
      </c>
      <c r="G27" s="23">
        <f>'Balance Sheet'!G18</f>
        <v>73058</v>
      </c>
      <c r="H27" s="23">
        <f>'Balance Sheet'!H18</f>
        <v>161519</v>
      </c>
      <c r="I27" s="23">
        <f>'Balance Sheet'!I18</f>
        <v>161519</v>
      </c>
      <c r="J27" s="25">
        <f t="shared" ref="J27:U27" si="10">161519</f>
        <v>161519</v>
      </c>
      <c r="K27" s="25">
        <f t="shared" si="10"/>
        <v>161519</v>
      </c>
      <c r="L27" s="25">
        <f t="shared" si="10"/>
        <v>161519</v>
      </c>
      <c r="M27" s="25">
        <f t="shared" si="10"/>
        <v>161519</v>
      </c>
      <c r="N27" s="25">
        <f t="shared" si="10"/>
        <v>161519</v>
      </c>
      <c r="O27" s="25">
        <f t="shared" si="10"/>
        <v>161519</v>
      </c>
      <c r="P27" s="25">
        <f t="shared" si="10"/>
        <v>161519</v>
      </c>
      <c r="Q27" s="25">
        <f t="shared" si="10"/>
        <v>161519</v>
      </c>
      <c r="R27" s="25">
        <f t="shared" si="10"/>
        <v>161519</v>
      </c>
      <c r="S27" s="25">
        <f t="shared" si="10"/>
        <v>161519</v>
      </c>
      <c r="T27" s="25">
        <f t="shared" si="10"/>
        <v>161519</v>
      </c>
      <c r="U27" s="25">
        <f t="shared" si="10"/>
        <v>161519</v>
      </c>
      <c r="V27" s="2"/>
      <c r="W27" s="2"/>
      <c r="X27" s="2"/>
      <c r="Y27" s="2"/>
      <c r="Z27" s="2"/>
      <c r="AA27" s="2"/>
      <c r="AB27" s="2"/>
    </row>
    <row r="28" spans="1:28" ht="13.2">
      <c r="A28" s="94" t="s">
        <v>67</v>
      </c>
      <c r="B28" s="2"/>
      <c r="C28" s="15">
        <f>'Balance Sheet'!C19/'Income Statement'!C9</f>
        <v>1.0861685342243427E-2</v>
      </c>
      <c r="D28" s="15">
        <f>'Balance Sheet'!D19/'Income Statement'!D9</f>
        <v>1.7224331708801142E-2</v>
      </c>
      <c r="E28" s="15">
        <f>'Balance Sheet'!E19/'Income Statement'!E9</f>
        <v>5.3050076363019292E-3</v>
      </c>
      <c r="F28" s="15">
        <f>'Balance Sheet'!F19/'Income Statement'!F9</f>
        <v>4.902025916782485E-3</v>
      </c>
      <c r="G28" s="15">
        <f>'Balance Sheet'!G19/'Income Statement'!G9</f>
        <v>4.7020110347123353E-3</v>
      </c>
      <c r="H28" s="15">
        <f>'Balance Sheet'!H19/'Income Statement'!H9</f>
        <v>1.2679303649301305E-2</v>
      </c>
      <c r="I28" s="15">
        <f>'Balance Sheet'!I19/'Income Statement'!I9</f>
        <v>2.4893380337459949E-2</v>
      </c>
      <c r="J28" s="17">
        <v>2.5000000000000001E-2</v>
      </c>
      <c r="K28" s="17">
        <v>0.02</v>
      </c>
      <c r="L28" s="17">
        <v>1.4999999999999999E-2</v>
      </c>
      <c r="M28" s="17">
        <v>0.01</v>
      </c>
      <c r="N28" s="17">
        <v>5.0000000000000001E-3</v>
      </c>
      <c r="O28" s="17">
        <v>5.0000000000000001E-3</v>
      </c>
      <c r="P28" s="17">
        <v>5.0000000000000001E-3</v>
      </c>
      <c r="Q28" s="17">
        <v>5.0000000000000001E-3</v>
      </c>
      <c r="R28" s="17">
        <v>5.0000000000000001E-3</v>
      </c>
      <c r="S28" s="17">
        <v>5.0000000000000001E-3</v>
      </c>
      <c r="T28" s="17">
        <v>5.0000000000000001E-3</v>
      </c>
      <c r="U28" s="17">
        <v>5.0000000000000001E-3</v>
      </c>
      <c r="V28" s="2"/>
      <c r="W28" s="2"/>
      <c r="X28" s="2"/>
      <c r="Y28" s="2"/>
      <c r="Z28" s="2"/>
      <c r="AA28" s="2"/>
      <c r="AB28" s="2"/>
    </row>
    <row r="29" spans="1:28" ht="13.2">
      <c r="A29" s="94"/>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3.2">
      <c r="A30" s="96" t="s">
        <v>68</v>
      </c>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3.2">
      <c r="A31" s="94" t="s">
        <v>69</v>
      </c>
      <c r="B31" s="2"/>
      <c r="C31" s="27">
        <f>'Balance Sheet'!C15/('Income Statement'!C24+'Income Statement'!C25)</f>
        <v>0</v>
      </c>
      <c r="D31" s="27">
        <f>'Balance Sheet'!D15/('Income Statement'!D24+'Income Statement'!D25)</f>
        <v>0</v>
      </c>
      <c r="E31" s="15">
        <f>'Balance Sheet'!E15/('Income Statement'!E24+'Income Statement'!E25)</f>
        <v>0</v>
      </c>
      <c r="F31" s="15">
        <f>'Balance Sheet'!F15/('Income Statement'!F24+'Income Statement'!F25)</f>
        <v>0.95942385326072233</v>
      </c>
      <c r="G31" s="15">
        <f>'Balance Sheet'!G15/('Income Statement'!G24+'Income Statement'!G25)</f>
        <v>0.5631558237145855</v>
      </c>
      <c r="H31" s="15">
        <f>'Balance Sheet'!H15/('Income Statement'!H24+'Income Statement'!H25)</f>
        <v>0.48554708680176095</v>
      </c>
      <c r="I31" s="15">
        <f>'Balance Sheet'!I15/('Income Statement'!I24+'Income Statement'!I25)</f>
        <v>0.44095708128750222</v>
      </c>
      <c r="J31" s="28">
        <v>0.441</v>
      </c>
      <c r="K31" s="28">
        <v>0.441</v>
      </c>
      <c r="L31" s="28">
        <v>0.441</v>
      </c>
      <c r="M31" s="28">
        <v>0.441</v>
      </c>
      <c r="N31" s="28">
        <v>0.441</v>
      </c>
      <c r="O31" s="28">
        <v>0.441</v>
      </c>
      <c r="P31" s="28">
        <v>0.441</v>
      </c>
      <c r="Q31" s="28">
        <v>0.441</v>
      </c>
      <c r="R31" s="28">
        <v>0.441</v>
      </c>
      <c r="S31" s="28">
        <v>0.441</v>
      </c>
      <c r="T31" s="28">
        <v>0.441</v>
      </c>
      <c r="U31" s="28">
        <v>0.441</v>
      </c>
      <c r="V31" s="2"/>
      <c r="W31" s="2"/>
      <c r="X31" s="2"/>
      <c r="Y31" s="2"/>
      <c r="Z31" s="2"/>
      <c r="AA31" s="2"/>
      <c r="AB31" s="2"/>
    </row>
    <row r="32" spans="1:28" ht="13.2">
      <c r="A32" s="94" t="s">
        <v>70</v>
      </c>
      <c r="B32" s="2"/>
      <c r="C32" s="23">
        <f>'Balance Sheet'!C15</f>
        <v>0</v>
      </c>
      <c r="D32" s="23">
        <f>'Balance Sheet'!D15</f>
        <v>0</v>
      </c>
      <c r="E32" s="23">
        <f>'Balance Sheet'!E15</f>
        <v>0</v>
      </c>
      <c r="F32" s="23">
        <f>'Balance Sheet'!F15</f>
        <v>283291</v>
      </c>
      <c r="G32" s="23">
        <f>'Balance Sheet'!G15</f>
        <v>266197</v>
      </c>
      <c r="H32" s="23">
        <f>'Balance Sheet'!H15</f>
        <v>345660</v>
      </c>
      <c r="I32" s="23">
        <f>'Balance Sheet'!I15</f>
        <v>521695</v>
      </c>
      <c r="J32" s="22">
        <f>('Income Statement'!J24+'Income Statement'!J25)*J31</f>
        <v>663780.86088376248</v>
      </c>
      <c r="K32" s="22">
        <f>('Income Statement'!K24+'Income Statement'!K25)*K31</f>
        <v>781852.52909271733</v>
      </c>
      <c r="L32" s="22">
        <f>('Income Statement'!L24+'Income Statement'!L25)*L31</f>
        <v>745833.63925628108</v>
      </c>
      <c r="M32" s="22">
        <f>('Income Statement'!M24+'Income Statement'!M25)*M31</f>
        <v>848132.47691515705</v>
      </c>
      <c r="N32" s="22">
        <f>('Income Statement'!N24+'Income Statement'!N25)*N31</f>
        <v>950067.19033949729</v>
      </c>
      <c r="O32" s="22">
        <f>('Income Statement'!O24+'Income Statement'!O25)*O31</f>
        <v>1042480.521832653</v>
      </c>
      <c r="P32" s="22">
        <f>('Income Statement'!P24+'Income Statement'!P25)*P31</f>
        <v>1114106.3934623434</v>
      </c>
      <c r="Q32" s="22">
        <f>('Income Statement'!Q24+'Income Statement'!Q25)*Q31</f>
        <v>1173510.7963798016</v>
      </c>
      <c r="R32" s="22">
        <f>('Income Statement'!R24+'Income Statement'!R25)*R31</f>
        <v>1228516.0002795362</v>
      </c>
      <c r="S32" s="22">
        <f>('Income Statement'!S24+'Income Statement'!S25)*S31</f>
        <v>1285410.0112630432</v>
      </c>
      <c r="T32" s="22">
        <f>('Income Statement'!T24+'Income Statement'!T25)*T31</f>
        <v>1345883.6087376974</v>
      </c>
      <c r="U32" s="22">
        <f>('Income Statement'!U24+'Income Statement'!U25)*U31</f>
        <v>1409990.3218151419</v>
      </c>
      <c r="V32" s="2"/>
      <c r="W32" s="2"/>
      <c r="X32" s="2"/>
      <c r="Y32" s="2"/>
      <c r="Z32" s="2"/>
      <c r="AA32" s="2"/>
      <c r="AB32" s="2"/>
    </row>
    <row r="33" spans="1:28" ht="13.2">
      <c r="A33" s="94" t="s">
        <v>71</v>
      </c>
      <c r="B33" s="2"/>
      <c r="C33" s="23">
        <f t="shared" ref="C33:U33" si="11">C32-B32</f>
        <v>0</v>
      </c>
      <c r="D33" s="23">
        <f t="shared" si="11"/>
        <v>0</v>
      </c>
      <c r="E33" s="23">
        <f t="shared" si="11"/>
        <v>0</v>
      </c>
      <c r="F33" s="23">
        <f t="shared" si="11"/>
        <v>283291</v>
      </c>
      <c r="G33" s="23">
        <f t="shared" si="11"/>
        <v>-17094</v>
      </c>
      <c r="H33" s="23">
        <f t="shared" si="11"/>
        <v>79463</v>
      </c>
      <c r="I33" s="23">
        <f t="shared" si="11"/>
        <v>176035</v>
      </c>
      <c r="J33" s="22">
        <f t="shared" si="11"/>
        <v>142085.86088376248</v>
      </c>
      <c r="K33" s="22">
        <f t="shared" si="11"/>
        <v>118071.66820895486</v>
      </c>
      <c r="L33" s="22">
        <f t="shared" si="11"/>
        <v>-36018.889836436254</v>
      </c>
      <c r="M33" s="22">
        <f t="shared" si="11"/>
        <v>102298.83765887597</v>
      </c>
      <c r="N33" s="22">
        <f t="shared" si="11"/>
        <v>101934.71342434024</v>
      </c>
      <c r="O33" s="22">
        <f t="shared" si="11"/>
        <v>92413.331493155682</v>
      </c>
      <c r="P33" s="22">
        <f t="shared" si="11"/>
        <v>71625.871629690402</v>
      </c>
      <c r="Q33" s="22">
        <f t="shared" si="11"/>
        <v>59404.40291745821</v>
      </c>
      <c r="R33" s="22">
        <f t="shared" si="11"/>
        <v>55005.203899734654</v>
      </c>
      <c r="S33" s="22">
        <f t="shared" si="11"/>
        <v>56894.010983506916</v>
      </c>
      <c r="T33" s="22">
        <f t="shared" si="11"/>
        <v>60473.597474654205</v>
      </c>
      <c r="U33" s="22">
        <f t="shared" si="11"/>
        <v>64106.713077444583</v>
      </c>
      <c r="V33" s="2"/>
      <c r="W33" s="2"/>
      <c r="X33" s="2"/>
      <c r="Y33" s="2"/>
      <c r="Z33" s="2"/>
      <c r="AA33" s="2"/>
      <c r="AB33" s="2"/>
    </row>
    <row r="34" spans="1:28" ht="13.2">
      <c r="A34" s="94"/>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3.2">
      <c r="A35" s="98" t="s">
        <v>72</v>
      </c>
      <c r="B35" s="2"/>
      <c r="C35" s="2"/>
      <c r="D35" s="2"/>
      <c r="E35" s="2"/>
      <c r="F35" s="2"/>
      <c r="G35" s="2"/>
      <c r="H35" s="2"/>
      <c r="I35" s="2"/>
      <c r="J35" s="23">
        <f t="shared" ref="J35:U35" si="12">J36-I36</f>
        <v>12513.624036003574</v>
      </c>
      <c r="K35" s="23">
        <f t="shared" si="12"/>
        <v>10154.163465970109</v>
      </c>
      <c r="L35" s="23">
        <f t="shared" si="12"/>
        <v>-3097.6245259335119</v>
      </c>
      <c r="M35" s="23">
        <f t="shared" si="12"/>
        <v>8797.7000386633299</v>
      </c>
      <c r="N35" s="23">
        <f t="shared" si="12"/>
        <v>8766.3853544932645</v>
      </c>
      <c r="O35" s="23">
        <f t="shared" si="12"/>
        <v>7947.5465084113675</v>
      </c>
      <c r="P35" s="23">
        <f t="shared" si="12"/>
        <v>6159.8249601533753</v>
      </c>
      <c r="Q35" s="23">
        <f t="shared" si="12"/>
        <v>5108.7786509013968</v>
      </c>
      <c r="R35" s="23">
        <f t="shared" si="12"/>
        <v>4730.447535377185</v>
      </c>
      <c r="S35" s="23">
        <f t="shared" si="12"/>
        <v>4892.8849445815868</v>
      </c>
      <c r="T35" s="23">
        <f t="shared" si="12"/>
        <v>5200.7293828202673</v>
      </c>
      <c r="U35" s="23">
        <f t="shared" si="12"/>
        <v>5513.1773246602243</v>
      </c>
      <c r="V35" s="2"/>
      <c r="W35" s="2"/>
      <c r="X35" s="2"/>
      <c r="Y35" s="2"/>
      <c r="Z35" s="2"/>
      <c r="AA35" s="2"/>
      <c r="AB35" s="2"/>
    </row>
    <row r="36" spans="1:28" ht="13.2">
      <c r="A36" s="94" t="s">
        <v>73</v>
      </c>
      <c r="B36" s="2"/>
      <c r="C36" s="23"/>
      <c r="D36" s="23">
        <f>'Accrued Liabilities'!B9</f>
        <v>0</v>
      </c>
      <c r="E36" s="23">
        <f>'Accrued Liabilities'!E9</f>
        <v>0</v>
      </c>
      <c r="F36" s="23">
        <f>'Accrued Liabilities'!F9</f>
        <v>17896</v>
      </c>
      <c r="G36" s="23">
        <f>'Accrued Liabilities'!G9</f>
        <v>35647</v>
      </c>
      <c r="H36" s="23">
        <f>'Accrued Liabilities'!H9</f>
        <v>37116</v>
      </c>
      <c r="I36" s="23">
        <f>'Accrued Liabilities'!I9</f>
        <v>54689</v>
      </c>
      <c r="J36" s="22">
        <f t="shared" ref="J36:U36" si="13">J38*J39</f>
        <v>67202.624036003574</v>
      </c>
      <c r="K36" s="22">
        <f t="shared" si="13"/>
        <v>77356.787501973682</v>
      </c>
      <c r="L36" s="22">
        <f t="shared" si="13"/>
        <v>74259.16297604017</v>
      </c>
      <c r="M36" s="22">
        <f t="shared" si="13"/>
        <v>83056.8630147035</v>
      </c>
      <c r="N36" s="22">
        <f t="shared" si="13"/>
        <v>91823.248369196765</v>
      </c>
      <c r="O36" s="22">
        <f t="shared" si="13"/>
        <v>99770.794877608132</v>
      </c>
      <c r="P36" s="22">
        <f t="shared" si="13"/>
        <v>105930.61983776151</v>
      </c>
      <c r="Q36" s="22">
        <f t="shared" si="13"/>
        <v>111039.3984886629</v>
      </c>
      <c r="R36" s="22">
        <f t="shared" si="13"/>
        <v>115769.84602404009</v>
      </c>
      <c r="S36" s="22">
        <f t="shared" si="13"/>
        <v>120662.73096862168</v>
      </c>
      <c r="T36" s="22">
        <f t="shared" si="13"/>
        <v>125863.46035144194</v>
      </c>
      <c r="U36" s="22">
        <f t="shared" si="13"/>
        <v>131376.63767610217</v>
      </c>
      <c r="V36" s="2"/>
      <c r="W36" s="2"/>
      <c r="X36" s="2"/>
      <c r="Y36" s="2"/>
      <c r="Z36" s="2"/>
      <c r="AA36" s="2"/>
      <c r="AB36" s="2"/>
    </row>
    <row r="37" spans="1:28" ht="13.2">
      <c r="A37" s="94" t="s">
        <v>74</v>
      </c>
      <c r="B37" s="2"/>
      <c r="C37" s="23">
        <f>'Balance Sheet'!C34</f>
        <v>0</v>
      </c>
      <c r="D37" s="23">
        <f>'Balance Sheet'!D34</f>
        <v>0</v>
      </c>
      <c r="E37" s="23">
        <f>'Balance Sheet'!E34</f>
        <v>0</v>
      </c>
      <c r="F37" s="23">
        <f>'Balance Sheet'!F34</f>
        <v>301694</v>
      </c>
      <c r="G37" s="23">
        <f>'Balance Sheet'!G34</f>
        <v>307936</v>
      </c>
      <c r="H37" s="23">
        <f>'Balance Sheet'!H34</f>
        <v>394724</v>
      </c>
      <c r="I37" s="23">
        <f>'Balance Sheet'!I34</f>
        <v>584651</v>
      </c>
      <c r="J37" s="22">
        <f t="shared" ref="J37:U37" si="14">J38-J36</f>
        <v>714223.23684775888</v>
      </c>
      <c r="K37" s="22">
        <f t="shared" si="14"/>
        <v>822140.74159074365</v>
      </c>
      <c r="L37" s="22">
        <f t="shared" si="14"/>
        <v>789219.47628024092</v>
      </c>
      <c r="M37" s="22">
        <f t="shared" si="14"/>
        <v>882720.61390045355</v>
      </c>
      <c r="N37" s="22">
        <f t="shared" si="14"/>
        <v>975888.94197030051</v>
      </c>
      <c r="O37" s="22">
        <f t="shared" si="14"/>
        <v>1060354.7269550448</v>
      </c>
      <c r="P37" s="22">
        <f t="shared" si="14"/>
        <v>1125820.7736245818</v>
      </c>
      <c r="Q37" s="22">
        <f t="shared" si="14"/>
        <v>1180116.3978911384</v>
      </c>
      <c r="R37" s="22">
        <f t="shared" si="14"/>
        <v>1230391.1542554959</v>
      </c>
      <c r="S37" s="22">
        <f t="shared" si="14"/>
        <v>1282392.2802944211</v>
      </c>
      <c r="T37" s="22">
        <f t="shared" si="14"/>
        <v>1337665.1483862551</v>
      </c>
      <c r="U37" s="22">
        <f t="shared" si="14"/>
        <v>1396258.6841390396</v>
      </c>
      <c r="V37" s="2"/>
      <c r="W37" s="2"/>
      <c r="X37" s="2"/>
      <c r="Y37" s="2"/>
      <c r="Z37" s="2"/>
      <c r="AA37" s="2"/>
      <c r="AB37" s="2"/>
    </row>
    <row r="38" spans="1:28" ht="13.2">
      <c r="A38" s="94" t="s">
        <v>75</v>
      </c>
      <c r="B38" s="2"/>
      <c r="C38" s="23">
        <f t="shared" ref="C38:I38" si="15">SUM(C36:C37)</f>
        <v>0</v>
      </c>
      <c r="D38" s="23">
        <f t="shared" si="15"/>
        <v>0</v>
      </c>
      <c r="E38" s="23">
        <f t="shared" si="15"/>
        <v>0</v>
      </c>
      <c r="F38" s="23">
        <f t="shared" si="15"/>
        <v>319590</v>
      </c>
      <c r="G38" s="23">
        <f t="shared" si="15"/>
        <v>343583</v>
      </c>
      <c r="H38" s="23">
        <f t="shared" si="15"/>
        <v>431840</v>
      </c>
      <c r="I38" s="23">
        <f t="shared" si="15"/>
        <v>639340</v>
      </c>
      <c r="J38" s="22">
        <f t="shared" ref="J38:U38" si="16">I38+J33</f>
        <v>781425.86088376248</v>
      </c>
      <c r="K38" s="22">
        <f t="shared" si="16"/>
        <v>899497.52909271733</v>
      </c>
      <c r="L38" s="22">
        <f t="shared" si="16"/>
        <v>863478.63925628108</v>
      </c>
      <c r="M38" s="22">
        <f t="shared" si="16"/>
        <v>965777.47691515705</v>
      </c>
      <c r="N38" s="22">
        <f t="shared" si="16"/>
        <v>1067712.1903394973</v>
      </c>
      <c r="O38" s="22">
        <f t="shared" si="16"/>
        <v>1160125.5218326529</v>
      </c>
      <c r="P38" s="22">
        <f t="shared" si="16"/>
        <v>1231751.3934623431</v>
      </c>
      <c r="Q38" s="22">
        <f t="shared" si="16"/>
        <v>1291155.7963798014</v>
      </c>
      <c r="R38" s="22">
        <f t="shared" si="16"/>
        <v>1346161.000279536</v>
      </c>
      <c r="S38" s="22">
        <f t="shared" si="16"/>
        <v>1403055.0112630429</v>
      </c>
      <c r="T38" s="22">
        <f t="shared" si="16"/>
        <v>1463528.6087376971</v>
      </c>
      <c r="U38" s="22">
        <f t="shared" si="16"/>
        <v>1527635.3218151417</v>
      </c>
      <c r="V38" s="2"/>
      <c r="W38" s="2"/>
      <c r="X38" s="2"/>
      <c r="Y38" s="2"/>
      <c r="Z38" s="2"/>
      <c r="AA38" s="2"/>
      <c r="AB38" s="2"/>
    </row>
    <row r="39" spans="1:28" ht="13.2">
      <c r="A39" s="94" t="s">
        <v>76</v>
      </c>
      <c r="B39" s="2"/>
      <c r="C39" s="27"/>
      <c r="D39" s="27"/>
      <c r="E39" s="27"/>
      <c r="F39" s="15">
        <f t="shared" ref="F39:I39" si="17">F36/F38</f>
        <v>5.5996745830595447E-2</v>
      </c>
      <c r="G39" s="15">
        <f t="shared" si="17"/>
        <v>0.10375076764566349</v>
      </c>
      <c r="H39" s="15">
        <f t="shared" si="17"/>
        <v>8.5948499444238602E-2</v>
      </c>
      <c r="I39" s="15">
        <f t="shared" si="17"/>
        <v>8.5539775393374415E-2</v>
      </c>
      <c r="J39" s="17">
        <v>8.5999999999999993E-2</v>
      </c>
      <c r="K39" s="28">
        <v>8.5999999999999993E-2</v>
      </c>
      <c r="L39" s="28">
        <v>8.5999999999999993E-2</v>
      </c>
      <c r="M39" s="28">
        <v>8.5999999999999993E-2</v>
      </c>
      <c r="N39" s="28">
        <v>8.5999999999999993E-2</v>
      </c>
      <c r="O39" s="28">
        <v>8.5999999999999993E-2</v>
      </c>
      <c r="P39" s="28">
        <v>8.5999999999999993E-2</v>
      </c>
      <c r="Q39" s="28">
        <v>8.5999999999999993E-2</v>
      </c>
      <c r="R39" s="28">
        <v>8.5999999999999993E-2</v>
      </c>
      <c r="S39" s="28">
        <v>8.5999999999999993E-2</v>
      </c>
      <c r="T39" s="28">
        <v>8.5999999999999993E-2</v>
      </c>
      <c r="U39" s="28">
        <v>8.5999999999999993E-2</v>
      </c>
      <c r="V39" s="2"/>
      <c r="W39" s="2"/>
      <c r="X39" s="2"/>
      <c r="Y39" s="2"/>
      <c r="Z39" s="2"/>
      <c r="AA39" s="2"/>
      <c r="AB39" s="2"/>
    </row>
    <row r="40" spans="1:28" ht="13.2">
      <c r="A40" s="94" t="s">
        <v>77</v>
      </c>
      <c r="B40" s="2"/>
      <c r="C40" s="23">
        <f t="shared" ref="C40:I40" si="18">C38-B38</f>
        <v>0</v>
      </c>
      <c r="D40" s="23">
        <f t="shared" si="18"/>
        <v>0</v>
      </c>
      <c r="E40" s="23">
        <f t="shared" si="18"/>
        <v>0</v>
      </c>
      <c r="F40" s="23">
        <f t="shared" si="18"/>
        <v>319590</v>
      </c>
      <c r="G40" s="23">
        <f t="shared" si="18"/>
        <v>23993</v>
      </c>
      <c r="H40" s="23">
        <f t="shared" si="18"/>
        <v>88257</v>
      </c>
      <c r="I40" s="23">
        <f t="shared" si="18"/>
        <v>207500</v>
      </c>
      <c r="J40" s="22">
        <f t="shared" ref="J40:U40" si="19">J33</f>
        <v>142085.86088376248</v>
      </c>
      <c r="K40" s="22">
        <f t="shared" si="19"/>
        <v>118071.66820895486</v>
      </c>
      <c r="L40" s="22">
        <f t="shared" si="19"/>
        <v>-36018.889836436254</v>
      </c>
      <c r="M40" s="22">
        <f t="shared" si="19"/>
        <v>102298.83765887597</v>
      </c>
      <c r="N40" s="22">
        <f t="shared" si="19"/>
        <v>101934.71342434024</v>
      </c>
      <c r="O40" s="22">
        <f t="shared" si="19"/>
        <v>92413.331493155682</v>
      </c>
      <c r="P40" s="22">
        <f t="shared" si="19"/>
        <v>71625.871629690402</v>
      </c>
      <c r="Q40" s="22">
        <f t="shared" si="19"/>
        <v>59404.40291745821</v>
      </c>
      <c r="R40" s="22">
        <f t="shared" si="19"/>
        <v>55005.203899734654</v>
      </c>
      <c r="S40" s="22">
        <f t="shared" si="19"/>
        <v>56894.010983506916</v>
      </c>
      <c r="T40" s="22">
        <f t="shared" si="19"/>
        <v>60473.597474654205</v>
      </c>
      <c r="U40" s="22">
        <f t="shared" si="19"/>
        <v>64106.713077444583</v>
      </c>
      <c r="V40" s="2"/>
      <c r="W40" s="2"/>
      <c r="X40" s="2"/>
      <c r="Y40" s="2"/>
      <c r="Z40" s="2"/>
      <c r="AA40" s="2"/>
      <c r="AB40" s="2"/>
    </row>
    <row r="41" spans="1:28" ht="13.2">
      <c r="A41" s="94"/>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3.2">
      <c r="A42" s="94" t="s">
        <v>78</v>
      </c>
      <c r="B42" s="2"/>
      <c r="C42" s="2"/>
      <c r="D42" s="2"/>
      <c r="E42" s="2"/>
      <c r="F42" s="2"/>
      <c r="G42" s="2"/>
      <c r="H42" s="2"/>
      <c r="I42" s="2"/>
      <c r="J42" s="29">
        <f t="shared" ref="J42:U42" si="20">(I32-I38)-(J32-J38)</f>
        <v>0</v>
      </c>
      <c r="K42" s="29">
        <f t="shared" si="20"/>
        <v>0</v>
      </c>
      <c r="L42" s="29">
        <f t="shared" si="20"/>
        <v>0</v>
      </c>
      <c r="M42" s="29">
        <f t="shared" si="20"/>
        <v>0</v>
      </c>
      <c r="N42" s="29">
        <f t="shared" si="20"/>
        <v>0</v>
      </c>
      <c r="O42" s="29">
        <f t="shared" si="20"/>
        <v>-1.1641532182693481E-10</v>
      </c>
      <c r="P42" s="29">
        <f t="shared" si="20"/>
        <v>-1.1641532182693481E-10</v>
      </c>
      <c r="Q42" s="29">
        <f t="shared" si="20"/>
        <v>0</v>
      </c>
      <c r="R42" s="29">
        <f t="shared" si="20"/>
        <v>0</v>
      </c>
      <c r="S42" s="29">
        <f t="shared" si="20"/>
        <v>0</v>
      </c>
      <c r="T42" s="29">
        <f t="shared" si="20"/>
        <v>0</v>
      </c>
      <c r="U42" s="29">
        <f t="shared" si="20"/>
        <v>0</v>
      </c>
      <c r="V42" s="2"/>
      <c r="W42" s="2"/>
      <c r="X42" s="2"/>
      <c r="Y42" s="2"/>
      <c r="Z42" s="2"/>
      <c r="AA42" s="2"/>
      <c r="AB42" s="2"/>
    </row>
    <row r="43" spans="1:28" ht="13.2">
      <c r="A43" s="94"/>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3.2">
      <c r="A44" s="94" t="s">
        <v>79</v>
      </c>
      <c r="B44" s="2"/>
      <c r="C44" s="30">
        <f>-'Cash Flows'!C25/C45</f>
        <v>0</v>
      </c>
      <c r="D44" s="30">
        <f>-'Cash Flows'!D25/D45</f>
        <v>0</v>
      </c>
      <c r="E44" s="30">
        <f>-'Cash Flows'!E25/E45</f>
        <v>0</v>
      </c>
      <c r="F44" s="30">
        <f>-'Cash Flows'!F25/F45</f>
        <v>0</v>
      </c>
      <c r="G44" s="30">
        <f>-'Cash Flows'!G25/G45</f>
        <v>0.44376953125000002</v>
      </c>
      <c r="H44" s="30">
        <f>-'Cash Flows'!H25/H45</f>
        <v>3.2186356073211315</v>
      </c>
      <c r="I44" s="30">
        <f>-'Cash Flows'!I25/I45</f>
        <v>4.4743428571428572</v>
      </c>
      <c r="J44" s="31">
        <f t="shared" ref="J44:U44" si="21">I44*(1+J47)</f>
        <v>5.3692114285714281</v>
      </c>
      <c r="K44" s="31">
        <f t="shared" si="21"/>
        <v>6.1745931428571419</v>
      </c>
      <c r="L44" s="31">
        <f t="shared" si="21"/>
        <v>6.7920524571428569</v>
      </c>
      <c r="M44" s="31">
        <f t="shared" si="21"/>
        <v>7.4712577028571427</v>
      </c>
      <c r="N44" s="31">
        <f t="shared" si="21"/>
        <v>8.0316020305714275</v>
      </c>
      <c r="O44" s="31">
        <f t="shared" si="21"/>
        <v>8.6339721828642837</v>
      </c>
      <c r="P44" s="31">
        <f t="shared" si="21"/>
        <v>9.0656707920074986</v>
      </c>
      <c r="Q44" s="31">
        <f t="shared" si="21"/>
        <v>9.5189543316078744</v>
      </c>
      <c r="R44" s="31">
        <f t="shared" si="21"/>
        <v>9.9949020481882691</v>
      </c>
      <c r="S44" s="31">
        <f t="shared" si="21"/>
        <v>10.494647150597682</v>
      </c>
      <c r="T44" s="31">
        <f t="shared" si="21"/>
        <v>11.019379508127567</v>
      </c>
      <c r="U44" s="31">
        <f t="shared" si="21"/>
        <v>11.570348483533946</v>
      </c>
      <c r="V44" s="2"/>
      <c r="W44" s="2"/>
      <c r="X44" s="2"/>
      <c r="Y44" s="2"/>
      <c r="Z44" s="2"/>
      <c r="AA44" s="2"/>
      <c r="AB44" s="2"/>
    </row>
    <row r="45" spans="1:28" ht="13.2">
      <c r="A45" s="99" t="s">
        <v>80</v>
      </c>
      <c r="B45" s="2"/>
      <c r="C45" s="7">
        <v>13400</v>
      </c>
      <c r="D45" s="7">
        <v>19300</v>
      </c>
      <c r="E45" s="7">
        <v>27100</v>
      </c>
      <c r="F45" s="7">
        <v>36900</v>
      </c>
      <c r="G45" s="7">
        <v>51200</v>
      </c>
      <c r="H45" s="7">
        <v>60100</v>
      </c>
      <c r="I45" s="7">
        <v>70000</v>
      </c>
      <c r="J45" s="32">
        <f t="shared" ref="J45:U45" si="22">I45*(1+J46)</f>
        <v>80500</v>
      </c>
      <c r="K45" s="32">
        <f t="shared" si="22"/>
        <v>90964.999999999985</v>
      </c>
      <c r="L45" s="32">
        <f t="shared" si="22"/>
        <v>100971.15</v>
      </c>
      <c r="M45" s="32">
        <f t="shared" si="22"/>
        <v>110058.55349999999</v>
      </c>
      <c r="N45" s="32">
        <f t="shared" si="22"/>
        <v>117762.652245</v>
      </c>
      <c r="O45" s="32">
        <f t="shared" si="22"/>
        <v>123650.78485725001</v>
      </c>
      <c r="P45" s="32">
        <f t="shared" si="22"/>
        <v>127360.30840296751</v>
      </c>
      <c r="Q45" s="32">
        <f t="shared" si="22"/>
        <v>129907.51457102686</v>
      </c>
      <c r="R45" s="32">
        <f t="shared" si="22"/>
        <v>131856.12728959226</v>
      </c>
      <c r="S45" s="32">
        <f t="shared" si="22"/>
        <v>133833.96919893613</v>
      </c>
      <c r="T45" s="32">
        <f t="shared" si="22"/>
        <v>135841.47873692017</v>
      </c>
      <c r="U45" s="32">
        <f t="shared" si="22"/>
        <v>137879.10091797396</v>
      </c>
      <c r="V45" s="2"/>
      <c r="W45" s="2"/>
      <c r="X45" s="2"/>
      <c r="Y45" s="2"/>
      <c r="Z45" s="2"/>
      <c r="AA45" s="2"/>
      <c r="AB45" s="2"/>
    </row>
    <row r="46" spans="1:28" ht="13.2">
      <c r="A46" s="94" t="s">
        <v>81</v>
      </c>
      <c r="B46" s="2"/>
      <c r="C46" s="15"/>
      <c r="D46" s="15">
        <f t="shared" ref="D46:I46" si="23">(D45/C45)-1</f>
        <v>0.44029850746268662</v>
      </c>
      <c r="E46" s="15">
        <f t="shared" si="23"/>
        <v>0.40414507772020736</v>
      </c>
      <c r="F46" s="15">
        <f t="shared" si="23"/>
        <v>0.36162361623616235</v>
      </c>
      <c r="G46" s="15">
        <f t="shared" si="23"/>
        <v>0.38753387533875339</v>
      </c>
      <c r="H46" s="15">
        <f t="shared" si="23"/>
        <v>0.173828125</v>
      </c>
      <c r="I46" s="15">
        <f t="shared" si="23"/>
        <v>0.16472545757071555</v>
      </c>
      <c r="J46" s="33">
        <f>'IS Assumptions'!J13</f>
        <v>0.15</v>
      </c>
      <c r="K46" s="33">
        <f>'IS Assumptions'!K13</f>
        <v>0.13</v>
      </c>
      <c r="L46" s="33">
        <f>'IS Assumptions'!L13</f>
        <v>0.11</v>
      </c>
      <c r="M46" s="33">
        <f>'IS Assumptions'!M13</f>
        <v>0.09</v>
      </c>
      <c r="N46" s="33">
        <f>'IS Assumptions'!N13</f>
        <v>7.0000000000000007E-2</v>
      </c>
      <c r="O46" s="33">
        <f>'IS Assumptions'!O13</f>
        <v>0.05</v>
      </c>
      <c r="P46" s="33">
        <f>'IS Assumptions'!P13</f>
        <v>0.03</v>
      </c>
      <c r="Q46" s="33">
        <f>'IS Assumptions'!Q13</f>
        <v>0.02</v>
      </c>
      <c r="R46" s="33">
        <f>'IS Assumptions'!R13</f>
        <v>1.4999999999999999E-2</v>
      </c>
      <c r="S46" s="33">
        <f>'IS Assumptions'!S13</f>
        <v>1.4999999999999999E-2</v>
      </c>
      <c r="T46" s="33">
        <f>'IS Assumptions'!T13</f>
        <v>1.4999999999999999E-2</v>
      </c>
      <c r="U46" s="33">
        <f>'IS Assumptions'!U13</f>
        <v>1.4999999999999999E-2</v>
      </c>
      <c r="V46" s="2"/>
      <c r="W46" s="2"/>
      <c r="X46" s="2"/>
      <c r="Y46" s="2"/>
      <c r="Z46" s="2"/>
      <c r="AA46" s="2"/>
      <c r="AB46" s="2"/>
    </row>
    <row r="47" spans="1:28" ht="13.2">
      <c r="A47" s="94" t="s">
        <v>82</v>
      </c>
      <c r="B47" s="2"/>
      <c r="C47" s="27"/>
      <c r="D47" s="27"/>
      <c r="E47" s="27"/>
      <c r="F47" s="27"/>
      <c r="G47" s="27"/>
      <c r="H47" s="15">
        <f t="shared" ref="H47:I47" si="24">(H44/G44)-1</f>
        <v>6.2529441087470587</v>
      </c>
      <c r="I47" s="15">
        <f t="shared" si="24"/>
        <v>0.3901365059671511</v>
      </c>
      <c r="J47" s="34">
        <v>0.2</v>
      </c>
      <c r="K47" s="34">
        <v>0.15</v>
      </c>
      <c r="L47" s="34">
        <v>0.1</v>
      </c>
      <c r="M47" s="34">
        <v>0.1</v>
      </c>
      <c r="N47" s="34">
        <v>7.4999999999999997E-2</v>
      </c>
      <c r="O47" s="34">
        <v>7.4999999999999997E-2</v>
      </c>
      <c r="P47" s="34">
        <v>0.05</v>
      </c>
      <c r="Q47" s="34">
        <v>0.05</v>
      </c>
      <c r="R47" s="34">
        <v>0.05</v>
      </c>
      <c r="S47" s="34">
        <v>0.05</v>
      </c>
      <c r="T47" s="34">
        <v>0.05</v>
      </c>
      <c r="U47" s="34">
        <v>0.05</v>
      </c>
      <c r="V47" s="2"/>
      <c r="W47" s="2"/>
      <c r="X47" s="2"/>
      <c r="Y47" s="2"/>
      <c r="Z47" s="2"/>
      <c r="AA47" s="2"/>
      <c r="AB47" s="2"/>
    </row>
    <row r="48" spans="1:28" ht="13.2">
      <c r="A48" s="94" t="s">
        <v>83</v>
      </c>
      <c r="B48" s="2"/>
      <c r="C48" s="24">
        <v>0</v>
      </c>
      <c r="D48" s="24">
        <v>0</v>
      </c>
      <c r="E48" s="24">
        <v>0</v>
      </c>
      <c r="F48" s="24">
        <v>1700</v>
      </c>
      <c r="G48" s="24">
        <v>7907</v>
      </c>
      <c r="H48" s="24">
        <f>'Content Assets'!G12+'Content Assets'!G13</f>
        <v>242879</v>
      </c>
      <c r="I48" s="24">
        <f>'Content Assets'!H12+'Content Assets'!H13</f>
        <v>332272</v>
      </c>
      <c r="J48" s="22">
        <f t="shared" ref="J48:U48" si="25">I48+J50-J49</f>
        <v>453971.71651047235</v>
      </c>
      <c r="K48" s="22">
        <f t="shared" si="25"/>
        <v>597329.3707898506</v>
      </c>
      <c r="L48" s="22">
        <f t="shared" si="25"/>
        <v>752464.43532058073</v>
      </c>
      <c r="M48" s="22">
        <f t="shared" si="25"/>
        <v>931222.28845082701</v>
      </c>
      <c r="N48" s="22">
        <f t="shared" si="25"/>
        <v>1117225.1919332379</v>
      </c>
      <c r="O48" s="22">
        <f t="shared" si="25"/>
        <v>1316804.6483289853</v>
      </c>
      <c r="P48" s="22">
        <f t="shared" si="25"/>
        <v>1506432.4275755598</v>
      </c>
      <c r="Q48" s="22">
        <f t="shared" si="25"/>
        <v>1702947.58060158</v>
      </c>
      <c r="R48" s="22">
        <f t="shared" si="25"/>
        <v>1908827.5255747382</v>
      </c>
      <c r="S48" s="22">
        <f t="shared" si="25"/>
        <v>2128244.0769298812</v>
      </c>
      <c r="T48" s="22">
        <f t="shared" si="25"/>
        <v>2362087.2665366251</v>
      </c>
      <c r="U48" s="22">
        <f t="shared" si="25"/>
        <v>2611305.6458600122</v>
      </c>
      <c r="V48" s="2"/>
      <c r="W48" s="2"/>
      <c r="X48" s="2"/>
      <c r="Y48" s="2"/>
      <c r="Z48" s="2"/>
      <c r="AA48" s="2"/>
      <c r="AB48" s="2"/>
    </row>
    <row r="49" spans="1:28" ht="13.2">
      <c r="A49" s="94" t="s">
        <v>84</v>
      </c>
      <c r="B49" s="2"/>
      <c r="C49" s="24">
        <v>0</v>
      </c>
      <c r="D49" s="24">
        <v>0</v>
      </c>
      <c r="E49" s="24">
        <v>0</v>
      </c>
      <c r="F49" s="35">
        <v>2914</v>
      </c>
      <c r="G49" s="35">
        <v>22392</v>
      </c>
      <c r="H49" s="35">
        <v>95570</v>
      </c>
      <c r="I49" s="36">
        <v>234355</v>
      </c>
      <c r="J49" s="22">
        <f>'CF Assumptions'!J10*(I50+(0.5*J50))</f>
        <v>310521.80348952767</v>
      </c>
      <c r="K49" s="22">
        <f>'CF Assumptions'!K10*(J50+(0.5*K50))</f>
        <v>418314.2109606216</v>
      </c>
      <c r="L49" s="22">
        <f>'CF Assumptions'!L10*(K50+(0.5*L50))</f>
        <v>530666.28292730974</v>
      </c>
      <c r="M49" s="22">
        <f>'CF Assumptions'!M10*(L50+(0.5*M50))</f>
        <v>643517.9624719437</v>
      </c>
      <c r="N49" s="22">
        <f>'CF Assumptions'!N10*(M50+(0.5*N50))</f>
        <v>759819.85341400804</v>
      </c>
      <c r="O49" s="22">
        <f>'CF Assumptions'!O10*(N50+(0.5*O50))</f>
        <v>868017.98045108537</v>
      </c>
      <c r="P49" s="22">
        <f>'CF Assumptions'!P10*(O50+(0.5*P50))</f>
        <v>964978.84870327497</v>
      </c>
      <c r="Q49" s="22">
        <f>'CF Assumptions'!Q10*(P50+(0.5*Q50))</f>
        <v>1040068.5455082688</v>
      </c>
      <c r="R49" s="22">
        <f>'CF Assumptions'!R10*(Q50+(0.5*R50))</f>
        <v>1112009.1317397607</v>
      </c>
      <c r="S49" s="22">
        <f>'CF Assumptions'!S10*(R50+(0.5*S50))</f>
        <v>1185123.7321516501</v>
      </c>
      <c r="T49" s="22">
        <f>'CF Assumptions'!T10*(S50+(0.5*T50))</f>
        <v>1263045.617540621</v>
      </c>
      <c r="U49" s="22">
        <f>'CF Assumptions'!U10*(T50+(0.5*U50))</f>
        <v>1346090.8668939169</v>
      </c>
      <c r="V49" s="2"/>
      <c r="W49" s="2"/>
      <c r="X49" s="2"/>
      <c r="Y49" s="2"/>
      <c r="Z49" s="2"/>
      <c r="AA49" s="2"/>
      <c r="AB49" s="2"/>
    </row>
    <row r="50" spans="1:28" ht="13.2">
      <c r="A50" s="94" t="s">
        <v>85</v>
      </c>
      <c r="B50" s="2"/>
      <c r="C50" s="24">
        <v>0</v>
      </c>
      <c r="D50" s="24">
        <v>0</v>
      </c>
      <c r="E50" s="24">
        <v>0</v>
      </c>
      <c r="F50" s="24">
        <v>0</v>
      </c>
      <c r="G50" s="24">
        <v>22721</v>
      </c>
      <c r="H50" s="24">
        <v>193440</v>
      </c>
      <c r="I50" s="36">
        <v>313204</v>
      </c>
      <c r="J50" s="37">
        <f>'BS Assumptions'!J45*'BS Assumptions'!J44</f>
        <v>432221.51999999996</v>
      </c>
      <c r="K50" s="37">
        <f>'BS Assumptions'!K45*'BS Assumptions'!K44</f>
        <v>561671.86523999984</v>
      </c>
      <c r="L50" s="37">
        <f>'BS Assumptions'!L45*'BS Assumptions'!L44</f>
        <v>685801.34745803988</v>
      </c>
      <c r="M50" s="37">
        <f>'BS Assumptions'!M45*'BS Assumptions'!M44</f>
        <v>822275.81560218986</v>
      </c>
      <c r="N50" s="37">
        <f>'BS Assumptions'!N45*'BS Assumptions'!N44</f>
        <v>945822.75689641887</v>
      </c>
      <c r="O50" s="37">
        <f>'BS Assumptions'!O45*'BS Assumptions'!O44</f>
        <v>1067597.4368468327</v>
      </c>
      <c r="P50" s="37">
        <f>'BS Assumptions'!P45*'BS Assumptions'!P44</f>
        <v>1154606.6279498497</v>
      </c>
      <c r="Q50" s="37">
        <f>'BS Assumptions'!Q45*'BS Assumptions'!Q44</f>
        <v>1236583.6985342891</v>
      </c>
      <c r="R50" s="37">
        <f>'BS Assumptions'!R45*'BS Assumptions'!R44</f>
        <v>1317889.0767129187</v>
      </c>
      <c r="S50" s="37">
        <f>'BS Assumptions'!S45*'BS Assumptions'!S44</f>
        <v>1404540.283506793</v>
      </c>
      <c r="T50" s="37">
        <f>'BS Assumptions'!T45*'BS Assumptions'!T44</f>
        <v>1496888.8071473648</v>
      </c>
      <c r="U50" s="37">
        <f>'BS Assumptions'!U45*'BS Assumptions'!U44</f>
        <v>1595309.2462173039</v>
      </c>
      <c r="V50" s="2"/>
      <c r="W50" s="2"/>
      <c r="X50" s="2"/>
      <c r="Y50" s="2"/>
      <c r="Z50" s="2"/>
      <c r="AA50" s="2"/>
      <c r="AB50" s="2"/>
    </row>
    <row r="51" spans="1:28" ht="13.2">
      <c r="A51" s="94"/>
      <c r="B51" s="2"/>
      <c r="J51" s="2"/>
      <c r="K51" s="2"/>
      <c r="L51" s="2"/>
      <c r="M51" s="2"/>
      <c r="N51" s="2"/>
      <c r="O51" s="2"/>
      <c r="P51" s="2"/>
      <c r="Q51" s="2"/>
      <c r="R51" s="2"/>
      <c r="S51" s="2"/>
      <c r="T51" s="2"/>
      <c r="U51" s="2"/>
      <c r="V51" s="2"/>
      <c r="W51" s="2"/>
      <c r="X51" s="2"/>
      <c r="Y51" s="2"/>
      <c r="Z51" s="2"/>
      <c r="AA51" s="2"/>
      <c r="AB51" s="2"/>
    </row>
    <row r="52" spans="1:28" ht="13.2">
      <c r="A52" s="96" t="s">
        <v>86</v>
      </c>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3.2">
      <c r="A53" s="94" t="s">
        <v>87</v>
      </c>
      <c r="B53" s="2"/>
      <c r="C53" s="15">
        <f>'Balance Sheet'!C33/'Income Statement'!C9</f>
        <v>7.2956410275706193E-2</v>
      </c>
      <c r="D53" s="15">
        <f>'Balance Sheet'!D33/'Income Statement'!D9</f>
        <v>9.4607060181799388E-2</v>
      </c>
      <c r="E53" s="15">
        <f>'Balance Sheet'!E33/'Income Statement'!E9</f>
        <v>2.6389012344681391E-2</v>
      </c>
      <c r="F53" s="15">
        <f>'Balance Sheet'!F33/'Income Statement'!F9</f>
        <v>1.3614770209784388E-2</v>
      </c>
      <c r="G53" s="15">
        <f>'Balance Sheet'!G33/'Income Statement'!G9</f>
        <v>1.1967579628292589E-2</v>
      </c>
      <c r="H53" s="15">
        <f>'Balance Sheet'!H33/'Income Statement'!H9</f>
        <v>1.0390713394854343E-2</v>
      </c>
      <c r="I53" s="15">
        <f>'Balance Sheet'!I33/'Income Statement'!I9</f>
        <v>9.022770902219519E-3</v>
      </c>
      <c r="J53" s="28">
        <v>8.9999999999999993E-3</v>
      </c>
      <c r="K53" s="28">
        <v>8.9999999999999993E-3</v>
      </c>
      <c r="L53" s="28">
        <v>8.9999999999999993E-3</v>
      </c>
      <c r="M53" s="28">
        <v>8.9999999999999993E-3</v>
      </c>
      <c r="N53" s="28">
        <v>8.9999999999999993E-3</v>
      </c>
      <c r="O53" s="28">
        <v>8.9999999999999993E-3</v>
      </c>
      <c r="P53" s="28">
        <v>8.9999999999999993E-3</v>
      </c>
      <c r="Q53" s="28">
        <v>8.9999999999999993E-3</v>
      </c>
      <c r="R53" s="28">
        <v>8.9999999999999993E-3</v>
      </c>
      <c r="S53" s="28">
        <v>8.9999999999999993E-3</v>
      </c>
      <c r="T53" s="28">
        <v>8.9999999999999993E-3</v>
      </c>
      <c r="U53" s="28">
        <v>8.9999999999999993E-3</v>
      </c>
      <c r="V53" s="2"/>
      <c r="W53" s="2"/>
      <c r="X53" s="2"/>
      <c r="Y53" s="2"/>
      <c r="Z53" s="2"/>
      <c r="AA53" s="2"/>
      <c r="AB53" s="2"/>
    </row>
    <row r="54" spans="1:28" ht="13.2">
      <c r="A54" s="94" t="s">
        <v>88</v>
      </c>
      <c r="B54" s="2"/>
      <c r="C54" s="15">
        <f>'Balance Sheet'!C35/'Income Statement'!C9</f>
        <v>3.54522399403987E-2</v>
      </c>
      <c r="D54" s="15">
        <f>'Balance Sheet'!D35/'Income Statement'!D9</f>
        <v>1.5307266709961522E-2</v>
      </c>
      <c r="E54" s="15">
        <f>'Balance Sheet'!E35/'Income Statement'!E9</f>
        <v>9.0881420486837814E-3</v>
      </c>
      <c r="F54" s="15">
        <f>'Balance Sheet'!F35/'Income Statement'!F9</f>
        <v>1.5067484793001458E-3</v>
      </c>
      <c r="G54" s="15">
        <f>'Balance Sheet'!G35/'Income Statement'!G9</f>
        <v>1.7538354959660096E-3</v>
      </c>
      <c r="H54" s="15">
        <f>'Balance Sheet'!H35/'Income Statement'!H9</f>
        <v>2.9836315337135714E-2</v>
      </c>
      <c r="I54" s="15">
        <f>'Balance Sheet'!I35/'Income Statement'!I9</f>
        <v>2.236054365632998E-2</v>
      </c>
      <c r="J54" s="17">
        <v>2.1999999999999999E-2</v>
      </c>
      <c r="K54" s="17">
        <v>2.1999999999999999E-2</v>
      </c>
      <c r="L54" s="17">
        <v>2.1999999999999999E-2</v>
      </c>
      <c r="M54" s="17">
        <v>2.1999999999999999E-2</v>
      </c>
      <c r="N54" s="17">
        <v>2.1999999999999999E-2</v>
      </c>
      <c r="O54" s="17">
        <v>2.1999999999999999E-2</v>
      </c>
      <c r="P54" s="17">
        <v>2.1999999999999999E-2</v>
      </c>
      <c r="Q54" s="17">
        <v>2.1999999999999999E-2</v>
      </c>
      <c r="R54" s="17">
        <v>2.1999999999999999E-2</v>
      </c>
      <c r="S54" s="17">
        <v>2.1999999999999999E-2</v>
      </c>
      <c r="T54" s="17">
        <v>2.1999999999999999E-2</v>
      </c>
      <c r="U54" s="17">
        <v>2.1999999999999999E-2</v>
      </c>
      <c r="V54" s="2"/>
      <c r="W54" s="2"/>
      <c r="X54" s="2"/>
      <c r="Y54" s="2"/>
      <c r="Z54" s="2"/>
      <c r="AA54" s="2"/>
      <c r="AB54" s="2"/>
    </row>
    <row r="55" spans="1:28" ht="13.2">
      <c r="A55" s="94"/>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3.2">
      <c r="A56" s="96" t="s">
        <v>89</v>
      </c>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3.2">
      <c r="A57" s="94" t="s">
        <v>90</v>
      </c>
      <c r="B57" s="2"/>
      <c r="C57" s="15">
        <f>C58/'Income Statement'!C9</f>
        <v>8.6697821893445104E-2</v>
      </c>
      <c r="D57" s="15">
        <f>D58/'Income Statement'!D9</f>
        <v>0.34567626759341058</v>
      </c>
      <c r="E57" s="15">
        <f>E58/'Income Statement'!E9</f>
        <v>0.20951211168663958</v>
      </c>
      <c r="F57" s="15">
        <f>F58/'Income Statement'!F9</f>
        <v>0.45661211014765424</v>
      </c>
      <c r="G57" s="15">
        <f>G58/'Income Statement'!G9</f>
        <v>0.61449751122927054</v>
      </c>
      <c r="H57" s="15">
        <f>H58/'Income Statement'!H9</f>
        <v>0.77626254076562695</v>
      </c>
      <c r="I57" s="15">
        <f>I58/'Income Statement'!I9</f>
        <v>0.62751788402109177</v>
      </c>
      <c r="J57" s="16">
        <f>AVERAGE(C57:I57)</f>
        <v>0.4452537496195913</v>
      </c>
      <c r="K57" s="28">
        <v>0.44500000000000001</v>
      </c>
      <c r="L57" s="28">
        <v>0.44500000000000001</v>
      </c>
      <c r="M57" s="28">
        <v>0.44500000000000001</v>
      </c>
      <c r="N57" s="28">
        <v>0.44500000000000001</v>
      </c>
      <c r="O57" s="28">
        <v>0.44500000000000001</v>
      </c>
      <c r="P57" s="28">
        <v>0.44500000000000001</v>
      </c>
      <c r="Q57" s="28">
        <v>0.44500000000000001</v>
      </c>
      <c r="R57" s="28">
        <v>0.44500000000000001</v>
      </c>
      <c r="S57" s="28">
        <v>0.44500000000000001</v>
      </c>
      <c r="T57" s="28">
        <v>0.44500000000000001</v>
      </c>
      <c r="U57" s="28">
        <v>0.44500000000000001</v>
      </c>
      <c r="V57" s="2"/>
      <c r="W57" s="2"/>
      <c r="X57" s="2"/>
      <c r="Y57" s="2"/>
      <c r="Z57" s="2"/>
      <c r="AA57" s="2"/>
      <c r="AB57" s="2"/>
    </row>
    <row r="58" spans="1:28" ht="13.2">
      <c r="A58" s="94" t="s">
        <v>91</v>
      </c>
      <c r="B58" s="2"/>
      <c r="C58" s="23">
        <f>'Balance Sheet'!C8</f>
        <v>34562</v>
      </c>
      <c r="D58" s="23">
        <f>'Balance Sheet'!D8</f>
        <v>177250</v>
      </c>
      <c r="E58" s="23">
        <f>'Balance Sheet'!E8</f>
        <v>155564</v>
      </c>
      <c r="F58" s="23">
        <f>'Balance Sheet'!F8</f>
        <v>515479</v>
      </c>
      <c r="G58" s="23">
        <f>'Balance Sheet'!G8</f>
        <v>1092815</v>
      </c>
      <c r="H58" s="23">
        <f>'Balance Sheet'!H8</f>
        <v>2146043</v>
      </c>
      <c r="I58" s="23">
        <f>'Balance Sheet'!I8</f>
        <v>1961956</v>
      </c>
      <c r="J58" s="22">
        <f>'Income Statement'!J9*J57</f>
        <v>1726554.1667600288</v>
      </c>
      <c r="K58" s="22">
        <f>'Income Statement'!K9*K57</f>
        <v>1981463.0261282588</v>
      </c>
      <c r="L58" s="22">
        <f>'Income Statement'!L9*L57</f>
        <v>2280601.7279533087</v>
      </c>
      <c r="M58" s="22">
        <f>'Income Statement'!M9*M57</f>
        <v>2605252.0197782461</v>
      </c>
      <c r="N58" s="22">
        <f>'Income Statement'!N9*N57</f>
        <v>2931757.1248349682</v>
      </c>
      <c r="O58" s="22">
        <f>'Income Statement'!O9*O57</f>
        <v>3231754.6158920377</v>
      </c>
      <c r="P58" s="22">
        <f>'Income Statement'!P9*P57</f>
        <v>3469789.0952852857</v>
      </c>
      <c r="Q58" s="22">
        <f>'Income Statement'!Q9*Q57</f>
        <v>3660447.8678078949</v>
      </c>
      <c r="R58" s="22">
        <f>'Income Statement'!R9*R57</f>
        <v>3837953.5682651564</v>
      </c>
      <c r="S58" s="22">
        <f>'Income Statement'!S9*S57</f>
        <v>4021919.5627418603</v>
      </c>
      <c r="T58" s="22">
        <f>'Income Statement'!T9*T57</f>
        <v>4217674.4404182704</v>
      </c>
      <c r="U58" s="22">
        <f>'Income Statement'!U9*U57</f>
        <v>4425441.2120603761</v>
      </c>
      <c r="V58" s="2"/>
      <c r="W58" s="2"/>
      <c r="X58" s="2"/>
      <c r="Y58" s="2"/>
      <c r="Z58" s="2"/>
      <c r="AA58" s="2"/>
      <c r="AB58" s="2"/>
    </row>
    <row r="59" spans="1:28" ht="13.2">
      <c r="A59" s="94" t="s">
        <v>92</v>
      </c>
      <c r="B59" s="2"/>
      <c r="C59" s="38">
        <f>'Balance Sheet'!C9/'Income Statement'!C9</f>
        <v>0</v>
      </c>
      <c r="D59" s="38">
        <f>'Balance Sheet'!D9/'Income Statement'!D9</f>
        <v>0</v>
      </c>
      <c r="E59" s="38">
        <f>'Balance Sheet'!E9/'Income Statement'!E9</f>
        <v>5.6761830880827896E-2</v>
      </c>
      <c r="F59" s="38">
        <f>'Balance Sheet'!F9/'Income Statement'!F9</f>
        <v>0</v>
      </c>
      <c r="G59" s="38">
        <f>'Balance Sheet'!G9/'Income Statement'!G9</f>
        <v>0</v>
      </c>
      <c r="H59" s="38">
        <f>'Balance Sheet'!H9/'Income Statement'!H9</f>
        <v>0</v>
      </c>
      <c r="I59" s="38">
        <f>'Balance Sheet'!I9/'Income Statement'!I9</f>
        <v>0</v>
      </c>
      <c r="J59" s="39">
        <v>0</v>
      </c>
      <c r="K59" s="34">
        <v>0</v>
      </c>
      <c r="L59" s="34">
        <v>0</v>
      </c>
      <c r="M59" s="34">
        <v>0</v>
      </c>
      <c r="N59" s="34">
        <v>0</v>
      </c>
      <c r="O59" s="34">
        <v>0</v>
      </c>
      <c r="P59" s="34">
        <v>0</v>
      </c>
      <c r="Q59" s="34">
        <v>0</v>
      </c>
      <c r="R59" s="34">
        <v>0</v>
      </c>
      <c r="S59" s="34">
        <v>0</v>
      </c>
      <c r="T59" s="34">
        <v>0</v>
      </c>
      <c r="U59" s="34">
        <v>0</v>
      </c>
      <c r="V59" s="2"/>
      <c r="W59" s="2"/>
      <c r="X59" s="2"/>
      <c r="Y59" s="2"/>
      <c r="Z59" s="2"/>
      <c r="AA59" s="2"/>
      <c r="AB59" s="2"/>
    </row>
    <row r="60" spans="1:28" ht="13.2">
      <c r="A60" s="94" t="s">
        <v>93</v>
      </c>
      <c r="B60" s="2"/>
      <c r="C60" s="23">
        <f>'Balance Sheet'!C9</f>
        <v>0</v>
      </c>
      <c r="D60" s="23">
        <f>'Balance Sheet'!D9</f>
        <v>0</v>
      </c>
      <c r="E60" s="23">
        <f>'Balance Sheet'!E9</f>
        <v>42146</v>
      </c>
      <c r="F60" s="23">
        <f>'Balance Sheet'!F9</f>
        <v>0</v>
      </c>
      <c r="G60" s="23">
        <f>'Balance Sheet'!G9</f>
        <v>0</v>
      </c>
      <c r="H60" s="23">
        <f>'Balance Sheet'!H9</f>
        <v>0</v>
      </c>
      <c r="I60" s="23">
        <f>'Balance Sheet'!I9</f>
        <v>0</v>
      </c>
      <c r="J60" s="29">
        <f>'Income Statement'!J9*J59</f>
        <v>0</v>
      </c>
      <c r="K60" s="29">
        <f>'Income Statement'!K9*K59</f>
        <v>0</v>
      </c>
      <c r="L60" s="29">
        <f>'Income Statement'!L9*L59</f>
        <v>0</v>
      </c>
      <c r="M60" s="29">
        <f>'Income Statement'!M9*M59</f>
        <v>0</v>
      </c>
      <c r="N60" s="29">
        <f>'Income Statement'!N9*N59</f>
        <v>0</v>
      </c>
      <c r="O60" s="29">
        <f>'Income Statement'!O9*O59</f>
        <v>0</v>
      </c>
      <c r="P60" s="29">
        <f>'Income Statement'!P9*P59</f>
        <v>0</v>
      </c>
      <c r="Q60" s="29">
        <f>'Income Statement'!Q9*Q59</f>
        <v>0</v>
      </c>
      <c r="R60" s="29">
        <f>'Income Statement'!R9*R59</f>
        <v>0</v>
      </c>
      <c r="S60" s="29">
        <f>'Income Statement'!S9*S59</f>
        <v>0</v>
      </c>
      <c r="T60" s="29">
        <f>'Income Statement'!T9*T59</f>
        <v>0</v>
      </c>
      <c r="U60" s="29">
        <f>'Income Statement'!U9*U59</f>
        <v>0</v>
      </c>
      <c r="V60" s="2"/>
      <c r="W60" s="2"/>
      <c r="X60" s="2"/>
      <c r="Y60" s="2"/>
      <c r="Z60" s="2"/>
      <c r="AA60" s="2"/>
      <c r="AB60" s="2"/>
    </row>
    <row r="61" spans="1:28" ht="13.2">
      <c r="A61" s="94"/>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26.4">
      <c r="A62" s="94" t="s">
        <v>94</v>
      </c>
      <c r="B62" s="2"/>
      <c r="C62" s="2"/>
      <c r="D62" s="2"/>
      <c r="E62" s="2"/>
      <c r="F62" s="2"/>
      <c r="G62" s="2"/>
      <c r="H62" s="2"/>
      <c r="I62" s="2"/>
      <c r="J62" s="40">
        <v>0</v>
      </c>
      <c r="K62" s="40">
        <v>0</v>
      </c>
      <c r="L62" s="40">
        <v>0</v>
      </c>
      <c r="M62" s="40">
        <v>0</v>
      </c>
      <c r="N62" s="40">
        <v>0</v>
      </c>
      <c r="O62" s="40">
        <v>0</v>
      </c>
      <c r="P62" s="40">
        <v>0</v>
      </c>
      <c r="Q62" s="40">
        <v>0</v>
      </c>
      <c r="R62" s="40">
        <v>0</v>
      </c>
      <c r="S62" s="40">
        <v>0</v>
      </c>
      <c r="T62" s="40">
        <v>0</v>
      </c>
      <c r="U62" s="40">
        <v>0</v>
      </c>
      <c r="V62" s="2"/>
      <c r="W62" s="2"/>
      <c r="X62" s="2"/>
      <c r="Y62" s="2"/>
      <c r="Z62" s="2"/>
      <c r="AA62" s="2"/>
      <c r="AB62" s="2"/>
    </row>
    <row r="63" spans="1:28" ht="13.2">
      <c r="A63" s="94" t="s">
        <v>76</v>
      </c>
      <c r="B63" s="2"/>
      <c r="C63" s="15">
        <f>C64/C66</f>
        <v>1</v>
      </c>
      <c r="D63" s="41">
        <v>0</v>
      </c>
      <c r="E63" s="41">
        <v>0</v>
      </c>
      <c r="F63" s="15">
        <f t="shared" ref="F63:I63" si="26">F64/F66</f>
        <v>4.8851497871656893E-2</v>
      </c>
      <c r="G63" s="15">
        <f t="shared" si="26"/>
        <v>5.1444976884591841E-2</v>
      </c>
      <c r="H63" s="15">
        <f t="shared" si="26"/>
        <v>0.1099724039702675</v>
      </c>
      <c r="I63" s="15">
        <f t="shared" si="26"/>
        <v>1</v>
      </c>
      <c r="J63" s="42">
        <f>AVERAGE(F63:H63)</f>
        <v>7.0089626242172076E-2</v>
      </c>
      <c r="K63" s="19">
        <v>7.0000000000000007E-2</v>
      </c>
      <c r="L63" s="19">
        <v>7.0000000000000007E-2</v>
      </c>
      <c r="M63" s="19">
        <v>7.0000000000000007E-2</v>
      </c>
      <c r="N63" s="19">
        <v>7.0000000000000007E-2</v>
      </c>
      <c r="O63" s="19">
        <v>7.0000000000000007E-2</v>
      </c>
      <c r="P63" s="19">
        <v>7.0000000000000007E-2</v>
      </c>
      <c r="Q63" s="19">
        <v>7.0000000000000007E-2</v>
      </c>
      <c r="R63" s="19">
        <v>7.0000000000000007E-2</v>
      </c>
      <c r="S63" s="19">
        <v>7.0000000000000007E-2</v>
      </c>
      <c r="T63" s="19">
        <v>7.0000000000000007E-2</v>
      </c>
      <c r="U63" s="19">
        <v>7.0000000000000007E-2</v>
      </c>
      <c r="V63" s="2"/>
      <c r="W63" s="2"/>
      <c r="X63" s="2"/>
      <c r="Y63" s="2"/>
      <c r="Z63" s="2"/>
      <c r="AA63" s="2"/>
      <c r="AB63" s="2"/>
    </row>
    <row r="64" spans="1:28" ht="13.2">
      <c r="A64" s="94" t="s">
        <v>95</v>
      </c>
      <c r="B64" s="2"/>
      <c r="C64" s="23">
        <f>'Balance Sheet'!C27</f>
        <v>15000</v>
      </c>
      <c r="D64" s="23">
        <f>'Balance Sheet'!D27</f>
        <v>0</v>
      </c>
      <c r="E64" s="23">
        <f>'Balance Sheet'!E27</f>
        <v>0</v>
      </c>
      <c r="F64" s="23">
        <f>'Balance Sheet'!F27</f>
        <v>4866</v>
      </c>
      <c r="G64" s="23">
        <f>'Balance Sheet'!G27</f>
        <v>4874</v>
      </c>
      <c r="H64" s="23">
        <f>'Balance Sheet'!H27</f>
        <v>9883</v>
      </c>
      <c r="I64" s="23">
        <f>'Balance Sheet'!I27</f>
        <v>79985</v>
      </c>
      <c r="J64" s="43">
        <f t="shared" ref="J64:U64" si="27">I64</f>
        <v>79985</v>
      </c>
      <c r="K64" s="43">
        <f t="shared" si="27"/>
        <v>79985</v>
      </c>
      <c r="L64" s="43">
        <f t="shared" si="27"/>
        <v>79985</v>
      </c>
      <c r="M64" s="43">
        <f t="shared" si="27"/>
        <v>79985</v>
      </c>
      <c r="N64" s="43">
        <f t="shared" si="27"/>
        <v>79985</v>
      </c>
      <c r="O64" s="43">
        <f t="shared" si="27"/>
        <v>79985</v>
      </c>
      <c r="P64" s="43">
        <f t="shared" si="27"/>
        <v>79985</v>
      </c>
      <c r="Q64" s="43">
        <f t="shared" si="27"/>
        <v>79985</v>
      </c>
      <c r="R64" s="43">
        <f t="shared" si="27"/>
        <v>79985</v>
      </c>
      <c r="S64" s="43">
        <f t="shared" si="27"/>
        <v>79985</v>
      </c>
      <c r="T64" s="43">
        <f t="shared" si="27"/>
        <v>79985</v>
      </c>
      <c r="U64" s="43">
        <f t="shared" si="27"/>
        <v>79985</v>
      </c>
      <c r="V64" s="2"/>
      <c r="W64" s="2"/>
      <c r="X64" s="2"/>
      <c r="Y64" s="2"/>
      <c r="Z64" s="2"/>
      <c r="AA64" s="2"/>
      <c r="AB64" s="2"/>
    </row>
    <row r="65" spans="1:28" ht="13.2">
      <c r="A65" s="94" t="s">
        <v>96</v>
      </c>
      <c r="B65" s="2"/>
      <c r="C65" s="23">
        <f>'Balance Sheet'!C32</f>
        <v>0</v>
      </c>
      <c r="D65" s="23">
        <f>'Balance Sheet'!D32</f>
        <v>0</v>
      </c>
      <c r="E65" s="23">
        <f>'Balance Sheet'!E32</f>
        <v>0</v>
      </c>
      <c r="F65" s="23">
        <f>'Balance Sheet'!F32</f>
        <v>94742</v>
      </c>
      <c r="G65" s="23">
        <f>'Balance Sheet'!G32</f>
        <v>89868</v>
      </c>
      <c r="H65" s="23">
        <f>'Balance Sheet'!H32</f>
        <v>79985</v>
      </c>
      <c r="I65" s="23">
        <f>'Balance Sheet'!I32</f>
        <v>0</v>
      </c>
      <c r="J65" s="43">
        <v>0</v>
      </c>
      <c r="K65" s="43">
        <v>0</v>
      </c>
      <c r="L65" s="43">
        <v>0</v>
      </c>
      <c r="M65" s="43">
        <v>0</v>
      </c>
      <c r="N65" s="43">
        <v>0</v>
      </c>
      <c r="O65" s="43">
        <v>0</v>
      </c>
      <c r="P65" s="43">
        <v>0</v>
      </c>
      <c r="Q65" s="43">
        <v>0</v>
      </c>
      <c r="R65" s="43">
        <v>0</v>
      </c>
      <c r="S65" s="43">
        <v>0</v>
      </c>
      <c r="T65" s="43">
        <v>0</v>
      </c>
      <c r="U65" s="43">
        <v>0</v>
      </c>
      <c r="V65" s="2"/>
      <c r="W65" s="2"/>
      <c r="X65" s="2"/>
      <c r="Y65" s="2"/>
      <c r="Z65" s="2"/>
      <c r="AA65" s="2"/>
      <c r="AB65" s="2"/>
    </row>
    <row r="66" spans="1:28" ht="13.2">
      <c r="A66" s="94" t="s">
        <v>97</v>
      </c>
      <c r="B66" s="2"/>
      <c r="C66" s="23">
        <f t="shared" ref="C66:I66" si="28">SUM(C64:C65)</f>
        <v>15000</v>
      </c>
      <c r="D66" s="23">
        <f t="shared" si="28"/>
        <v>0</v>
      </c>
      <c r="E66" s="23">
        <f t="shared" si="28"/>
        <v>0</v>
      </c>
      <c r="F66" s="23">
        <f t="shared" si="28"/>
        <v>99608</v>
      </c>
      <c r="G66" s="23">
        <f t="shared" si="28"/>
        <v>94742</v>
      </c>
      <c r="H66" s="23">
        <f t="shared" si="28"/>
        <v>89868</v>
      </c>
      <c r="I66" s="23">
        <f t="shared" si="28"/>
        <v>79985</v>
      </c>
      <c r="J66" s="43">
        <f t="shared" ref="J66:U66" si="29">J64+J65</f>
        <v>79985</v>
      </c>
      <c r="K66" s="43">
        <f t="shared" si="29"/>
        <v>79985</v>
      </c>
      <c r="L66" s="43">
        <f t="shared" si="29"/>
        <v>79985</v>
      </c>
      <c r="M66" s="43">
        <f t="shared" si="29"/>
        <v>79985</v>
      </c>
      <c r="N66" s="43">
        <f t="shared" si="29"/>
        <v>79985</v>
      </c>
      <c r="O66" s="43">
        <f t="shared" si="29"/>
        <v>79985</v>
      </c>
      <c r="P66" s="43">
        <f t="shared" si="29"/>
        <v>79985</v>
      </c>
      <c r="Q66" s="43">
        <f t="shared" si="29"/>
        <v>79985</v>
      </c>
      <c r="R66" s="43">
        <f t="shared" si="29"/>
        <v>79985</v>
      </c>
      <c r="S66" s="43">
        <f t="shared" si="29"/>
        <v>79985</v>
      </c>
      <c r="T66" s="43">
        <f t="shared" si="29"/>
        <v>79985</v>
      </c>
      <c r="U66" s="43">
        <f t="shared" si="29"/>
        <v>79985</v>
      </c>
      <c r="V66" s="2"/>
      <c r="W66" s="2"/>
      <c r="X66" s="2"/>
      <c r="Y66" s="2"/>
      <c r="Z66" s="2"/>
      <c r="AA66" s="2"/>
      <c r="AB66" s="2"/>
    </row>
    <row r="67" spans="1:28" ht="13.2">
      <c r="A67" s="94"/>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3.2">
      <c r="A68" s="94"/>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3.2">
      <c r="A69" s="94"/>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3.2">
      <c r="A70" s="96"/>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3.2">
      <c r="A71" s="94"/>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3.2">
      <c r="A72" s="94"/>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3.2">
      <c r="A73" s="94"/>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3.2">
      <c r="A74" s="94"/>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3.2">
      <c r="A75" s="94"/>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3.2">
      <c r="A76" s="94"/>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3.2">
      <c r="A77" s="94"/>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3.2">
      <c r="A78" s="94"/>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3.2">
      <c r="A79" s="94"/>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3.2">
      <c r="A80" s="94"/>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3.2">
      <c r="A81" s="94"/>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3.2">
      <c r="A82" s="94"/>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3.2">
      <c r="A83" s="94"/>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2">
      <c r="A84" s="94"/>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2">
      <c r="A85" s="94"/>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2">
      <c r="A86" s="94"/>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2">
      <c r="A87" s="94"/>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2">
      <c r="A88" s="94"/>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2">
      <c r="A89" s="94"/>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2">
      <c r="A90" s="94"/>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2">
      <c r="A91" s="94"/>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2">
      <c r="A92" s="94"/>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2">
      <c r="A93" s="94"/>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2">
      <c r="A94" s="94"/>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2">
      <c r="A95" s="94"/>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2">
      <c r="A96" s="94"/>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2">
      <c r="A97" s="94"/>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2">
      <c r="A98" s="94"/>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2">
      <c r="A99" s="94"/>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2">
      <c r="A100" s="94"/>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2">
      <c r="A101" s="94"/>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2">
      <c r="A102" s="94"/>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2">
      <c r="A103" s="94"/>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2">
      <c r="A104" s="94"/>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2">
      <c r="A105" s="94"/>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2">
      <c r="A106" s="94"/>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2">
      <c r="A107" s="94"/>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2">
      <c r="A108" s="94"/>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2">
      <c r="A109" s="94"/>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2">
      <c r="A110" s="94"/>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2">
      <c r="A111" s="94"/>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2">
      <c r="A112" s="94"/>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2">
      <c r="A113" s="94"/>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2">
      <c r="A114" s="94"/>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2">
      <c r="A115" s="94"/>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2">
      <c r="A116" s="94"/>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2">
      <c r="A117" s="94"/>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2">
      <c r="A118" s="94"/>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2">
      <c r="A119" s="94"/>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2">
      <c r="A120" s="94"/>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2">
      <c r="A121" s="94"/>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2">
      <c r="A122" s="94"/>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2">
      <c r="A123" s="94"/>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2">
      <c r="A124" s="94"/>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2">
      <c r="A125" s="94"/>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2">
      <c r="A126" s="94"/>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2">
      <c r="A127" s="94"/>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2">
      <c r="A128" s="94"/>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2">
      <c r="A129" s="94"/>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2">
      <c r="A130" s="94"/>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2">
      <c r="A131" s="94"/>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2">
      <c r="A132" s="94"/>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2">
      <c r="A133" s="94"/>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2">
      <c r="A134" s="94"/>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2">
      <c r="A135" s="94"/>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2">
      <c r="A136" s="94"/>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2">
      <c r="A137" s="94"/>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2">
      <c r="A138" s="94"/>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2">
      <c r="A139" s="94"/>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2">
      <c r="A140" s="94"/>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2">
      <c r="A141" s="94"/>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2">
      <c r="A142" s="94"/>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2">
      <c r="A143" s="94"/>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2">
      <c r="A144" s="94"/>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2">
      <c r="A145" s="94"/>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2">
      <c r="A146" s="94"/>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2">
      <c r="A147" s="94"/>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2">
      <c r="A148" s="94"/>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2">
      <c r="A149" s="94"/>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2">
      <c r="A150" s="94"/>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2">
      <c r="A151" s="94"/>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2">
      <c r="A152" s="94"/>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2">
      <c r="A153" s="94"/>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2">
      <c r="A154" s="94"/>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2">
      <c r="A155" s="94"/>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2">
      <c r="A156" s="94"/>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2">
      <c r="A157" s="94"/>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2">
      <c r="A158" s="94"/>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2">
      <c r="A159" s="94"/>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2">
      <c r="A160" s="94"/>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2">
      <c r="A161" s="94"/>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2">
      <c r="A162" s="94"/>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2">
      <c r="A163" s="94"/>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2">
      <c r="A164" s="94"/>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2">
      <c r="A165" s="94"/>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2">
      <c r="A166" s="94"/>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2">
      <c r="A167" s="94"/>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2">
      <c r="A168" s="94"/>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2">
      <c r="A169" s="94"/>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2">
      <c r="A170" s="94"/>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2">
      <c r="A171" s="94"/>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2">
      <c r="A172" s="94"/>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2">
      <c r="A173" s="94"/>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2">
      <c r="A174" s="94"/>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2">
      <c r="A175" s="94"/>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2">
      <c r="A176" s="94"/>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2">
      <c r="A177" s="94"/>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2">
      <c r="A178" s="94"/>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2">
      <c r="A179" s="94"/>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2">
      <c r="A180" s="94"/>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2">
      <c r="A181" s="94"/>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2">
      <c r="A182" s="94"/>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2">
      <c r="A183" s="94"/>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2">
      <c r="A184" s="94"/>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2">
      <c r="A185" s="94"/>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2">
      <c r="A186" s="94"/>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2">
      <c r="A187" s="94"/>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2">
      <c r="A188" s="94"/>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2">
      <c r="A189" s="94"/>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2">
      <c r="A190" s="94"/>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2">
      <c r="A191" s="94"/>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2">
      <c r="A192" s="94"/>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2">
      <c r="A193" s="94"/>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2">
      <c r="A194" s="94"/>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2">
      <c r="A195" s="94"/>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2">
      <c r="A196" s="94"/>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2">
      <c r="A197" s="94"/>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2">
      <c r="A198" s="94"/>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2">
      <c r="A199" s="94"/>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2">
      <c r="A200" s="94"/>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2">
      <c r="A201" s="94"/>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2">
      <c r="A202" s="94"/>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2">
      <c r="A203" s="94"/>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2">
      <c r="A204" s="94"/>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2">
      <c r="A205" s="94"/>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2">
      <c r="A206" s="94"/>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2">
      <c r="A207" s="94"/>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2">
      <c r="A208" s="94"/>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2">
      <c r="A209" s="94"/>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2">
      <c r="A210" s="94"/>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2">
      <c r="A211" s="94"/>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2">
      <c r="A212" s="94"/>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2">
      <c r="A213" s="94"/>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2">
      <c r="A214" s="94"/>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2">
      <c r="A215" s="94"/>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2">
      <c r="A216" s="94"/>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2">
      <c r="A217" s="94"/>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2">
      <c r="A218" s="94"/>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2">
      <c r="A219" s="94"/>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2">
      <c r="A220" s="94"/>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2">
      <c r="A221" s="94"/>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2">
      <c r="A222" s="94"/>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2">
      <c r="A223" s="94"/>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2">
      <c r="A224" s="94"/>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2">
      <c r="A225" s="94"/>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2">
      <c r="A226" s="94"/>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2">
      <c r="A227" s="94"/>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2">
      <c r="A228" s="94"/>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2">
      <c r="A229" s="94"/>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2">
      <c r="A230" s="94"/>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2">
      <c r="A231" s="94"/>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2">
      <c r="A232" s="94"/>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2">
      <c r="A233" s="94"/>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2">
      <c r="A234" s="94"/>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2">
      <c r="A235" s="94"/>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2">
      <c r="A236" s="94"/>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2">
      <c r="A237" s="94"/>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2">
      <c r="A238" s="94"/>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2">
      <c r="A239" s="94"/>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2">
      <c r="A240" s="94"/>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2">
      <c r="A241" s="94"/>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2">
      <c r="A242" s="94"/>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2">
      <c r="A243" s="94"/>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2">
      <c r="A244" s="94"/>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2">
      <c r="A245" s="94"/>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2">
      <c r="A246" s="94"/>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2">
      <c r="A247" s="94"/>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2">
      <c r="A248" s="94"/>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2">
      <c r="A249" s="94"/>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2">
      <c r="A250" s="94"/>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2">
      <c r="A251" s="94"/>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2">
      <c r="A252" s="94"/>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2">
      <c r="A253" s="94"/>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2">
      <c r="A254" s="94"/>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2">
      <c r="A255" s="94"/>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2">
      <c r="A256" s="94"/>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2">
      <c r="A257" s="94"/>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2">
      <c r="A258" s="94"/>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2">
      <c r="A259" s="94"/>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2">
      <c r="A260" s="94"/>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2">
      <c r="A261" s="94"/>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2">
      <c r="A262" s="94"/>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2">
      <c r="A263" s="94"/>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2">
      <c r="A264" s="94"/>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2">
      <c r="A265" s="94"/>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2">
      <c r="A266" s="94"/>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2">
      <c r="A267" s="94"/>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2">
      <c r="A268" s="94"/>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2">
      <c r="A269" s="94"/>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2">
      <c r="A270" s="94"/>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2">
      <c r="A271" s="94"/>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2">
      <c r="A272" s="94"/>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2">
      <c r="A273" s="94"/>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2">
      <c r="A274" s="94"/>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2">
      <c r="A275" s="94"/>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2">
      <c r="A276" s="94"/>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2">
      <c r="A277" s="94"/>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2">
      <c r="A278" s="94"/>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2">
      <c r="A279" s="94"/>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2">
      <c r="A280" s="94"/>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2">
      <c r="A281" s="94"/>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2">
      <c r="A282" s="94"/>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2">
      <c r="A283" s="94"/>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2">
      <c r="A284" s="94"/>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2">
      <c r="A285" s="94"/>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2">
      <c r="A286" s="94"/>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2">
      <c r="A287" s="94"/>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2">
      <c r="A288" s="94"/>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2">
      <c r="A289" s="94"/>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2">
      <c r="A290" s="94"/>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2">
      <c r="A291" s="94"/>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2">
      <c r="A292" s="94"/>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2">
      <c r="A293" s="94"/>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2">
      <c r="A294" s="94"/>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2">
      <c r="A295" s="94"/>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2">
      <c r="A296" s="94"/>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2">
      <c r="A297" s="94"/>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2">
      <c r="A298" s="94"/>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2">
      <c r="A299" s="94"/>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2">
      <c r="A300" s="94"/>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2">
      <c r="A301" s="94"/>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2">
      <c r="A302" s="94"/>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2">
      <c r="A303" s="94"/>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2">
      <c r="A304" s="94"/>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2">
      <c r="A305" s="94"/>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2">
      <c r="A306" s="94"/>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2">
      <c r="A307" s="94"/>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2">
      <c r="A308" s="94"/>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2">
      <c r="A309" s="94"/>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2">
      <c r="A310" s="94"/>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2">
      <c r="A311" s="94"/>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2">
      <c r="A312" s="94"/>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2">
      <c r="A313" s="94"/>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2">
      <c r="A314" s="94"/>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2">
      <c r="A315" s="94"/>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2">
      <c r="A316" s="94"/>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2">
      <c r="A317" s="94"/>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2">
      <c r="A318" s="94"/>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2">
      <c r="A319" s="94"/>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2">
      <c r="A320" s="94"/>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2">
      <c r="A321" s="94"/>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2">
      <c r="A322" s="94"/>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2">
      <c r="A323" s="94"/>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2">
      <c r="A324" s="94"/>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2">
      <c r="A325" s="94"/>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2">
      <c r="A326" s="94"/>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2">
      <c r="A327" s="94"/>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2">
      <c r="A328" s="94"/>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2">
      <c r="A329" s="94"/>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2">
      <c r="A330" s="94"/>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2">
      <c r="A331" s="94"/>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2">
      <c r="A332" s="94"/>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2">
      <c r="A333" s="94"/>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2">
      <c r="A334" s="94"/>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2">
      <c r="A335" s="94"/>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2">
      <c r="A336" s="94"/>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2">
      <c r="A337" s="94"/>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2">
      <c r="A338" s="94"/>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2">
      <c r="A339" s="94"/>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2">
      <c r="A340" s="94"/>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2">
      <c r="A341" s="94"/>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2">
      <c r="A342" s="94"/>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2">
      <c r="A343" s="94"/>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2">
      <c r="A344" s="94"/>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2">
      <c r="A345" s="94"/>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2">
      <c r="A346" s="94"/>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2">
      <c r="A347" s="94"/>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2">
      <c r="A348" s="94"/>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2">
      <c r="A349" s="94"/>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2">
      <c r="A350" s="94"/>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2">
      <c r="A351" s="94"/>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2">
      <c r="A352" s="94"/>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2">
      <c r="A353" s="94"/>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2">
      <c r="A354" s="94"/>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2">
      <c r="A355" s="94"/>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2">
      <c r="A356" s="94"/>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2">
      <c r="A357" s="94"/>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2">
      <c r="A358" s="94"/>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2">
      <c r="A359" s="94"/>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2">
      <c r="A360" s="94"/>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2">
      <c r="A361" s="94"/>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2">
      <c r="A362" s="94"/>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2">
      <c r="A363" s="94"/>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2">
      <c r="A364" s="94"/>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2">
      <c r="A365" s="94"/>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2">
      <c r="A366" s="94"/>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2">
      <c r="A367" s="94"/>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2">
      <c r="A368" s="94"/>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2">
      <c r="A369" s="94"/>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2">
      <c r="A370" s="94"/>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2">
      <c r="A371" s="94"/>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2">
      <c r="A372" s="94"/>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2">
      <c r="A373" s="94"/>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2">
      <c r="A374" s="94"/>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2">
      <c r="A375" s="94"/>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2">
      <c r="A376" s="94"/>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2">
      <c r="A377" s="94"/>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2">
      <c r="A378" s="94"/>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2">
      <c r="A379" s="94"/>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2">
      <c r="A380" s="94"/>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2">
      <c r="A381" s="94"/>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2">
      <c r="A382" s="94"/>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2">
      <c r="A383" s="94"/>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2">
      <c r="A384" s="94"/>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2">
      <c r="A385" s="94"/>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2">
      <c r="A386" s="94"/>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2">
      <c r="A387" s="94"/>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2">
      <c r="A388" s="94"/>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2">
      <c r="A389" s="94"/>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2">
      <c r="A390" s="94"/>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2">
      <c r="A391" s="94"/>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2">
      <c r="A392" s="94"/>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2">
      <c r="A393" s="94"/>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2">
      <c r="A394" s="94"/>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2">
      <c r="A395" s="94"/>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2">
      <c r="A396" s="94"/>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2">
      <c r="A397" s="94"/>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2">
      <c r="A398" s="94"/>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2">
      <c r="A399" s="94"/>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2">
      <c r="A400" s="94"/>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2">
      <c r="A401" s="94"/>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2">
      <c r="A402" s="94"/>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2">
      <c r="A403" s="94"/>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2">
      <c r="A404" s="94"/>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2">
      <c r="A405" s="94"/>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2">
      <c r="A406" s="94"/>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2">
      <c r="A407" s="94"/>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2">
      <c r="A408" s="94"/>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2">
      <c r="A409" s="94"/>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2">
      <c r="A410" s="94"/>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2">
      <c r="A411" s="94"/>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2">
      <c r="A412" s="94"/>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2">
      <c r="A413" s="94"/>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2">
      <c r="A414" s="94"/>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2">
      <c r="A415" s="94"/>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2">
      <c r="A416" s="94"/>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2">
      <c r="A417" s="94"/>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2">
      <c r="A418" s="94"/>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2">
      <c r="A419" s="94"/>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2">
      <c r="A420" s="94"/>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2">
      <c r="A421" s="94"/>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2">
      <c r="A422" s="94"/>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2">
      <c r="A423" s="94"/>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2">
      <c r="A424" s="94"/>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2">
      <c r="A425" s="94"/>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2">
      <c r="A426" s="94"/>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2">
      <c r="A427" s="94"/>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2">
      <c r="A428" s="94"/>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2">
      <c r="A429" s="94"/>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2">
      <c r="A430" s="94"/>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2">
      <c r="A431" s="94"/>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2">
      <c r="A432" s="94"/>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2">
      <c r="A433" s="94"/>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2">
      <c r="A434" s="94"/>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2">
      <c r="A435" s="94"/>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2">
      <c r="A436" s="94"/>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2">
      <c r="A437" s="94"/>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2">
      <c r="A438" s="94"/>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2">
      <c r="A439" s="94"/>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2">
      <c r="A440" s="94"/>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2">
      <c r="A441" s="94"/>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2">
      <c r="A442" s="94"/>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2">
      <c r="A443" s="94"/>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2">
      <c r="A444" s="94"/>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2">
      <c r="A445" s="94"/>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2">
      <c r="A446" s="94"/>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2">
      <c r="A447" s="94"/>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2">
      <c r="A448" s="94"/>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2">
      <c r="A449" s="94"/>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2">
      <c r="A450" s="94"/>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2">
      <c r="A451" s="94"/>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2">
      <c r="A452" s="94"/>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2">
      <c r="A453" s="94"/>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2">
      <c r="A454" s="94"/>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2">
      <c r="A455" s="94"/>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2">
      <c r="A456" s="94"/>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2">
      <c r="A457" s="94"/>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2">
      <c r="A458" s="94"/>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2">
      <c r="A459" s="94"/>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2">
      <c r="A460" s="94"/>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2">
      <c r="A461" s="94"/>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2">
      <c r="A462" s="94"/>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2">
      <c r="A463" s="94"/>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2">
      <c r="A464" s="94"/>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2">
      <c r="A465" s="94"/>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2">
      <c r="A466" s="94"/>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2">
      <c r="A467" s="94"/>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2">
      <c r="A468" s="94"/>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2">
      <c r="A469" s="94"/>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2">
      <c r="A470" s="94"/>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2">
      <c r="A471" s="94"/>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2">
      <c r="A472" s="94"/>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2">
      <c r="A473" s="94"/>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2">
      <c r="A474" s="94"/>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2">
      <c r="A475" s="94"/>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2">
      <c r="A476" s="94"/>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2">
      <c r="A477" s="94"/>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2">
      <c r="A478" s="94"/>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2">
      <c r="A479" s="94"/>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2">
      <c r="A480" s="94"/>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2">
      <c r="A481" s="94"/>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2">
      <c r="A482" s="94"/>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2">
      <c r="A483" s="94"/>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2">
      <c r="A484" s="94"/>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2">
      <c r="A485" s="94"/>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2">
      <c r="A486" s="94"/>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2">
      <c r="A487" s="94"/>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2">
      <c r="A488" s="94"/>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2">
      <c r="A489" s="94"/>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2">
      <c r="A490" s="94"/>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2">
      <c r="A491" s="94"/>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2">
      <c r="A492" s="94"/>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2">
      <c r="A493" s="94"/>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2">
      <c r="A494" s="94"/>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2">
      <c r="A495" s="94"/>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2">
      <c r="A496" s="94"/>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2">
      <c r="A497" s="94"/>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2">
      <c r="A498" s="94"/>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2">
      <c r="A499" s="94"/>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2">
      <c r="A500" s="94"/>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2">
      <c r="A501" s="94"/>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2">
      <c r="A502" s="94"/>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2">
      <c r="A503" s="94"/>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2">
      <c r="A504" s="94"/>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2">
      <c r="A505" s="94"/>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2">
      <c r="A506" s="94"/>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2">
      <c r="A507" s="94"/>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2">
      <c r="A508" s="94"/>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2">
      <c r="A509" s="94"/>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2">
      <c r="A510" s="94"/>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2">
      <c r="A511" s="94"/>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2">
      <c r="A512" s="94"/>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2">
      <c r="A513" s="94"/>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2">
      <c r="A514" s="94"/>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2">
      <c r="A515" s="94"/>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2">
      <c r="A516" s="94"/>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2">
      <c r="A517" s="94"/>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2">
      <c r="A518" s="94"/>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2">
      <c r="A519" s="94"/>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2">
      <c r="A520" s="94"/>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2">
      <c r="A521" s="94"/>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2">
      <c r="A522" s="94"/>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2">
      <c r="A523" s="94"/>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2">
      <c r="A524" s="94"/>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2">
      <c r="A525" s="94"/>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2">
      <c r="A526" s="94"/>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2">
      <c r="A527" s="94"/>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2">
      <c r="A528" s="94"/>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2">
      <c r="A529" s="94"/>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2">
      <c r="A530" s="94"/>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2">
      <c r="A531" s="94"/>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2">
      <c r="A532" s="94"/>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2">
      <c r="A533" s="94"/>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2">
      <c r="A534" s="94"/>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2">
      <c r="A535" s="94"/>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2">
      <c r="A536" s="94"/>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2">
      <c r="A537" s="94"/>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2">
      <c r="A538" s="94"/>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2">
      <c r="A539" s="94"/>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2">
      <c r="A540" s="94"/>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2">
      <c r="A541" s="94"/>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2">
      <c r="A542" s="94"/>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2">
      <c r="A543" s="94"/>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2">
      <c r="A544" s="94"/>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2">
      <c r="A545" s="94"/>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2">
      <c r="A546" s="94"/>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2">
      <c r="A547" s="94"/>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2">
      <c r="A548" s="94"/>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2">
      <c r="A549" s="94"/>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2">
      <c r="A550" s="94"/>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2">
      <c r="A551" s="94"/>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2">
      <c r="A552" s="94"/>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2">
      <c r="A553" s="94"/>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2">
      <c r="A554" s="94"/>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2">
      <c r="A555" s="94"/>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2">
      <c r="A556" s="94"/>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2">
      <c r="A557" s="94"/>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2">
      <c r="A558" s="94"/>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2">
      <c r="A559" s="94"/>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2">
      <c r="A560" s="94"/>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2">
      <c r="A561" s="94"/>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2">
      <c r="A562" s="94"/>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2">
      <c r="A563" s="94"/>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2">
      <c r="A564" s="94"/>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2">
      <c r="A565" s="94"/>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2">
      <c r="A566" s="94"/>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2">
      <c r="A567" s="94"/>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2">
      <c r="A568" s="94"/>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2">
      <c r="A569" s="94"/>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2">
      <c r="A570" s="94"/>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2">
      <c r="A571" s="94"/>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2">
      <c r="A572" s="94"/>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2">
      <c r="A573" s="94"/>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2">
      <c r="A574" s="94"/>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2">
      <c r="A575" s="94"/>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2">
      <c r="A576" s="94"/>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2">
      <c r="A577" s="94"/>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2">
      <c r="A578" s="94"/>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2">
      <c r="A579" s="94"/>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2">
      <c r="A580" s="94"/>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2">
      <c r="A581" s="94"/>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2">
      <c r="A582" s="94"/>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2">
      <c r="A583" s="94"/>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2">
      <c r="A584" s="94"/>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2">
      <c r="A585" s="94"/>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2">
      <c r="A586" s="94"/>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2">
      <c r="A587" s="94"/>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2">
      <c r="A588" s="94"/>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2">
      <c r="A589" s="94"/>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2">
      <c r="A590" s="94"/>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2">
      <c r="A591" s="94"/>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2">
      <c r="A592" s="94"/>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2">
      <c r="A593" s="94"/>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2">
      <c r="A594" s="94"/>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2">
      <c r="A595" s="94"/>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2">
      <c r="A596" s="94"/>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2">
      <c r="A597" s="94"/>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2">
      <c r="A598" s="94"/>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2">
      <c r="A599" s="94"/>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2">
      <c r="A600" s="94"/>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2">
      <c r="A601" s="94"/>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2">
      <c r="A602" s="94"/>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2">
      <c r="A603" s="94"/>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2">
      <c r="A604" s="94"/>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2">
      <c r="A605" s="94"/>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2">
      <c r="A606" s="94"/>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2">
      <c r="A607" s="94"/>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2">
      <c r="A608" s="94"/>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2">
      <c r="A609" s="94"/>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2">
      <c r="A610" s="94"/>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2">
      <c r="A611" s="94"/>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2">
      <c r="A612" s="94"/>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2">
      <c r="A613" s="94"/>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2">
      <c r="A614" s="94"/>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2">
      <c r="A615" s="94"/>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2">
      <c r="A616" s="94"/>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2">
      <c r="A617" s="94"/>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2">
      <c r="A618" s="94"/>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2">
      <c r="A619" s="94"/>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2">
      <c r="A620" s="94"/>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2">
      <c r="A621" s="94"/>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2">
      <c r="A622" s="94"/>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2">
      <c r="A623" s="94"/>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2">
      <c r="A624" s="94"/>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2">
      <c r="A625" s="94"/>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2">
      <c r="A626" s="94"/>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2">
      <c r="A627" s="94"/>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2">
      <c r="A628" s="94"/>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2">
      <c r="A629" s="94"/>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2">
      <c r="A630" s="94"/>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2">
      <c r="A631" s="94"/>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2">
      <c r="A632" s="94"/>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2">
      <c r="A633" s="94"/>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2">
      <c r="A634" s="94"/>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2">
      <c r="A635" s="94"/>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2">
      <c r="A636" s="94"/>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2">
      <c r="A637" s="94"/>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2">
      <c r="A638" s="94"/>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2">
      <c r="A639" s="94"/>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2">
      <c r="A640" s="94"/>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2">
      <c r="A641" s="94"/>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2">
      <c r="A642" s="94"/>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2">
      <c r="A643" s="94"/>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2">
      <c r="A644" s="94"/>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2">
      <c r="A645" s="94"/>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2">
      <c r="A646" s="94"/>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2">
      <c r="A647" s="94"/>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2">
      <c r="A648" s="94"/>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2">
      <c r="A649" s="94"/>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2">
      <c r="A650" s="94"/>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2">
      <c r="A651" s="94"/>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2">
      <c r="A652" s="94"/>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2">
      <c r="A653" s="94"/>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2">
      <c r="A654" s="94"/>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2">
      <c r="A655" s="94"/>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2">
      <c r="A656" s="94"/>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2">
      <c r="A657" s="94"/>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2">
      <c r="A658" s="94"/>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2">
      <c r="A659" s="94"/>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2">
      <c r="A660" s="94"/>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2">
      <c r="A661" s="94"/>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2">
      <c r="A662" s="94"/>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2">
      <c r="A663" s="94"/>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2">
      <c r="A664" s="94"/>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2">
      <c r="A665" s="94"/>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2">
      <c r="A666" s="94"/>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2">
      <c r="A667" s="94"/>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2">
      <c r="A668" s="94"/>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2">
      <c r="A669" s="94"/>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2">
      <c r="A670" s="94"/>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2">
      <c r="A671" s="94"/>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2">
      <c r="A672" s="94"/>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2">
      <c r="A673" s="94"/>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2">
      <c r="A674" s="94"/>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2">
      <c r="A675" s="94"/>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2">
      <c r="A676" s="94"/>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2">
      <c r="A677" s="94"/>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2">
      <c r="A678" s="94"/>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2">
      <c r="A679" s="94"/>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2">
      <c r="A680" s="94"/>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2">
      <c r="A681" s="94"/>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2">
      <c r="A682" s="94"/>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2">
      <c r="A683" s="94"/>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2">
      <c r="A684" s="94"/>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2">
      <c r="A685" s="94"/>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2">
      <c r="A686" s="94"/>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2">
      <c r="A687" s="94"/>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2">
      <c r="A688" s="94"/>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2">
      <c r="A689" s="94"/>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2">
      <c r="A690" s="94"/>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2">
      <c r="A691" s="94"/>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2">
      <c r="A692" s="94"/>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2">
      <c r="A693" s="94"/>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2">
      <c r="A694" s="94"/>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2">
      <c r="A695" s="94"/>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2">
      <c r="A696" s="94"/>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2">
      <c r="A697" s="94"/>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2">
      <c r="A698" s="94"/>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2">
      <c r="A699" s="94"/>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2">
      <c r="A700" s="94"/>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2">
      <c r="A701" s="94"/>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2">
      <c r="A702" s="94"/>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2">
      <c r="A703" s="94"/>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2">
      <c r="A704" s="94"/>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2">
      <c r="A705" s="94"/>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2">
      <c r="A706" s="94"/>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2">
      <c r="A707" s="94"/>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2">
      <c r="A708" s="94"/>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2">
      <c r="A709" s="94"/>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2">
      <c r="A710" s="94"/>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2">
      <c r="A711" s="94"/>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2">
      <c r="A712" s="94"/>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2">
      <c r="A713" s="94"/>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2">
      <c r="A714" s="94"/>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2">
      <c r="A715" s="94"/>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2">
      <c r="A716" s="94"/>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2">
      <c r="A717" s="94"/>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2">
      <c r="A718" s="94"/>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2">
      <c r="A719" s="94"/>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2">
      <c r="A720" s="94"/>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2">
      <c r="A721" s="94"/>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2">
      <c r="A722" s="94"/>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2">
      <c r="A723" s="94"/>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2">
      <c r="A724" s="94"/>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2">
      <c r="A725" s="94"/>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2">
      <c r="A726" s="94"/>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2">
      <c r="A727" s="94"/>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2">
      <c r="A728" s="94"/>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2">
      <c r="A729" s="94"/>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2">
      <c r="A730" s="94"/>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2">
      <c r="A731" s="94"/>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2">
      <c r="A732" s="94"/>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2">
      <c r="A733" s="94"/>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2">
      <c r="A734" s="94"/>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2">
      <c r="A735" s="94"/>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2">
      <c r="A736" s="94"/>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2">
      <c r="A737" s="94"/>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2">
      <c r="A738" s="94"/>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2">
      <c r="A739" s="94"/>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2">
      <c r="A740" s="94"/>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2">
      <c r="A741" s="94"/>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2">
      <c r="A742" s="94"/>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2">
      <c r="A743" s="94"/>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2">
      <c r="A744" s="94"/>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2">
      <c r="A745" s="94"/>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2">
      <c r="A746" s="94"/>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2">
      <c r="A747" s="94"/>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2">
      <c r="A748" s="94"/>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2">
      <c r="A749" s="94"/>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2">
      <c r="A750" s="94"/>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2">
      <c r="A751" s="94"/>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2">
      <c r="A752" s="94"/>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2">
      <c r="A753" s="94"/>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2">
      <c r="A754" s="94"/>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2">
      <c r="A755" s="94"/>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2">
      <c r="A756" s="94"/>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2">
      <c r="A757" s="94"/>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2">
      <c r="A758" s="94"/>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2">
      <c r="A759" s="94"/>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2">
      <c r="A760" s="94"/>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2">
      <c r="A761" s="94"/>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2">
      <c r="A762" s="94"/>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2">
      <c r="A763" s="94"/>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2">
      <c r="A764" s="94"/>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2">
      <c r="A765" s="94"/>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2">
      <c r="A766" s="94"/>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2">
      <c r="A767" s="94"/>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2">
      <c r="A768" s="94"/>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2">
      <c r="A769" s="94"/>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2">
      <c r="A770" s="94"/>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2">
      <c r="A771" s="94"/>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2">
      <c r="A772" s="94"/>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2">
      <c r="A773" s="94"/>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2">
      <c r="A774" s="94"/>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2">
      <c r="A775" s="94"/>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2">
      <c r="A776" s="94"/>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2">
      <c r="A777" s="94"/>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2">
      <c r="A778" s="94"/>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2">
      <c r="A779" s="94"/>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2">
      <c r="A780" s="94"/>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2">
      <c r="A781" s="94"/>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2">
      <c r="A782" s="94"/>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2">
      <c r="A783" s="94"/>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2">
      <c r="A784" s="94"/>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2">
      <c r="A785" s="94"/>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2">
      <c r="A786" s="94"/>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2">
      <c r="A787" s="94"/>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2">
      <c r="A788" s="94"/>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2">
      <c r="A789" s="94"/>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2">
      <c r="A790" s="94"/>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2">
      <c r="A791" s="94"/>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2">
      <c r="A792" s="94"/>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2">
      <c r="A793" s="94"/>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2">
      <c r="A794" s="94"/>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2">
      <c r="A795" s="94"/>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2">
      <c r="A796" s="94"/>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2">
      <c r="A797" s="94"/>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2">
      <c r="A798" s="94"/>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2">
      <c r="A799" s="94"/>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2">
      <c r="A800" s="94"/>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2">
      <c r="A801" s="94"/>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2">
      <c r="A802" s="94"/>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2">
      <c r="A803" s="94"/>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2">
      <c r="A804" s="94"/>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2">
      <c r="A805" s="94"/>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2">
      <c r="A806" s="94"/>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2">
      <c r="A807" s="94"/>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2">
      <c r="A808" s="94"/>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2">
      <c r="A809" s="94"/>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2">
      <c r="A810" s="94"/>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2">
      <c r="A811" s="94"/>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2">
      <c r="A812" s="94"/>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2">
      <c r="A813" s="94"/>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2">
      <c r="A814" s="94"/>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2">
      <c r="A815" s="94"/>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2">
      <c r="A816" s="94"/>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2">
      <c r="A817" s="94"/>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2">
      <c r="A818" s="94"/>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2">
      <c r="A819" s="94"/>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2">
      <c r="A820" s="94"/>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2">
      <c r="A821" s="94"/>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2">
      <c r="A822" s="94"/>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2">
      <c r="A823" s="94"/>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2">
      <c r="A824" s="94"/>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2">
      <c r="A825" s="94"/>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2">
      <c r="A826" s="94"/>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2">
      <c r="A827" s="94"/>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2">
      <c r="A828" s="94"/>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2">
      <c r="A829" s="94"/>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2">
      <c r="A830" s="94"/>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2">
      <c r="A831" s="94"/>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2">
      <c r="A832" s="94"/>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2">
      <c r="A833" s="94"/>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2">
      <c r="A834" s="94"/>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2">
      <c r="A835" s="94"/>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2">
      <c r="A836" s="94"/>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2">
      <c r="A837" s="94"/>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2">
      <c r="A838" s="94"/>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2">
      <c r="A839" s="94"/>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2">
      <c r="A840" s="94"/>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2">
      <c r="A841" s="94"/>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2">
      <c r="A842" s="94"/>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2">
      <c r="A843" s="94"/>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2">
      <c r="A844" s="94"/>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2">
      <c r="A845" s="94"/>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2">
      <c r="A846" s="94"/>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2">
      <c r="A847" s="94"/>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2">
      <c r="A848" s="94"/>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2">
      <c r="A849" s="94"/>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2">
      <c r="A850" s="94"/>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2">
      <c r="A851" s="94"/>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2">
      <c r="A852" s="94"/>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2">
      <c r="A853" s="94"/>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2">
      <c r="A854" s="94"/>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2">
      <c r="A855" s="94"/>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2">
      <c r="A856" s="94"/>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2">
      <c r="A857" s="94"/>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2">
      <c r="A858" s="94"/>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2">
      <c r="A859" s="94"/>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2">
      <c r="A860" s="94"/>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2">
      <c r="A861" s="94"/>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2">
      <c r="A862" s="94"/>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2">
      <c r="A863" s="94"/>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2">
      <c r="A864" s="94"/>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2">
      <c r="A865" s="94"/>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2">
      <c r="A866" s="94"/>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2">
      <c r="A867" s="94"/>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2">
      <c r="A868" s="94"/>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2">
      <c r="A869" s="94"/>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2">
      <c r="A870" s="94"/>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2">
      <c r="A871" s="94"/>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2">
      <c r="A872" s="94"/>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2">
      <c r="A873" s="94"/>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2">
      <c r="A874" s="94"/>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2">
      <c r="A875" s="94"/>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2">
      <c r="A876" s="94"/>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2">
      <c r="A877" s="94"/>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2">
      <c r="A878" s="94"/>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2">
      <c r="A879" s="94"/>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2">
      <c r="A880" s="94"/>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2">
      <c r="A881" s="94"/>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2">
      <c r="A882" s="94"/>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2">
      <c r="A883" s="94"/>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2">
      <c r="A884" s="94"/>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2">
      <c r="A885" s="94"/>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2">
      <c r="A886" s="94"/>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2">
      <c r="A887" s="94"/>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2">
      <c r="A888" s="94"/>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2">
      <c r="A889" s="94"/>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2">
      <c r="A890" s="94"/>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2">
      <c r="A891" s="94"/>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2">
      <c r="A892" s="94"/>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2">
      <c r="A893" s="94"/>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2">
      <c r="A894" s="94"/>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2">
      <c r="A895" s="94"/>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2">
      <c r="A896" s="94"/>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2">
      <c r="A897" s="94"/>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2">
      <c r="A898" s="94"/>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2">
      <c r="A899" s="94"/>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2">
      <c r="A900" s="94"/>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2">
      <c r="A901" s="94"/>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2">
      <c r="A902" s="94"/>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2">
      <c r="A903" s="94"/>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2">
      <c r="A904" s="94"/>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2">
      <c r="A905" s="94"/>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2">
      <c r="A906" s="94"/>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2">
      <c r="A907" s="94"/>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2">
      <c r="A908" s="94"/>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2">
      <c r="A909" s="94"/>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2">
      <c r="A910" s="94"/>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2">
      <c r="A911" s="94"/>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2">
      <c r="A912" s="94"/>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2">
      <c r="A913" s="94"/>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2">
      <c r="A914" s="94"/>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2">
      <c r="A915" s="94"/>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2">
      <c r="A916" s="94"/>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2">
      <c r="A917" s="94"/>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2">
      <c r="A918" s="94"/>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2">
      <c r="A919" s="94"/>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2">
      <c r="A920" s="94"/>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2">
      <c r="A921" s="94"/>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2">
      <c r="A922" s="94"/>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2">
      <c r="A923" s="94"/>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2">
      <c r="A924" s="94"/>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2">
      <c r="A925" s="94"/>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2">
      <c r="A926" s="94"/>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2">
      <c r="A927" s="94"/>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2">
      <c r="A928" s="94"/>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2">
      <c r="A929" s="94"/>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2">
      <c r="A930" s="94"/>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2">
      <c r="A931" s="94"/>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2">
      <c r="A932" s="94"/>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2">
      <c r="A933" s="94"/>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2">
      <c r="A934" s="94"/>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2">
      <c r="A935" s="94"/>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2">
      <c r="A936" s="94"/>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2">
      <c r="A937" s="94"/>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2">
      <c r="A938" s="94"/>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2">
      <c r="A939" s="94"/>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2">
      <c r="A940" s="94"/>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2">
      <c r="A941" s="94"/>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2">
      <c r="A942" s="94"/>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2">
      <c r="A943" s="94"/>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2">
      <c r="A944" s="94"/>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2">
      <c r="A945" s="94"/>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2">
      <c r="A946" s="94"/>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2">
      <c r="A947" s="94"/>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2">
      <c r="A948" s="94"/>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2">
      <c r="A949" s="94"/>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2">
      <c r="A950" s="94"/>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2">
      <c r="A951" s="94"/>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2">
      <c r="A952" s="94"/>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2">
      <c r="A953" s="94"/>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2">
      <c r="A954" s="94"/>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2">
      <c r="A955" s="94"/>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2">
      <c r="A956" s="94"/>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2">
      <c r="A957" s="94"/>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2">
      <c r="A958" s="94"/>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2">
      <c r="A959" s="94"/>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2">
      <c r="A960" s="94"/>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2">
      <c r="A961" s="94"/>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2">
      <c r="A962" s="94"/>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2">
      <c r="A963" s="94"/>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2">
      <c r="A964" s="94"/>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2">
      <c r="A965" s="94"/>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2">
      <c r="A966" s="94"/>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2">
      <c r="A967" s="94"/>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2">
      <c r="A968" s="94"/>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2">
      <c r="A969" s="94"/>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2">
      <c r="A970" s="94"/>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2">
      <c r="A971" s="94"/>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2">
      <c r="A972" s="94"/>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2">
      <c r="A973" s="94"/>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2">
      <c r="A974" s="94"/>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2">
      <c r="A975" s="94"/>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2">
      <c r="A976" s="94"/>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2">
      <c r="A977" s="94"/>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2">
      <c r="A978" s="94"/>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2">
      <c r="A979" s="94"/>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2">
      <c r="A980" s="94"/>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2">
      <c r="A981" s="94"/>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2">
      <c r="A982" s="94"/>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2">
      <c r="A983" s="94"/>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2">
      <c r="A984" s="94"/>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2">
      <c r="A985" s="94"/>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2">
      <c r="A986" s="94"/>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2">
      <c r="A987" s="94"/>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2">
      <c r="A988" s="94"/>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2">
      <c r="A989" s="94"/>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2">
      <c r="A990" s="94"/>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2">
      <c r="A991" s="94"/>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2">
      <c r="A992" s="94"/>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2">
      <c r="A993" s="94"/>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2">
      <c r="A994" s="94"/>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2">
      <c r="A995" s="94"/>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2">
      <c r="A996" s="94"/>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2">
      <c r="A997" s="94"/>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2">
      <c r="A998" s="94"/>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2">
      <c r="A999" s="94"/>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2">
      <c r="A1000" s="94"/>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1:28" ht="13.2">
      <c r="A1001" s="94"/>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1:28" ht="13.2">
      <c r="A1002" s="94"/>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1:28" ht="13.2">
      <c r="A1003" s="94"/>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1:28" ht="13.2">
      <c r="A1004" s="94"/>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1:28" ht="13.2">
      <c r="A1005" s="94"/>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1:28" ht="13.2">
      <c r="A1006" s="94"/>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1:28" ht="13.2">
      <c r="A1007" s="94"/>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1:28" ht="13.2">
      <c r="A1008" s="94"/>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spans="1:28" ht="13.2">
      <c r="A1009" s="94"/>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5"/>
  <sheetViews>
    <sheetView topLeftCell="A16" workbookViewId="0">
      <pane xSplit="1" topLeftCell="O1" activePane="topRight" state="frozen"/>
      <selection pane="topRight" activeCell="A5" sqref="A5:U39"/>
    </sheetView>
  </sheetViews>
  <sheetFormatPr defaultColWidth="12.6640625" defaultRowHeight="15.75" customHeight="1"/>
  <cols>
    <col min="1" max="1" width="57.109375" style="86" customWidth="1"/>
    <col min="2" max="2" width="5.77734375" style="86" customWidth="1"/>
    <col min="3" max="8" width="0" style="86" hidden="1" customWidth="1"/>
    <col min="9" max="16384" width="12.6640625" style="86"/>
  </cols>
  <sheetData>
    <row r="1" spans="1:28" ht="15.75" customHeight="1">
      <c r="A1" s="138" t="s">
        <v>4</v>
      </c>
      <c r="B1" s="85"/>
      <c r="C1" s="85"/>
      <c r="D1" s="85"/>
      <c r="E1" s="85"/>
      <c r="F1" s="85"/>
      <c r="G1" s="85"/>
      <c r="H1" s="85"/>
      <c r="I1" s="85"/>
      <c r="J1" s="85"/>
      <c r="K1" s="85"/>
      <c r="L1" s="85"/>
      <c r="M1" s="85"/>
      <c r="N1" s="85"/>
      <c r="O1" s="85"/>
      <c r="P1" s="85"/>
      <c r="Q1" s="85"/>
      <c r="R1" s="85"/>
      <c r="S1" s="85"/>
      <c r="T1" s="85"/>
      <c r="U1" s="85"/>
      <c r="V1" s="85"/>
      <c r="W1" s="85"/>
      <c r="X1" s="85"/>
      <c r="Y1" s="85"/>
      <c r="Z1" s="85"/>
      <c r="AA1" s="85"/>
      <c r="AB1" s="85"/>
    </row>
    <row r="2" spans="1:28" ht="13.8">
      <c r="A2" s="139" t="s">
        <v>5</v>
      </c>
      <c r="B2" s="85"/>
      <c r="C2" s="85"/>
      <c r="D2" s="85"/>
      <c r="E2" s="85"/>
      <c r="F2" s="85"/>
      <c r="G2" s="85"/>
      <c r="H2" s="85"/>
      <c r="I2" s="85"/>
      <c r="J2" s="85"/>
      <c r="K2" s="114"/>
      <c r="L2" s="85"/>
      <c r="M2" s="85"/>
      <c r="N2" s="85"/>
      <c r="O2" s="85"/>
      <c r="P2" s="85"/>
      <c r="Q2" s="85"/>
      <c r="R2" s="85"/>
      <c r="S2" s="85"/>
      <c r="T2" s="85"/>
      <c r="U2" s="85"/>
      <c r="V2" s="85"/>
      <c r="W2" s="85"/>
      <c r="X2" s="85"/>
      <c r="Y2" s="85"/>
      <c r="Z2" s="85"/>
      <c r="AA2" s="85"/>
      <c r="AB2" s="85"/>
    </row>
    <row r="3" spans="1:28" ht="13.8">
      <c r="A3" s="89" t="s">
        <v>6</v>
      </c>
      <c r="B3" s="85"/>
      <c r="C3" s="85"/>
      <c r="D3" s="85"/>
      <c r="E3" s="85"/>
      <c r="F3" s="140"/>
      <c r="G3" s="140"/>
      <c r="H3" s="140"/>
      <c r="I3" s="140"/>
      <c r="J3" s="85"/>
      <c r="K3" s="85"/>
      <c r="L3" s="85"/>
      <c r="M3" s="85"/>
      <c r="N3" s="85"/>
      <c r="O3" s="85"/>
      <c r="P3" s="85"/>
      <c r="Q3" s="85"/>
      <c r="R3" s="85"/>
      <c r="S3" s="85"/>
      <c r="T3" s="85"/>
      <c r="U3" s="85"/>
      <c r="V3" s="85"/>
      <c r="W3" s="85"/>
      <c r="X3" s="85"/>
      <c r="Y3" s="85"/>
      <c r="Z3" s="85"/>
      <c r="AA3" s="85"/>
      <c r="AB3" s="85"/>
    </row>
    <row r="4" spans="1:28" ht="13.8">
      <c r="A4" s="85"/>
      <c r="B4" s="85"/>
      <c r="C4" s="85"/>
      <c r="D4" s="85"/>
      <c r="E4" s="85"/>
      <c r="F4" s="85"/>
      <c r="G4" s="85"/>
      <c r="H4" s="85"/>
      <c r="I4" s="85"/>
      <c r="J4" s="85"/>
      <c r="K4" s="85"/>
      <c r="L4" s="85"/>
      <c r="M4" s="85"/>
      <c r="N4" s="85"/>
      <c r="O4" s="85"/>
      <c r="P4" s="85"/>
      <c r="Q4" s="85"/>
      <c r="R4" s="85"/>
      <c r="S4" s="85"/>
      <c r="T4" s="85"/>
      <c r="U4" s="85"/>
      <c r="V4" s="85"/>
      <c r="W4" s="85"/>
      <c r="X4" s="85"/>
      <c r="Y4" s="85"/>
      <c r="Z4" s="85"/>
      <c r="AA4" s="85"/>
      <c r="AB4" s="85"/>
    </row>
    <row r="5" spans="1:28" ht="13.8">
      <c r="A5" s="141" t="s">
        <v>8</v>
      </c>
      <c r="B5" s="85"/>
      <c r="C5" s="102">
        <v>2016</v>
      </c>
      <c r="D5" s="102">
        <v>2017</v>
      </c>
      <c r="E5" s="102">
        <v>2018</v>
      </c>
      <c r="F5" s="102">
        <v>2019</v>
      </c>
      <c r="G5" s="102">
        <v>2020</v>
      </c>
      <c r="H5" s="102">
        <v>2021</v>
      </c>
      <c r="I5" s="102">
        <v>2022</v>
      </c>
      <c r="J5" s="102">
        <v>2023</v>
      </c>
      <c r="K5" s="102">
        <v>2024</v>
      </c>
      <c r="L5" s="102">
        <v>2025</v>
      </c>
      <c r="M5" s="102">
        <v>2026</v>
      </c>
      <c r="N5" s="102">
        <v>2027</v>
      </c>
      <c r="O5" s="102">
        <v>2028</v>
      </c>
      <c r="P5" s="102">
        <v>2029</v>
      </c>
      <c r="Q5" s="102">
        <v>2030</v>
      </c>
      <c r="R5" s="102">
        <v>2031</v>
      </c>
      <c r="S5" s="102">
        <v>2032</v>
      </c>
      <c r="T5" s="102">
        <v>2033</v>
      </c>
      <c r="U5" s="102">
        <v>2034</v>
      </c>
      <c r="V5" s="85"/>
      <c r="W5" s="85"/>
      <c r="X5" s="85"/>
      <c r="Y5" s="85"/>
      <c r="Z5" s="85"/>
      <c r="AA5" s="85"/>
      <c r="AB5" s="85"/>
    </row>
    <row r="6" spans="1:28" ht="13.8">
      <c r="A6" s="85"/>
      <c r="B6" s="85"/>
      <c r="C6" s="85"/>
      <c r="D6" s="85"/>
      <c r="E6" s="85"/>
      <c r="F6" s="85"/>
      <c r="G6" s="85"/>
      <c r="H6" s="85"/>
      <c r="I6" s="85"/>
      <c r="J6" s="85"/>
      <c r="K6" s="85"/>
      <c r="L6" s="85"/>
      <c r="M6" s="85"/>
      <c r="N6" s="85"/>
      <c r="O6" s="85"/>
      <c r="P6" s="85"/>
      <c r="Q6" s="85"/>
      <c r="R6" s="85"/>
      <c r="S6" s="85"/>
      <c r="T6" s="85"/>
      <c r="U6" s="85"/>
      <c r="V6" s="85"/>
      <c r="W6" s="85"/>
      <c r="X6" s="85"/>
      <c r="Y6" s="85"/>
      <c r="Z6" s="85"/>
      <c r="AA6" s="85"/>
      <c r="AB6" s="85"/>
    </row>
    <row r="7" spans="1:28" ht="13.8">
      <c r="A7" s="139" t="s">
        <v>98</v>
      </c>
      <c r="B7" s="85"/>
      <c r="C7" s="85"/>
      <c r="D7" s="85"/>
      <c r="E7" s="85"/>
      <c r="F7" s="85"/>
      <c r="G7" s="85"/>
      <c r="H7" s="85"/>
      <c r="I7" s="85"/>
      <c r="J7" s="85"/>
      <c r="K7" s="85"/>
      <c r="L7" s="85"/>
      <c r="M7" s="85"/>
      <c r="N7" s="85"/>
      <c r="O7" s="85"/>
      <c r="P7" s="85"/>
      <c r="Q7" s="85"/>
      <c r="R7" s="85"/>
      <c r="S7" s="85"/>
      <c r="T7" s="85"/>
      <c r="U7" s="85"/>
      <c r="V7" s="85"/>
      <c r="W7" s="85"/>
      <c r="X7" s="85"/>
      <c r="Y7" s="85"/>
      <c r="Z7" s="85"/>
      <c r="AA7" s="85"/>
      <c r="AB7" s="85"/>
    </row>
    <row r="8" spans="1:28" ht="13.8">
      <c r="A8" s="142" t="s">
        <v>99</v>
      </c>
      <c r="B8" s="85"/>
      <c r="C8" s="110">
        <f>'Cash Flows'!C11/('Income Statement'!C26)</f>
        <v>4.9913020206075201E-2</v>
      </c>
      <c r="D8" s="110">
        <f>'Cash Flows'!D11/('Income Statement'!D26)</f>
        <v>4.991136892854376E-2</v>
      </c>
      <c r="E8" s="110">
        <f>'Cash Flows'!E11/('Income Statement'!E26)</f>
        <v>0.10905964497863618</v>
      </c>
      <c r="F8" s="110">
        <f>'Cash Flows'!F11/('Income Statement'!F26)</f>
        <v>0.15202138919081964</v>
      </c>
      <c r="G8" s="110">
        <f>'Cash Flows'!G11/('Income Statement'!G26)</f>
        <v>0.16183528230284186</v>
      </c>
      <c r="H8" s="110">
        <f>'Cash Flows'!H11/('Income Statement'!H26)</f>
        <v>0.15980570941627609</v>
      </c>
      <c r="I8" s="110">
        <f>'Cash Flows'!I11/('Income Statement'!I26)</f>
        <v>0.18251986551792335</v>
      </c>
      <c r="J8" s="122">
        <f>AVERAGE(E8:I8)</f>
        <v>0.15304837828129941</v>
      </c>
      <c r="K8" s="111">
        <f t="shared" ref="K8:U8" si="0">J8</f>
        <v>0.15304837828129941</v>
      </c>
      <c r="L8" s="111">
        <f t="shared" si="0"/>
        <v>0.15304837828129941</v>
      </c>
      <c r="M8" s="111">
        <f t="shared" si="0"/>
        <v>0.15304837828129941</v>
      </c>
      <c r="N8" s="111">
        <f t="shared" si="0"/>
        <v>0.15304837828129941</v>
      </c>
      <c r="O8" s="111">
        <f t="shared" si="0"/>
        <v>0.15304837828129941</v>
      </c>
      <c r="P8" s="111">
        <f t="shared" si="0"/>
        <v>0.15304837828129941</v>
      </c>
      <c r="Q8" s="111">
        <f t="shared" si="0"/>
        <v>0.15304837828129941</v>
      </c>
      <c r="R8" s="111">
        <f t="shared" si="0"/>
        <v>0.15304837828129941</v>
      </c>
      <c r="S8" s="111">
        <f t="shared" si="0"/>
        <v>0.15304837828129941</v>
      </c>
      <c r="T8" s="111">
        <f t="shared" si="0"/>
        <v>0.15304837828129941</v>
      </c>
      <c r="U8" s="111">
        <f t="shared" si="0"/>
        <v>0.15304837828129941</v>
      </c>
      <c r="V8" s="85"/>
      <c r="W8" s="85"/>
      <c r="X8" s="85"/>
      <c r="Y8" s="85"/>
      <c r="Z8" s="85"/>
      <c r="AA8" s="85"/>
      <c r="AB8" s="85"/>
    </row>
    <row r="9" spans="1:28" ht="13.8">
      <c r="A9" s="143" t="s">
        <v>100</v>
      </c>
      <c r="B9" s="85"/>
      <c r="C9" s="106">
        <f>'Cash Flows'!C12</f>
        <v>0</v>
      </c>
      <c r="D9" s="106">
        <f>'Cash Flows'!D12</f>
        <v>0</v>
      </c>
      <c r="E9" s="106">
        <f>'Cash Flows'!E12</f>
        <v>0</v>
      </c>
      <c r="F9" s="114">
        <f>'Cash Flows'!F12</f>
        <v>22328</v>
      </c>
      <c r="G9" s="114">
        <f>'Cash Flows'!G12</f>
        <v>28743</v>
      </c>
      <c r="H9" s="114">
        <f>'Cash Flows'!H12</f>
        <v>31024</v>
      </c>
      <c r="I9" s="114">
        <f>'Cash Flows'!I12</f>
        <v>55507</v>
      </c>
      <c r="J9" s="131">
        <v>0</v>
      </c>
      <c r="K9" s="131">
        <v>0</v>
      </c>
      <c r="L9" s="131">
        <v>0</v>
      </c>
      <c r="M9" s="131">
        <v>0</v>
      </c>
      <c r="N9" s="131">
        <v>0</v>
      </c>
      <c r="O9" s="131">
        <v>0</v>
      </c>
      <c r="P9" s="131">
        <v>0</v>
      </c>
      <c r="Q9" s="131">
        <v>0</v>
      </c>
      <c r="R9" s="131">
        <v>0</v>
      </c>
      <c r="S9" s="131">
        <v>0</v>
      </c>
      <c r="T9" s="131">
        <v>0</v>
      </c>
      <c r="U9" s="131">
        <v>0</v>
      </c>
      <c r="V9" s="85"/>
      <c r="W9" s="85"/>
      <c r="X9" s="85"/>
      <c r="Y9" s="85"/>
      <c r="Z9" s="85"/>
      <c r="AA9" s="85"/>
      <c r="AB9" s="85"/>
    </row>
    <row r="10" spans="1:28" ht="13.8">
      <c r="A10" s="143" t="s">
        <v>101</v>
      </c>
      <c r="B10" s="85"/>
      <c r="C10" s="106">
        <f>'Cash Flows'!C13</f>
        <v>0</v>
      </c>
      <c r="D10" s="106">
        <f>'Cash Flows'!D13</f>
        <v>0</v>
      </c>
      <c r="E10" s="106">
        <f>'Cash Flows'!E13</f>
        <v>0</v>
      </c>
      <c r="F10" s="144">
        <v>0</v>
      </c>
      <c r="G10" s="145">
        <f>'Cash Flows'!G13/('Balance Sheet'!F16+(0.5*-'Cash Flows'!G25))</f>
        <v>1.7144826002067302</v>
      </c>
      <c r="H10" s="145">
        <f>'Cash Flows'!H13/('Balance Sheet'!G16+(0.5*-'Cash Flows'!H25))</f>
        <v>0.91343534651667346</v>
      </c>
      <c r="I10" s="145">
        <f>'Cash Flows'!I13/('Balance Sheet'!H16+(0.5*-'Cash Flows'!I25))</f>
        <v>0.58664867665796372</v>
      </c>
      <c r="J10" s="146">
        <f t="shared" ref="J10:U10" si="1">I10</f>
        <v>0.58664867665796372</v>
      </c>
      <c r="K10" s="146">
        <f t="shared" si="1"/>
        <v>0.58664867665796372</v>
      </c>
      <c r="L10" s="146">
        <f t="shared" si="1"/>
        <v>0.58664867665796372</v>
      </c>
      <c r="M10" s="146">
        <f t="shared" si="1"/>
        <v>0.58664867665796372</v>
      </c>
      <c r="N10" s="146">
        <f t="shared" si="1"/>
        <v>0.58664867665796372</v>
      </c>
      <c r="O10" s="146">
        <f t="shared" si="1"/>
        <v>0.58664867665796372</v>
      </c>
      <c r="P10" s="146">
        <f t="shared" si="1"/>
        <v>0.58664867665796372</v>
      </c>
      <c r="Q10" s="146">
        <f t="shared" si="1"/>
        <v>0.58664867665796372</v>
      </c>
      <c r="R10" s="146">
        <f t="shared" si="1"/>
        <v>0.58664867665796372</v>
      </c>
      <c r="S10" s="146">
        <f t="shared" si="1"/>
        <v>0.58664867665796372</v>
      </c>
      <c r="T10" s="146">
        <f t="shared" si="1"/>
        <v>0.58664867665796372</v>
      </c>
      <c r="U10" s="146">
        <f t="shared" si="1"/>
        <v>0.58664867665796372</v>
      </c>
      <c r="V10" s="85"/>
      <c r="W10" s="85"/>
      <c r="X10" s="85"/>
      <c r="Y10" s="85"/>
      <c r="Z10" s="85"/>
      <c r="AA10" s="85"/>
      <c r="AB10" s="85"/>
    </row>
    <row r="11" spans="1:28" ht="13.8">
      <c r="A11" s="143" t="s">
        <v>102</v>
      </c>
      <c r="B11" s="85"/>
      <c r="C11" s="147">
        <v>0</v>
      </c>
      <c r="D11" s="147">
        <v>200</v>
      </c>
      <c r="E11" s="147">
        <v>600</v>
      </c>
      <c r="F11" s="147">
        <v>2800</v>
      </c>
      <c r="G11" s="147">
        <v>14500</v>
      </c>
      <c r="H11" s="147">
        <v>17300</v>
      </c>
      <c r="I11" s="148">
        <v>17700</v>
      </c>
      <c r="J11" s="149">
        <v>17066</v>
      </c>
      <c r="K11" s="149">
        <v>14275</v>
      </c>
      <c r="L11" s="149">
        <v>12571</v>
      </c>
      <c r="M11" s="149">
        <v>4074</v>
      </c>
      <c r="N11" s="149">
        <v>2737</v>
      </c>
      <c r="O11" s="149">
        <v>8158</v>
      </c>
      <c r="P11" s="150">
        <v>0</v>
      </c>
      <c r="Q11" s="150">
        <v>0</v>
      </c>
      <c r="R11" s="150">
        <v>0</v>
      </c>
      <c r="S11" s="150">
        <v>0</v>
      </c>
      <c r="T11" s="150">
        <v>0</v>
      </c>
      <c r="U11" s="150">
        <v>0</v>
      </c>
      <c r="V11" s="85"/>
      <c r="W11" s="85"/>
      <c r="X11" s="85"/>
      <c r="Y11" s="85"/>
      <c r="Z11" s="85"/>
      <c r="AA11" s="85"/>
      <c r="AB11" s="85"/>
    </row>
    <row r="12" spans="1:28" ht="13.8">
      <c r="A12" s="143" t="s">
        <v>103</v>
      </c>
      <c r="B12" s="85"/>
      <c r="C12" s="106">
        <f>'Cash Flows'!C14</f>
        <v>0</v>
      </c>
      <c r="D12" s="106">
        <f>'Cash Flows'!D14</f>
        <v>0</v>
      </c>
      <c r="E12" s="106">
        <f>'Cash Flows'!E14</f>
        <v>0</v>
      </c>
      <c r="F12" s="114">
        <f>'Cash Flows'!F14</f>
        <v>0</v>
      </c>
      <c r="G12" s="114">
        <f>'Cash Flows'!G14</f>
        <v>0</v>
      </c>
      <c r="H12" s="114">
        <f>'Cash Flows'!H14</f>
        <v>0</v>
      </c>
      <c r="I12" s="114">
        <f>'Cash Flows'!I14</f>
        <v>-8230</v>
      </c>
      <c r="J12" s="151">
        <v>0</v>
      </c>
      <c r="K12" s="151">
        <v>0</v>
      </c>
      <c r="L12" s="151">
        <v>0</v>
      </c>
      <c r="M12" s="151">
        <v>0</v>
      </c>
      <c r="N12" s="151">
        <v>0</v>
      </c>
      <c r="O12" s="151">
        <v>0</v>
      </c>
      <c r="P12" s="151">
        <v>0</v>
      </c>
      <c r="Q12" s="151">
        <v>0</v>
      </c>
      <c r="R12" s="151">
        <v>0</v>
      </c>
      <c r="S12" s="151">
        <v>0</v>
      </c>
      <c r="T12" s="151">
        <v>0</v>
      </c>
      <c r="U12" s="151">
        <v>0</v>
      </c>
      <c r="V12" s="85"/>
      <c r="W12" s="85"/>
      <c r="X12" s="85"/>
      <c r="Y12" s="85"/>
      <c r="Z12" s="85"/>
      <c r="AA12" s="85"/>
      <c r="AB12" s="85"/>
    </row>
    <row r="13" spans="1:28" ht="13.8">
      <c r="A13" s="143" t="s">
        <v>104</v>
      </c>
      <c r="B13" s="85"/>
      <c r="C13" s="106">
        <f>'Cash Flows'!C15</f>
        <v>0</v>
      </c>
      <c r="D13" s="106">
        <f>'Cash Flows'!D15</f>
        <v>0</v>
      </c>
      <c r="E13" s="106">
        <f>'Cash Flows'!E15</f>
        <v>0</v>
      </c>
      <c r="F13" s="114">
        <f>'Cash Flows'!F15</f>
        <v>0</v>
      </c>
      <c r="G13" s="114">
        <f>'Cash Flows'!G15</f>
        <v>0</v>
      </c>
      <c r="H13" s="114">
        <f>'Cash Flows'!H15</f>
        <v>0</v>
      </c>
      <c r="I13" s="114">
        <f>'Cash Flows'!I15</f>
        <v>532</v>
      </c>
      <c r="J13" s="151">
        <v>0</v>
      </c>
      <c r="K13" s="151">
        <v>0</v>
      </c>
      <c r="L13" s="151">
        <v>0</v>
      </c>
      <c r="M13" s="151">
        <v>0</v>
      </c>
      <c r="N13" s="151">
        <v>0</v>
      </c>
      <c r="O13" s="151">
        <v>0</v>
      </c>
      <c r="P13" s="151">
        <v>0</v>
      </c>
      <c r="Q13" s="151">
        <v>0</v>
      </c>
      <c r="R13" s="151">
        <v>0</v>
      </c>
      <c r="S13" s="151">
        <v>0</v>
      </c>
      <c r="T13" s="151">
        <v>0</v>
      </c>
      <c r="U13" s="151">
        <v>0</v>
      </c>
      <c r="V13" s="85"/>
      <c r="W13" s="85"/>
      <c r="X13" s="85"/>
      <c r="Y13" s="85"/>
      <c r="Z13" s="85"/>
      <c r="AA13" s="85"/>
      <c r="AB13" s="85"/>
    </row>
    <row r="14" spans="1:28" ht="13.8">
      <c r="A14" s="143" t="s">
        <v>105</v>
      </c>
      <c r="B14" s="85"/>
      <c r="C14" s="106">
        <f>'Cash Flows'!C16</f>
        <v>0</v>
      </c>
      <c r="D14" s="106">
        <f>'Cash Flows'!D16</f>
        <v>0</v>
      </c>
      <c r="E14" s="106">
        <f>'Cash Flows'!E16</f>
        <v>0</v>
      </c>
      <c r="F14" s="114">
        <f>'Cash Flows'!F16</f>
        <v>0</v>
      </c>
      <c r="G14" s="114">
        <f>'Cash Flows'!G16</f>
        <v>0</v>
      </c>
      <c r="H14" s="114">
        <f>'Cash Flows'!H16</f>
        <v>0</v>
      </c>
      <c r="I14" s="114">
        <f>'Cash Flows'!I16</f>
        <v>7500</v>
      </c>
      <c r="J14" s="151">
        <v>0</v>
      </c>
      <c r="K14" s="151">
        <v>0</v>
      </c>
      <c r="L14" s="151">
        <v>0</v>
      </c>
      <c r="M14" s="151">
        <v>0</v>
      </c>
      <c r="N14" s="151">
        <v>0</v>
      </c>
      <c r="O14" s="151">
        <v>0</v>
      </c>
      <c r="P14" s="151">
        <v>0</v>
      </c>
      <c r="Q14" s="151">
        <v>0</v>
      </c>
      <c r="R14" s="151">
        <v>0</v>
      </c>
      <c r="S14" s="151">
        <v>0</v>
      </c>
      <c r="T14" s="151">
        <v>0</v>
      </c>
      <c r="U14" s="151">
        <v>0</v>
      </c>
      <c r="V14" s="85"/>
      <c r="W14" s="85"/>
      <c r="X14" s="85"/>
      <c r="Y14" s="85"/>
      <c r="Z14" s="85"/>
      <c r="AA14" s="85"/>
      <c r="AB14" s="85"/>
    </row>
    <row r="15" spans="1:28" ht="13.8">
      <c r="A15" s="143" t="s">
        <v>106</v>
      </c>
      <c r="B15" s="85"/>
      <c r="C15" s="114">
        <f>'Cash Flows'!C17</f>
        <v>336</v>
      </c>
      <c r="D15" s="114">
        <f>'Cash Flows'!D17</f>
        <v>104</v>
      </c>
      <c r="E15" s="114">
        <f>'Cash Flows'!E17</f>
        <v>876</v>
      </c>
      <c r="F15" s="114">
        <f>'Cash Flows'!F17</f>
        <v>704</v>
      </c>
      <c r="G15" s="114">
        <f>'Cash Flows'!G17</f>
        <v>3801</v>
      </c>
      <c r="H15" s="114">
        <f>'Cash Flows'!H17</f>
        <v>-904</v>
      </c>
      <c r="I15" s="114">
        <f>'Cash Flows'!I17</f>
        <v>2081</v>
      </c>
      <c r="J15" s="131">
        <v>0</v>
      </c>
      <c r="K15" s="131">
        <v>0</v>
      </c>
      <c r="L15" s="131">
        <v>0</v>
      </c>
      <c r="M15" s="131">
        <v>0</v>
      </c>
      <c r="N15" s="131">
        <v>0</v>
      </c>
      <c r="O15" s="131">
        <v>0</v>
      </c>
      <c r="P15" s="131">
        <v>0</v>
      </c>
      <c r="Q15" s="131">
        <v>0</v>
      </c>
      <c r="R15" s="131">
        <v>0</v>
      </c>
      <c r="S15" s="131">
        <v>0</v>
      </c>
      <c r="T15" s="131">
        <v>0</v>
      </c>
      <c r="U15" s="131">
        <v>0</v>
      </c>
      <c r="V15" s="85"/>
      <c r="W15" s="85"/>
      <c r="X15" s="85"/>
      <c r="Y15" s="85"/>
      <c r="Z15" s="85"/>
      <c r="AA15" s="85"/>
      <c r="AB15" s="85"/>
    </row>
    <row r="16" spans="1:28" ht="13.8">
      <c r="A16" s="143" t="s">
        <v>107</v>
      </c>
      <c r="B16" s="143"/>
      <c r="C16" s="147">
        <v>-888</v>
      </c>
      <c r="D16" s="147">
        <v>40333</v>
      </c>
      <c r="E16" s="147">
        <v>0</v>
      </c>
      <c r="F16" s="147">
        <v>0</v>
      </c>
      <c r="G16" s="147">
        <v>0</v>
      </c>
      <c r="H16" s="147">
        <v>0</v>
      </c>
      <c r="I16" s="148">
        <v>0</v>
      </c>
      <c r="J16" s="152">
        <v>0</v>
      </c>
      <c r="K16" s="152">
        <v>0</v>
      </c>
      <c r="L16" s="152">
        <v>0</v>
      </c>
      <c r="M16" s="152">
        <v>0</v>
      </c>
      <c r="N16" s="152">
        <v>0</v>
      </c>
      <c r="O16" s="152">
        <v>0</v>
      </c>
      <c r="P16" s="152">
        <v>0</v>
      </c>
      <c r="Q16" s="152">
        <v>0</v>
      </c>
      <c r="R16" s="152">
        <v>0</v>
      </c>
      <c r="S16" s="152">
        <v>0</v>
      </c>
      <c r="T16" s="152">
        <v>0</v>
      </c>
      <c r="U16" s="152">
        <v>0</v>
      </c>
      <c r="V16" s="143"/>
      <c r="W16" s="143"/>
      <c r="X16" s="143"/>
      <c r="Y16" s="143"/>
      <c r="Z16" s="143"/>
      <c r="AA16" s="143"/>
      <c r="AB16" s="143"/>
    </row>
    <row r="17" spans="1:28" ht="13.8">
      <c r="A17" s="143" t="s">
        <v>108</v>
      </c>
      <c r="B17" s="85"/>
      <c r="C17" s="114">
        <f>'Cash Flows'!C19</f>
        <v>4862</v>
      </c>
      <c r="D17" s="114">
        <f>'Cash Flows'!D19</f>
        <v>3701</v>
      </c>
      <c r="E17" s="114">
        <f>'Cash Flows'!E19</f>
        <v>1465</v>
      </c>
      <c r="F17" s="114">
        <f>'Cash Flows'!F19</f>
        <v>1101</v>
      </c>
      <c r="G17" s="114">
        <f>'Cash Flows'!G19</f>
        <v>524</v>
      </c>
      <c r="H17" s="114">
        <f>'Cash Flows'!H19</f>
        <v>-101</v>
      </c>
      <c r="I17" s="114">
        <f>'Cash Flows'!I19</f>
        <v>-190</v>
      </c>
      <c r="J17" s="151">
        <v>0</v>
      </c>
      <c r="K17" s="151">
        <v>0</v>
      </c>
      <c r="L17" s="151">
        <v>0</v>
      </c>
      <c r="M17" s="151">
        <v>0</v>
      </c>
      <c r="N17" s="151">
        <v>0</v>
      </c>
      <c r="O17" s="151">
        <v>0</v>
      </c>
      <c r="P17" s="151">
        <v>0</v>
      </c>
      <c r="Q17" s="151">
        <v>0</v>
      </c>
      <c r="R17" s="151">
        <v>0</v>
      </c>
      <c r="S17" s="151">
        <v>0</v>
      </c>
      <c r="T17" s="151">
        <v>0</v>
      </c>
      <c r="U17" s="151">
        <v>0</v>
      </c>
      <c r="V17" s="85"/>
      <c r="W17" s="85"/>
      <c r="X17" s="85"/>
      <c r="Y17" s="85"/>
      <c r="Z17" s="85"/>
      <c r="AA17" s="85"/>
      <c r="AB17" s="85"/>
    </row>
    <row r="18" spans="1:28" ht="13.8">
      <c r="A18" s="85"/>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row>
    <row r="19" spans="1:28" ht="13.8">
      <c r="A19" s="139" t="s">
        <v>109</v>
      </c>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row>
    <row r="20" spans="1:28" ht="13.8">
      <c r="A20" s="143" t="s">
        <v>110</v>
      </c>
      <c r="B20" s="85"/>
      <c r="C20" s="147">
        <v>0</v>
      </c>
      <c r="D20" s="147">
        <v>-2959</v>
      </c>
      <c r="E20" s="147">
        <v>0</v>
      </c>
      <c r="F20" s="147">
        <v>-68132</v>
      </c>
      <c r="G20" s="147">
        <v>0</v>
      </c>
      <c r="H20" s="147">
        <v>-136778</v>
      </c>
      <c r="I20" s="148">
        <v>0</v>
      </c>
      <c r="J20" s="131">
        <v>0</v>
      </c>
      <c r="K20" s="131">
        <v>0</v>
      </c>
      <c r="L20" s="131">
        <v>0</v>
      </c>
      <c r="M20" s="131">
        <v>0</v>
      </c>
      <c r="N20" s="131">
        <v>0</v>
      </c>
      <c r="O20" s="131">
        <v>0</v>
      </c>
      <c r="P20" s="131">
        <v>0</v>
      </c>
      <c r="Q20" s="131">
        <v>0</v>
      </c>
      <c r="R20" s="131">
        <v>0</v>
      </c>
      <c r="S20" s="131">
        <v>0</v>
      </c>
      <c r="T20" s="131">
        <v>0</v>
      </c>
      <c r="U20" s="131">
        <v>0</v>
      </c>
      <c r="V20" s="85"/>
      <c r="W20" s="85"/>
      <c r="X20" s="85"/>
      <c r="Y20" s="85"/>
      <c r="Z20" s="85"/>
      <c r="AA20" s="85"/>
      <c r="AB20" s="85"/>
    </row>
    <row r="21" spans="1:28" ht="13.8">
      <c r="A21" s="143" t="s">
        <v>111</v>
      </c>
      <c r="B21" s="85"/>
      <c r="C21" s="147">
        <v>0</v>
      </c>
      <c r="D21" s="147">
        <v>0</v>
      </c>
      <c r="E21" s="147">
        <v>0</v>
      </c>
      <c r="F21" s="147">
        <v>0</v>
      </c>
      <c r="G21" s="147">
        <v>0</v>
      </c>
      <c r="H21" s="147">
        <v>0</v>
      </c>
      <c r="I21" s="143">
        <v>-40000</v>
      </c>
      <c r="J21" s="153">
        <v>0</v>
      </c>
      <c r="K21" s="153">
        <v>0</v>
      </c>
      <c r="L21" s="153">
        <v>0</v>
      </c>
      <c r="M21" s="153">
        <v>0</v>
      </c>
      <c r="N21" s="153">
        <v>0</v>
      </c>
      <c r="O21" s="153">
        <v>0</v>
      </c>
      <c r="P21" s="153">
        <v>0</v>
      </c>
      <c r="Q21" s="153">
        <v>0</v>
      </c>
      <c r="R21" s="153">
        <v>0</v>
      </c>
      <c r="S21" s="153">
        <v>0</v>
      </c>
      <c r="T21" s="153">
        <v>0</v>
      </c>
      <c r="U21" s="153">
        <v>0</v>
      </c>
      <c r="V21" s="85"/>
      <c r="W21" s="85"/>
      <c r="X21" s="85"/>
      <c r="Y21" s="85"/>
      <c r="Z21" s="85"/>
      <c r="AA21" s="85"/>
      <c r="AB21" s="85"/>
    </row>
    <row r="22" spans="1:28" ht="13.8">
      <c r="A22" s="143" t="s">
        <v>112</v>
      </c>
      <c r="B22" s="85"/>
      <c r="C22" s="147">
        <v>0</v>
      </c>
      <c r="D22" s="147">
        <v>0</v>
      </c>
      <c r="E22" s="147">
        <v>0</v>
      </c>
      <c r="F22" s="147">
        <v>0</v>
      </c>
      <c r="G22" s="147">
        <v>1058</v>
      </c>
      <c r="H22" s="147">
        <v>0</v>
      </c>
      <c r="I22" s="143">
        <v>0</v>
      </c>
      <c r="J22" s="153">
        <v>0</v>
      </c>
      <c r="K22" s="153">
        <v>0</v>
      </c>
      <c r="L22" s="153">
        <v>0</v>
      </c>
      <c r="M22" s="153">
        <v>0</v>
      </c>
      <c r="N22" s="153">
        <v>0</v>
      </c>
      <c r="O22" s="153">
        <v>0</v>
      </c>
      <c r="P22" s="153">
        <v>0</v>
      </c>
      <c r="Q22" s="153">
        <v>0</v>
      </c>
      <c r="R22" s="153">
        <v>0</v>
      </c>
      <c r="S22" s="153">
        <v>0</v>
      </c>
      <c r="T22" s="153">
        <v>0</v>
      </c>
      <c r="U22" s="153">
        <v>0</v>
      </c>
      <c r="V22" s="85"/>
      <c r="W22" s="85"/>
      <c r="X22" s="85"/>
      <c r="Y22" s="85"/>
      <c r="Z22" s="85"/>
      <c r="AA22" s="85"/>
      <c r="AB22" s="85"/>
    </row>
    <row r="23" spans="1:28" ht="13.8">
      <c r="A23" s="143" t="s">
        <v>113</v>
      </c>
      <c r="B23" s="85"/>
      <c r="C23" s="147">
        <v>0</v>
      </c>
      <c r="D23" s="147">
        <v>0</v>
      </c>
      <c r="E23" s="147">
        <v>0</v>
      </c>
      <c r="F23" s="147">
        <v>-7428</v>
      </c>
      <c r="G23" s="147">
        <v>0</v>
      </c>
      <c r="H23" s="147">
        <v>0</v>
      </c>
      <c r="I23" s="143">
        <v>0</v>
      </c>
      <c r="J23" s="153">
        <v>0</v>
      </c>
      <c r="K23" s="153">
        <v>0</v>
      </c>
      <c r="L23" s="153">
        <v>0</v>
      </c>
      <c r="M23" s="153">
        <v>0</v>
      </c>
      <c r="N23" s="153">
        <v>0</v>
      </c>
      <c r="O23" s="153">
        <v>0</v>
      </c>
      <c r="P23" s="153">
        <v>0</v>
      </c>
      <c r="Q23" s="153">
        <v>0</v>
      </c>
      <c r="R23" s="153">
        <v>0</v>
      </c>
      <c r="S23" s="153">
        <v>0</v>
      </c>
      <c r="T23" s="153">
        <v>0</v>
      </c>
      <c r="U23" s="153">
        <v>0</v>
      </c>
      <c r="V23" s="85"/>
      <c r="W23" s="85"/>
      <c r="X23" s="85"/>
      <c r="Y23" s="85"/>
      <c r="Z23" s="85"/>
      <c r="AA23" s="85"/>
      <c r="AB23" s="85"/>
    </row>
    <row r="24" spans="1:28" ht="13.8">
      <c r="A24" s="143" t="s">
        <v>114</v>
      </c>
      <c r="B24" s="85"/>
      <c r="C24" s="147">
        <v>-53806</v>
      </c>
      <c r="D24" s="147">
        <v>-53806</v>
      </c>
      <c r="E24" s="147">
        <v>-53806</v>
      </c>
      <c r="F24" s="147">
        <v>-12365</v>
      </c>
      <c r="G24" s="147">
        <v>0</v>
      </c>
      <c r="H24" s="147">
        <v>0</v>
      </c>
      <c r="I24" s="143">
        <v>0</v>
      </c>
      <c r="J24" s="153">
        <v>0</v>
      </c>
      <c r="K24" s="153">
        <v>0</v>
      </c>
      <c r="L24" s="153">
        <v>0</v>
      </c>
      <c r="M24" s="153">
        <v>0</v>
      </c>
      <c r="N24" s="153">
        <v>0</v>
      </c>
      <c r="O24" s="153">
        <v>0</v>
      </c>
      <c r="P24" s="153">
        <v>0</v>
      </c>
      <c r="Q24" s="153">
        <v>0</v>
      </c>
      <c r="R24" s="153">
        <v>0</v>
      </c>
      <c r="S24" s="153">
        <v>0</v>
      </c>
      <c r="T24" s="153">
        <v>0</v>
      </c>
      <c r="U24" s="153">
        <v>0</v>
      </c>
      <c r="V24" s="85"/>
      <c r="W24" s="85"/>
      <c r="X24" s="85"/>
      <c r="Y24" s="85"/>
      <c r="Z24" s="85"/>
      <c r="AA24" s="85"/>
      <c r="AB24" s="85"/>
    </row>
    <row r="25" spans="1:28" ht="13.8">
      <c r="A25" s="143" t="s">
        <v>115</v>
      </c>
      <c r="B25" s="85"/>
      <c r="C25" s="147">
        <v>12000</v>
      </c>
      <c r="D25" s="147">
        <v>12000</v>
      </c>
      <c r="E25" s="147">
        <v>12000</v>
      </c>
      <c r="F25" s="147">
        <v>54810</v>
      </c>
      <c r="G25" s="147">
        <v>0</v>
      </c>
      <c r="H25" s="147">
        <v>0</v>
      </c>
      <c r="I25" s="143">
        <v>0</v>
      </c>
      <c r="J25" s="153">
        <v>0</v>
      </c>
      <c r="K25" s="153">
        <v>0</v>
      </c>
      <c r="L25" s="153">
        <v>0</v>
      </c>
      <c r="M25" s="153">
        <v>0</v>
      </c>
      <c r="N25" s="153">
        <v>0</v>
      </c>
      <c r="O25" s="153">
        <v>0</v>
      </c>
      <c r="P25" s="153">
        <v>0</v>
      </c>
      <c r="Q25" s="153">
        <v>0</v>
      </c>
      <c r="R25" s="153">
        <v>0</v>
      </c>
      <c r="S25" s="153">
        <v>0</v>
      </c>
      <c r="T25" s="153">
        <v>0</v>
      </c>
      <c r="U25" s="153">
        <v>0</v>
      </c>
      <c r="V25" s="85"/>
      <c r="W25" s="85"/>
      <c r="X25" s="85"/>
      <c r="Y25" s="85"/>
      <c r="Z25" s="85"/>
      <c r="AA25" s="85"/>
      <c r="AB25" s="85"/>
    </row>
    <row r="26" spans="1:28" ht="13.8">
      <c r="A26" s="89" t="s">
        <v>116</v>
      </c>
      <c r="B26" s="85"/>
      <c r="C26" s="154">
        <v>29</v>
      </c>
      <c r="D26" s="154">
        <v>-80</v>
      </c>
      <c r="E26" s="154">
        <v>0</v>
      </c>
      <c r="F26" s="154">
        <v>0</v>
      </c>
      <c r="G26" s="154">
        <v>0</v>
      </c>
      <c r="H26" s="154">
        <v>0</v>
      </c>
      <c r="I26" s="154">
        <v>0</v>
      </c>
      <c r="J26" s="155">
        <v>0</v>
      </c>
      <c r="K26" s="155">
        <v>0</v>
      </c>
      <c r="L26" s="155">
        <v>0</v>
      </c>
      <c r="M26" s="155">
        <v>0</v>
      </c>
      <c r="N26" s="155">
        <v>0</v>
      </c>
      <c r="O26" s="155">
        <v>0</v>
      </c>
      <c r="P26" s="155">
        <v>0</v>
      </c>
      <c r="Q26" s="155">
        <v>0</v>
      </c>
      <c r="R26" s="155">
        <v>0</v>
      </c>
      <c r="S26" s="155">
        <v>0</v>
      </c>
      <c r="T26" s="155">
        <v>0</v>
      </c>
      <c r="U26" s="155">
        <v>0</v>
      </c>
      <c r="V26" s="85"/>
      <c r="W26" s="85"/>
      <c r="X26" s="85"/>
      <c r="Y26" s="85"/>
      <c r="Z26" s="85"/>
      <c r="AA26" s="85"/>
      <c r="AB26" s="85"/>
    </row>
    <row r="27" spans="1:28" ht="13.8">
      <c r="A27" s="85"/>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row>
    <row r="28" spans="1:28" ht="13.8">
      <c r="A28" s="139" t="s">
        <v>117</v>
      </c>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row>
    <row r="29" spans="1:28" ht="13.8">
      <c r="A29" s="143" t="s">
        <v>118</v>
      </c>
      <c r="B29" s="85"/>
      <c r="C29" s="147">
        <v>-594</v>
      </c>
      <c r="D29" s="147">
        <v>0</v>
      </c>
      <c r="E29" s="147">
        <v>0</v>
      </c>
      <c r="F29" s="147">
        <v>0</v>
      </c>
      <c r="G29" s="147">
        <v>0</v>
      </c>
      <c r="H29" s="147">
        <v>0</v>
      </c>
      <c r="I29" s="148">
        <v>0</v>
      </c>
      <c r="J29" s="153">
        <v>0</v>
      </c>
      <c r="K29" s="153">
        <v>0</v>
      </c>
      <c r="L29" s="153">
        <v>0</v>
      </c>
      <c r="M29" s="153">
        <v>0</v>
      </c>
      <c r="N29" s="153">
        <v>0</v>
      </c>
      <c r="O29" s="153">
        <v>0</v>
      </c>
      <c r="P29" s="153">
        <v>0</v>
      </c>
      <c r="Q29" s="153">
        <v>0</v>
      </c>
      <c r="R29" s="153">
        <v>0</v>
      </c>
      <c r="S29" s="153">
        <v>0</v>
      </c>
      <c r="T29" s="153">
        <v>0</v>
      </c>
      <c r="U29" s="153">
        <v>0</v>
      </c>
      <c r="V29" s="85"/>
      <c r="W29" s="85"/>
      <c r="X29" s="85"/>
      <c r="Y29" s="85"/>
      <c r="Z29" s="85"/>
      <c r="AA29" s="85"/>
      <c r="AB29" s="85"/>
    </row>
    <row r="30" spans="1:28" ht="13.8">
      <c r="A30" s="143" t="s">
        <v>119</v>
      </c>
      <c r="B30" s="85"/>
      <c r="C30" s="147">
        <v>0</v>
      </c>
      <c r="D30" s="147">
        <v>0</v>
      </c>
      <c r="E30" s="147">
        <v>0</v>
      </c>
      <c r="F30" s="147">
        <v>99608</v>
      </c>
      <c r="G30" s="147">
        <v>69325</v>
      </c>
      <c r="H30" s="147">
        <v>0</v>
      </c>
      <c r="I30" s="143">
        <v>0</v>
      </c>
      <c r="J30" s="153">
        <v>0</v>
      </c>
      <c r="K30" s="153">
        <v>0</v>
      </c>
      <c r="L30" s="153">
        <v>0</v>
      </c>
      <c r="M30" s="153">
        <v>0</v>
      </c>
      <c r="N30" s="153">
        <v>0</v>
      </c>
      <c r="O30" s="153">
        <v>0</v>
      </c>
      <c r="P30" s="153">
        <v>0</v>
      </c>
      <c r="Q30" s="153">
        <v>0</v>
      </c>
      <c r="R30" s="153">
        <v>0</v>
      </c>
      <c r="S30" s="153">
        <v>0</v>
      </c>
      <c r="T30" s="153">
        <v>0</v>
      </c>
      <c r="U30" s="153">
        <v>0</v>
      </c>
      <c r="V30" s="85"/>
      <c r="W30" s="85"/>
      <c r="X30" s="85"/>
      <c r="Y30" s="85"/>
      <c r="Z30" s="85"/>
      <c r="AA30" s="85"/>
      <c r="AB30" s="85"/>
    </row>
    <row r="31" spans="1:28" ht="13.8">
      <c r="A31" s="143" t="s">
        <v>120</v>
      </c>
      <c r="B31" s="85"/>
      <c r="C31" s="147">
        <v>0</v>
      </c>
      <c r="D31" s="147">
        <v>0</v>
      </c>
      <c r="E31" s="147">
        <v>0</v>
      </c>
      <c r="F31" s="147">
        <v>0</v>
      </c>
      <c r="G31" s="147">
        <v>-74325</v>
      </c>
      <c r="H31" s="147">
        <v>-5000</v>
      </c>
      <c r="I31" s="143">
        <v>-10000</v>
      </c>
      <c r="J31" s="153">
        <v>0</v>
      </c>
      <c r="K31" s="153">
        <v>0</v>
      </c>
      <c r="L31" s="153">
        <v>0</v>
      </c>
      <c r="M31" s="153">
        <v>0</v>
      </c>
      <c r="N31" s="153">
        <v>0</v>
      </c>
      <c r="O31" s="153">
        <v>0</v>
      </c>
      <c r="P31" s="153">
        <v>0</v>
      </c>
      <c r="Q31" s="153">
        <v>0</v>
      </c>
      <c r="R31" s="153">
        <v>0</v>
      </c>
      <c r="S31" s="153">
        <v>0</v>
      </c>
      <c r="T31" s="153">
        <v>0</v>
      </c>
      <c r="U31" s="153">
        <v>0</v>
      </c>
      <c r="V31" s="85"/>
      <c r="W31" s="85"/>
      <c r="X31" s="85"/>
      <c r="Y31" s="85"/>
      <c r="Z31" s="85"/>
      <c r="AA31" s="85"/>
      <c r="AB31" s="85"/>
    </row>
    <row r="32" spans="1:28" ht="13.8">
      <c r="A32" s="143" t="s">
        <v>121</v>
      </c>
      <c r="B32" s="85"/>
      <c r="C32" s="147">
        <v>-500</v>
      </c>
      <c r="D32" s="147">
        <v>-500</v>
      </c>
      <c r="E32" s="147">
        <v>-500</v>
      </c>
      <c r="F32" s="147">
        <v>0</v>
      </c>
      <c r="G32" s="147">
        <v>0</v>
      </c>
      <c r="H32" s="147">
        <v>0</v>
      </c>
      <c r="I32" s="143">
        <v>0</v>
      </c>
      <c r="J32" s="153">
        <v>0</v>
      </c>
      <c r="K32" s="153">
        <v>0</v>
      </c>
      <c r="L32" s="153">
        <v>0</v>
      </c>
      <c r="M32" s="153">
        <v>0</v>
      </c>
      <c r="N32" s="153">
        <v>0</v>
      </c>
      <c r="O32" s="153">
        <v>0</v>
      </c>
      <c r="P32" s="153">
        <v>0</v>
      </c>
      <c r="Q32" s="153">
        <v>0</v>
      </c>
      <c r="R32" s="153">
        <v>0</v>
      </c>
      <c r="S32" s="153">
        <v>0</v>
      </c>
      <c r="T32" s="153">
        <v>0</v>
      </c>
      <c r="U32" s="153">
        <v>0</v>
      </c>
      <c r="V32" s="85"/>
      <c r="W32" s="85"/>
      <c r="X32" s="85"/>
      <c r="Y32" s="85"/>
      <c r="Z32" s="85"/>
      <c r="AA32" s="85"/>
      <c r="AB32" s="85"/>
    </row>
    <row r="33" spans="1:28" ht="13.8">
      <c r="A33" s="143" t="s">
        <v>122</v>
      </c>
      <c r="B33" s="85"/>
      <c r="C33" s="147">
        <v>25025</v>
      </c>
      <c r="D33" s="147">
        <v>25025</v>
      </c>
      <c r="E33" s="147">
        <v>25025</v>
      </c>
      <c r="F33" s="147">
        <v>28181</v>
      </c>
      <c r="G33" s="147">
        <v>16806</v>
      </c>
      <c r="H33" s="147">
        <v>18532</v>
      </c>
      <c r="I33" s="143">
        <v>18357</v>
      </c>
      <c r="J33" s="153">
        <v>0</v>
      </c>
      <c r="K33" s="153">
        <v>0</v>
      </c>
      <c r="L33" s="153">
        <v>0</v>
      </c>
      <c r="M33" s="153">
        <v>0</v>
      </c>
      <c r="N33" s="153">
        <v>0</v>
      </c>
      <c r="O33" s="153">
        <v>0</v>
      </c>
      <c r="P33" s="153">
        <v>0</v>
      </c>
      <c r="Q33" s="153">
        <v>0</v>
      </c>
      <c r="R33" s="153">
        <v>0</v>
      </c>
      <c r="S33" s="153">
        <v>0</v>
      </c>
      <c r="T33" s="153">
        <v>0</v>
      </c>
      <c r="U33" s="153">
        <v>0</v>
      </c>
      <c r="V33" s="85"/>
      <c r="W33" s="85"/>
      <c r="X33" s="85"/>
      <c r="Y33" s="85"/>
      <c r="Z33" s="85"/>
      <c r="AA33" s="85"/>
      <c r="AB33" s="85"/>
    </row>
    <row r="34" spans="1:28" ht="13.8">
      <c r="A34" s="143" t="s">
        <v>123</v>
      </c>
      <c r="B34" s="85"/>
      <c r="C34" s="147">
        <v>0</v>
      </c>
      <c r="D34" s="147">
        <v>0</v>
      </c>
      <c r="E34" s="147">
        <v>0</v>
      </c>
      <c r="F34" s="147">
        <v>330539</v>
      </c>
      <c r="G34" s="147">
        <v>497242</v>
      </c>
      <c r="H34" s="147">
        <v>989615</v>
      </c>
      <c r="I34" s="143">
        <v>0</v>
      </c>
      <c r="J34" s="153">
        <v>0</v>
      </c>
      <c r="K34" s="153">
        <v>0</v>
      </c>
      <c r="L34" s="153">
        <v>0</v>
      </c>
      <c r="M34" s="153">
        <v>0</v>
      </c>
      <c r="N34" s="153">
        <v>0</v>
      </c>
      <c r="O34" s="153">
        <v>0</v>
      </c>
      <c r="P34" s="153">
        <v>0</v>
      </c>
      <c r="Q34" s="153">
        <v>0</v>
      </c>
      <c r="R34" s="153">
        <v>0</v>
      </c>
      <c r="S34" s="153">
        <v>0</v>
      </c>
      <c r="T34" s="153">
        <v>0</v>
      </c>
      <c r="U34" s="153">
        <v>0</v>
      </c>
      <c r="V34" s="85"/>
      <c r="W34" s="85"/>
      <c r="X34" s="85"/>
      <c r="Y34" s="85"/>
      <c r="Z34" s="85"/>
      <c r="AA34" s="85"/>
      <c r="AB34" s="85"/>
    </row>
    <row r="35" spans="1:28" ht="13.8">
      <c r="A35" s="89" t="s">
        <v>124</v>
      </c>
      <c r="B35" s="85"/>
      <c r="C35" s="154">
        <v>0</v>
      </c>
      <c r="D35" s="154">
        <v>131646</v>
      </c>
      <c r="E35" s="154">
        <v>0</v>
      </c>
      <c r="F35" s="154">
        <v>0</v>
      </c>
      <c r="G35" s="154">
        <v>0</v>
      </c>
      <c r="H35" s="154">
        <v>0</v>
      </c>
      <c r="I35" s="154">
        <v>0</v>
      </c>
      <c r="J35" s="155">
        <v>0</v>
      </c>
      <c r="K35" s="155">
        <v>0</v>
      </c>
      <c r="L35" s="155">
        <v>0</v>
      </c>
      <c r="M35" s="155">
        <v>0</v>
      </c>
      <c r="N35" s="155">
        <v>0</v>
      </c>
      <c r="O35" s="155">
        <v>0</v>
      </c>
      <c r="P35" s="155">
        <v>0</v>
      </c>
      <c r="Q35" s="155">
        <v>0</v>
      </c>
      <c r="R35" s="155">
        <v>0</v>
      </c>
      <c r="S35" s="155">
        <v>0</v>
      </c>
      <c r="T35" s="155">
        <v>0</v>
      </c>
      <c r="U35" s="155">
        <v>0</v>
      </c>
      <c r="V35" s="85"/>
      <c r="W35" s="85"/>
      <c r="X35" s="85"/>
      <c r="Y35" s="85"/>
      <c r="Z35" s="85"/>
      <c r="AA35" s="85"/>
      <c r="AB35" s="85"/>
    </row>
    <row r="36" spans="1:28" ht="13.8">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row>
    <row r="37" spans="1:28" ht="13.8">
      <c r="A37" s="89" t="s">
        <v>125</v>
      </c>
      <c r="B37" s="85"/>
      <c r="C37" s="85"/>
      <c r="D37" s="85"/>
      <c r="E37" s="85"/>
      <c r="F37" s="85"/>
      <c r="G37" s="85"/>
      <c r="H37" s="85"/>
      <c r="I37" s="85"/>
      <c r="J37" s="153">
        <v>0</v>
      </c>
      <c r="K37" s="153">
        <v>0</v>
      </c>
      <c r="L37" s="153">
        <v>0</v>
      </c>
      <c r="M37" s="153">
        <v>0</v>
      </c>
      <c r="N37" s="153">
        <v>0</v>
      </c>
      <c r="O37" s="153">
        <v>0</v>
      </c>
      <c r="P37" s="153">
        <v>0</v>
      </c>
      <c r="Q37" s="153">
        <v>0</v>
      </c>
      <c r="R37" s="153">
        <v>0</v>
      </c>
      <c r="S37" s="153">
        <v>0</v>
      </c>
      <c r="T37" s="153">
        <v>0</v>
      </c>
      <c r="U37" s="153">
        <v>0</v>
      </c>
      <c r="V37" s="85"/>
      <c r="W37" s="85"/>
      <c r="X37" s="85"/>
      <c r="Y37" s="85"/>
      <c r="Z37" s="85"/>
      <c r="AA37" s="85"/>
      <c r="AB37" s="85"/>
    </row>
    <row r="38" spans="1:28" ht="13.8">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row>
    <row r="39" spans="1:28" ht="13.8">
      <c r="A39" s="89" t="s">
        <v>126</v>
      </c>
      <c r="B39" s="85"/>
      <c r="C39" s="85"/>
      <c r="D39" s="85"/>
      <c r="E39" s="85"/>
      <c r="F39" s="85"/>
      <c r="G39" s="85"/>
      <c r="H39" s="85"/>
      <c r="I39" s="85"/>
      <c r="J39" s="153">
        <v>0</v>
      </c>
      <c r="K39" s="153">
        <v>0</v>
      </c>
      <c r="L39" s="153">
        <v>0</v>
      </c>
      <c r="M39" s="153">
        <v>0</v>
      </c>
      <c r="N39" s="153">
        <v>0</v>
      </c>
      <c r="O39" s="153">
        <v>0</v>
      </c>
      <c r="P39" s="153">
        <v>0</v>
      </c>
      <c r="Q39" s="153">
        <v>0</v>
      </c>
      <c r="R39" s="153">
        <v>0</v>
      </c>
      <c r="S39" s="153">
        <v>0</v>
      </c>
      <c r="T39" s="153">
        <v>0</v>
      </c>
      <c r="U39" s="153">
        <v>0</v>
      </c>
      <c r="V39" s="85"/>
      <c r="W39" s="85"/>
      <c r="X39" s="85"/>
      <c r="Y39" s="85"/>
      <c r="Z39" s="85"/>
      <c r="AA39" s="85"/>
      <c r="AB39" s="85"/>
    </row>
    <row r="40" spans="1:28" ht="13.8">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row>
    <row r="41" spans="1:28" ht="13.8">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row>
    <row r="42" spans="1:28" ht="13.8">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row>
    <row r="43" spans="1:28" ht="13.8">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row>
    <row r="44" spans="1:28" ht="13.8">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row>
    <row r="45" spans="1:28" ht="13.8">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row>
    <row r="46" spans="1:28" ht="13.8">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row>
    <row r="47" spans="1:28" ht="13.8">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row>
    <row r="48" spans="1:28" ht="13.8">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row>
    <row r="49" spans="1:28" ht="13.8">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row>
    <row r="50" spans="1:28" ht="13.8">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row>
    <row r="51" spans="1:28" ht="13.8">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row>
    <row r="52" spans="1:28" ht="13.8">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row>
    <row r="53" spans="1:28" ht="13.8">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row>
    <row r="54" spans="1:28" ht="13.8">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row>
    <row r="55" spans="1:28" ht="13.8">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row>
    <row r="56" spans="1:28" ht="13.8">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row>
    <row r="57" spans="1:28" ht="13.8">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row>
    <row r="58" spans="1:28" ht="13.8">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row>
    <row r="59" spans="1:28" ht="13.8">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row>
    <row r="60" spans="1:28" ht="13.8">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row>
    <row r="61" spans="1:28" ht="13.8">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row>
    <row r="62" spans="1:28" ht="13.8">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row>
    <row r="63" spans="1:28" ht="13.8">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row>
    <row r="64" spans="1:28" ht="13.8">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row>
    <row r="65" spans="1:28" ht="13.8">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row>
    <row r="66" spans="1:28" ht="13.8">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row>
    <row r="67" spans="1:28" ht="13.8">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row>
    <row r="68" spans="1:28" ht="13.8">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row>
    <row r="69" spans="1:28" ht="13.8">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row>
    <row r="70" spans="1:28" ht="13.8">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row>
    <row r="71" spans="1:28" ht="13.8">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c r="AA71" s="85"/>
      <c r="AB71" s="85"/>
    </row>
    <row r="72" spans="1:28" ht="13.8">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row>
    <row r="73" spans="1:28" ht="13.8">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row>
    <row r="74" spans="1:28" ht="13.8">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c r="AA74" s="85"/>
      <c r="AB74" s="85"/>
    </row>
    <row r="75" spans="1:28" ht="13.8">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row>
    <row r="76" spans="1:28" ht="13.8">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row>
    <row r="77" spans="1:28" ht="13.8">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row>
    <row r="78" spans="1:28" ht="13.8">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row>
    <row r="79" spans="1:28" ht="13.8">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row>
    <row r="80" spans="1:28" ht="13.8">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c r="AA80" s="85"/>
      <c r="AB80" s="85"/>
    </row>
    <row r="81" spans="1:28" ht="13.8">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row>
    <row r="82" spans="1:28" ht="13.8">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row>
    <row r="83" spans="1:28" ht="13.8">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row>
    <row r="84" spans="1:28" ht="13.8">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c r="AA84" s="85"/>
      <c r="AB84" s="85"/>
    </row>
    <row r="85" spans="1:28" ht="13.8">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row>
    <row r="86" spans="1:28" ht="13.8">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row>
    <row r="87" spans="1:28" ht="13.8">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row>
    <row r="88" spans="1:28" ht="13.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row>
    <row r="89" spans="1:28" ht="13.8">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row>
    <row r="90" spans="1:28" ht="13.8">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row>
    <row r="91" spans="1:28" ht="13.8">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c r="AA91" s="85"/>
      <c r="AB91" s="85"/>
    </row>
    <row r="92" spans="1:28" ht="13.8">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c r="AA92" s="85"/>
      <c r="AB92" s="85"/>
    </row>
    <row r="93" spans="1:28" ht="13.8">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row>
    <row r="94" spans="1:28" ht="13.8">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row>
    <row r="95" spans="1:28" ht="13.8">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row>
    <row r="96" spans="1:28" ht="13.8">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row>
    <row r="97" spans="1:28" ht="13.8">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c r="AA97" s="85"/>
      <c r="AB97" s="85"/>
    </row>
    <row r="98" spans="1:28" ht="13.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row>
    <row r="99" spans="1:28" ht="13.8">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c r="AA99" s="85"/>
      <c r="AB99" s="85"/>
    </row>
    <row r="100" spans="1:28" ht="13.8">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row>
    <row r="101" spans="1:28" ht="13.8">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row>
    <row r="102" spans="1:28" ht="13.8">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row>
    <row r="103" spans="1:28" ht="13.8">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row>
    <row r="104" spans="1:28" ht="13.8">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row>
    <row r="105" spans="1:28" ht="13.8">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row>
    <row r="106" spans="1:28" ht="13.8">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row>
    <row r="107" spans="1:28" ht="13.8">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row>
    <row r="108" spans="1:28" ht="13.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row>
    <row r="109" spans="1:28" ht="13.8">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row>
    <row r="110" spans="1:28" ht="13.8">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row>
    <row r="111" spans="1:28" ht="13.8">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row>
    <row r="112" spans="1:28" ht="13.8">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row>
    <row r="113" spans="1:28" ht="13.8">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row>
    <row r="114" spans="1:28" ht="13.8">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row>
    <row r="115" spans="1:28" ht="13.8">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row>
    <row r="116" spans="1:28" ht="13.8">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row>
    <row r="117" spans="1:28" ht="13.8">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row>
    <row r="118" spans="1:28" ht="13.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row>
    <row r="119" spans="1:28" ht="13.8">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row>
    <row r="120" spans="1:28" ht="13.8">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row>
    <row r="121" spans="1:28" ht="13.8">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row>
    <row r="122" spans="1:28" ht="13.8">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row>
    <row r="123" spans="1:28" ht="13.8">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row>
    <row r="124" spans="1:28" ht="13.8">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row>
    <row r="125" spans="1:28" ht="13.8">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row>
    <row r="126" spans="1:28" ht="13.8">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row>
    <row r="127" spans="1:28" ht="13.8">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row>
    <row r="128" spans="1:28" ht="13.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row>
    <row r="129" spans="1:28" ht="13.8">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row>
    <row r="130" spans="1:28" ht="13.8">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row>
    <row r="131" spans="1:28" ht="13.8">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row>
    <row r="132" spans="1:28" ht="13.8">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row>
    <row r="133" spans="1:28" ht="13.8">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row>
    <row r="134" spans="1:28" ht="13.8">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row>
    <row r="135" spans="1:28" ht="13.8">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row>
    <row r="136" spans="1:28" ht="13.8">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row>
    <row r="137" spans="1:28" ht="13.8">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row>
    <row r="138" spans="1:28" ht="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row>
    <row r="139" spans="1:28" ht="13.8">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row>
    <row r="140" spans="1:28" ht="13.8">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row>
    <row r="141" spans="1:28" ht="13.8">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row>
    <row r="142" spans="1:28" ht="13.8">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row>
    <row r="143" spans="1:28" ht="13.8">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row>
    <row r="144" spans="1:28" ht="13.8">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row>
    <row r="145" spans="1:28" ht="13.8">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row>
    <row r="146" spans="1:28" ht="13.8">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row>
    <row r="147" spans="1:28" ht="13.8">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row>
    <row r="148" spans="1:28" ht="13.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row>
    <row r="149" spans="1:28" ht="13.8">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row>
    <row r="150" spans="1:28" ht="13.8">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row>
    <row r="151" spans="1:28" ht="13.8">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row>
    <row r="152" spans="1:28" ht="13.8">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row>
    <row r="153" spans="1:28" ht="13.8">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row>
    <row r="154" spans="1:28" ht="13.8">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row>
    <row r="155" spans="1:28" ht="13.8">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row>
    <row r="156" spans="1:28" ht="13.8">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row>
    <row r="157" spans="1:28" ht="13.8">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row>
    <row r="158" spans="1:28" ht="13.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row>
    <row r="159" spans="1:28" ht="13.8">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row>
    <row r="160" spans="1:28" ht="13.8">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row>
    <row r="161" spans="1:28" ht="13.8">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row>
    <row r="162" spans="1:28" ht="13.8">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row>
    <row r="163" spans="1:28" ht="13.8">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row>
    <row r="164" spans="1:28" ht="13.8">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row>
    <row r="165" spans="1:28" ht="13.8">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row>
    <row r="166" spans="1:28" ht="13.8">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row>
    <row r="167" spans="1:28" ht="13.8">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row>
    <row r="168" spans="1:28" ht="13.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row>
    <row r="169" spans="1:28" ht="13.8">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row>
    <row r="170" spans="1:28" ht="13.8">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row>
    <row r="171" spans="1:28" ht="13.8">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row>
    <row r="172" spans="1:28" ht="13.8">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row>
    <row r="173" spans="1:28" ht="13.8">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row>
    <row r="174" spans="1:28" ht="13.8">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row>
    <row r="175" spans="1:28" ht="13.8">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row>
    <row r="176" spans="1:28" ht="13.8">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row>
    <row r="177" spans="1:28" ht="13.8">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row>
    <row r="178" spans="1:28" ht="13.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row>
    <row r="179" spans="1:28" ht="13.8">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row>
    <row r="180" spans="1:28" ht="13.8">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row>
    <row r="181" spans="1:28" ht="13.8">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row>
    <row r="182" spans="1:28" ht="13.8">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row>
    <row r="183" spans="1:28" ht="13.8">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row>
    <row r="184" spans="1:28" ht="13.8">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row>
    <row r="185" spans="1:28" ht="13.8">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row>
    <row r="186" spans="1:28" ht="13.8">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row>
    <row r="187" spans="1:28" ht="13.8">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row>
    <row r="188" spans="1:28" ht="13.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row>
    <row r="189" spans="1:28" ht="13.8">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row>
    <row r="190" spans="1:28" ht="13.8">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row>
    <row r="191" spans="1:28" ht="13.8">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row>
    <row r="192" spans="1:28" ht="13.8">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row>
    <row r="193" spans="1:28" ht="13.8">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row>
    <row r="194" spans="1:28" ht="13.8">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row>
    <row r="195" spans="1:28" ht="13.8">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row>
    <row r="196" spans="1:28" ht="13.8">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row>
    <row r="197" spans="1:28" ht="13.8">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row>
    <row r="198" spans="1:28" ht="13.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row>
    <row r="199" spans="1:28" ht="13.8">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row>
    <row r="200" spans="1:28" ht="13.8">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row>
    <row r="201" spans="1:28" ht="13.8">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row>
    <row r="202" spans="1:28" ht="13.8">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row>
    <row r="203" spans="1:28" ht="13.8">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row>
    <row r="204" spans="1:28" ht="13.8">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row>
    <row r="205" spans="1:28" ht="13.8">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row>
    <row r="206" spans="1:28" ht="13.8">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row>
    <row r="207" spans="1:28" ht="13.8">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row>
    <row r="208" spans="1:28" ht="13.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row>
    <row r="209" spans="1:28" ht="13.8">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row>
    <row r="210" spans="1:28" ht="13.8">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row>
    <row r="211" spans="1:28" ht="13.8">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row>
    <row r="212" spans="1:28" ht="13.8">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row>
    <row r="213" spans="1:28" ht="13.8">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row>
    <row r="214" spans="1:28" ht="13.8">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row>
    <row r="215" spans="1:28" ht="13.8">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row>
    <row r="216" spans="1:28" ht="13.8">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row>
    <row r="217" spans="1:28" ht="13.8">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row>
    <row r="218" spans="1:28" ht="13.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row>
    <row r="219" spans="1:28" ht="13.8">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row>
    <row r="220" spans="1:28" ht="13.8">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row>
    <row r="221" spans="1:28" ht="13.8">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row>
    <row r="222" spans="1:28" ht="13.8">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row>
    <row r="223" spans="1:28" ht="13.8">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row>
    <row r="224" spans="1:28" ht="13.8">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row>
    <row r="225" spans="1:28" ht="13.8">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row>
    <row r="226" spans="1:28" ht="13.8">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row>
    <row r="227" spans="1:28" ht="13.8">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row>
    <row r="228" spans="1:28" ht="13.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row>
    <row r="229" spans="1:28" ht="13.8">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row>
    <row r="230" spans="1:28" ht="13.8">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row>
    <row r="231" spans="1:28" ht="13.8">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row>
    <row r="232" spans="1:28" ht="13.8">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row>
    <row r="233" spans="1:28" ht="13.8">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row>
    <row r="234" spans="1:28" ht="13.8">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row>
    <row r="235" spans="1:28" ht="13.8">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row>
    <row r="236" spans="1:28" ht="13.8">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row>
    <row r="237" spans="1:28" ht="13.8">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row>
    <row r="238" spans="1:28" ht="1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row>
    <row r="239" spans="1:28" ht="13.8">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row>
    <row r="240" spans="1:28" ht="13.8">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row>
    <row r="241" spans="1:28" ht="13.8">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row>
    <row r="242" spans="1:28" ht="13.8">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row>
    <row r="243" spans="1:28" ht="13.8">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row>
    <row r="244" spans="1:28" ht="13.8">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row>
    <row r="245" spans="1:28" ht="13.8">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row>
    <row r="246" spans="1:28" ht="13.8">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row>
    <row r="247" spans="1:28" ht="13.8">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row>
    <row r="248" spans="1:28" ht="13.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row>
    <row r="249" spans="1:28" ht="13.8">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row>
    <row r="250" spans="1:28" ht="13.8">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row>
    <row r="251" spans="1:28" ht="13.8">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row>
    <row r="252" spans="1:28" ht="13.8">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row>
    <row r="253" spans="1:28" ht="13.8">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row>
    <row r="254" spans="1:28" ht="13.8">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row>
    <row r="255" spans="1:28" ht="13.8">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row>
    <row r="256" spans="1:28" ht="13.8">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row>
    <row r="257" spans="1:28" ht="13.8">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row>
    <row r="258" spans="1:28" ht="13.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row>
    <row r="259" spans="1:28" ht="13.8">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row>
    <row r="260" spans="1:28" ht="13.8">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row>
    <row r="261" spans="1:28" ht="13.8">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row>
    <row r="262" spans="1:28" ht="13.8">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row>
    <row r="263" spans="1:28" ht="13.8">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row>
    <row r="264" spans="1:28" ht="13.8">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row>
    <row r="265" spans="1:28" ht="13.8">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row>
    <row r="266" spans="1:28" ht="13.8">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row>
    <row r="267" spans="1:28" ht="13.8">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row>
    <row r="268" spans="1:28" ht="13.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row>
    <row r="269" spans="1:28" ht="13.8">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row>
    <row r="270" spans="1:28" ht="13.8">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row>
    <row r="271" spans="1:28" ht="13.8">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row>
    <row r="272" spans="1:28" ht="13.8">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row>
    <row r="273" spans="1:28" ht="13.8">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row>
    <row r="274" spans="1:28" ht="13.8">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row>
    <row r="275" spans="1:28" ht="13.8">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row>
    <row r="276" spans="1:28" ht="13.8">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row>
    <row r="277" spans="1:28" ht="13.8">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row>
    <row r="278" spans="1:28" ht="13.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row>
    <row r="279" spans="1:28" ht="13.8">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row>
    <row r="280" spans="1:28" ht="13.8">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row>
    <row r="281" spans="1:28" ht="13.8">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row>
    <row r="282" spans="1:28" ht="13.8">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row>
    <row r="283" spans="1:28" ht="13.8">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row>
    <row r="284" spans="1:28" ht="13.8">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row>
    <row r="285" spans="1:28" ht="13.8">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row>
    <row r="286" spans="1:28" ht="13.8">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row>
    <row r="287" spans="1:28" ht="13.8">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row>
    <row r="288" spans="1:28" ht="13.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row>
    <row r="289" spans="1:28" ht="13.8">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row>
    <row r="290" spans="1:28" ht="13.8">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row>
    <row r="291" spans="1:28" ht="13.8">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row>
    <row r="292" spans="1:28" ht="13.8">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row>
    <row r="293" spans="1:28" ht="13.8">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row>
    <row r="294" spans="1:28" ht="13.8">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row>
    <row r="295" spans="1:28" ht="13.8">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row>
    <row r="296" spans="1:28" ht="13.8">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row>
    <row r="297" spans="1:28" ht="13.8">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row>
    <row r="298" spans="1:28" ht="13.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row>
    <row r="299" spans="1:28" ht="13.8">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row>
    <row r="300" spans="1:28" ht="13.8">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row>
    <row r="301" spans="1:28" ht="13.8">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row>
    <row r="302" spans="1:28" ht="13.8">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row>
    <row r="303" spans="1:28" ht="13.8">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row>
    <row r="304" spans="1:28" ht="13.8">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row>
    <row r="305" spans="1:28" ht="13.8">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row>
    <row r="306" spans="1:28" ht="13.8">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row>
    <row r="307" spans="1:28" ht="13.8">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row>
    <row r="308" spans="1:28" ht="13.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row>
    <row r="309" spans="1:28" ht="13.8">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row>
    <row r="310" spans="1:28" ht="13.8">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row>
    <row r="311" spans="1:28" ht="13.8">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row>
    <row r="312" spans="1:28" ht="13.8">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row>
    <row r="313" spans="1:28" ht="13.8">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row>
    <row r="314" spans="1:28" ht="13.8">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row>
    <row r="315" spans="1:28" ht="13.8">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row>
    <row r="316" spans="1:28" ht="13.8">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row>
    <row r="317" spans="1:28" ht="13.8">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row>
    <row r="318" spans="1:28" ht="13.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row>
    <row r="319" spans="1:28" ht="13.8">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row>
    <row r="320" spans="1:28" ht="13.8">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row>
    <row r="321" spans="1:28" ht="13.8">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row>
    <row r="322" spans="1:28" ht="13.8">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row>
    <row r="323" spans="1:28" ht="13.8">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row>
    <row r="324" spans="1:28" ht="13.8">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row>
    <row r="325" spans="1:28" ht="13.8">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row>
    <row r="326" spans="1:28" ht="13.8">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row>
    <row r="327" spans="1:28" ht="13.8">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row>
    <row r="328" spans="1:28" ht="13.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row>
    <row r="329" spans="1:28" ht="13.8">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row>
    <row r="330" spans="1:28" ht="13.8">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row>
    <row r="331" spans="1:28" ht="13.8">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row>
    <row r="332" spans="1:28" ht="13.8">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row>
    <row r="333" spans="1:28" ht="13.8">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row>
    <row r="334" spans="1:28" ht="13.8">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row>
    <row r="335" spans="1:28" ht="13.8">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row>
    <row r="336" spans="1:28" ht="13.8">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row>
    <row r="337" spans="1:28" ht="13.8">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row>
    <row r="338" spans="1:28" ht="1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row>
    <row r="339" spans="1:28" ht="13.8">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row>
    <row r="340" spans="1:28" ht="13.8">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row>
    <row r="341" spans="1:28" ht="13.8">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row>
    <row r="342" spans="1:28" ht="13.8">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row>
    <row r="343" spans="1:28" ht="13.8">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row>
    <row r="344" spans="1:28" ht="13.8">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row>
    <row r="345" spans="1:28" ht="13.8">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row>
    <row r="346" spans="1:28" ht="13.8">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row>
    <row r="347" spans="1:28" ht="13.8">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row>
    <row r="348" spans="1:28" ht="13.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row>
    <row r="349" spans="1:28" ht="13.8">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row>
    <row r="350" spans="1:28" ht="13.8">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row>
    <row r="351" spans="1:28" ht="13.8">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row>
    <row r="352" spans="1:28" ht="13.8">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row>
    <row r="353" spans="1:28" ht="13.8">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row>
    <row r="354" spans="1:28" ht="13.8">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row>
    <row r="355" spans="1:28" ht="13.8">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row>
    <row r="356" spans="1:28" ht="13.8">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row>
    <row r="357" spans="1:28" ht="13.8">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row>
    <row r="358" spans="1:28" ht="13.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row>
    <row r="359" spans="1:28" ht="13.8">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row>
    <row r="360" spans="1:28" ht="13.8">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row>
    <row r="361" spans="1:28" ht="13.8">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row>
    <row r="362" spans="1:28" ht="13.8">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row>
    <row r="363" spans="1:28" ht="13.8">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row>
    <row r="364" spans="1:28" ht="13.8">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row>
    <row r="365" spans="1:28" ht="13.8">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row>
    <row r="366" spans="1:28" ht="13.8">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row>
    <row r="367" spans="1:28" ht="13.8">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row>
    <row r="368" spans="1:28" ht="13.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row>
    <row r="369" spans="1:28" ht="13.8">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row>
    <row r="370" spans="1:28" ht="13.8">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row>
    <row r="371" spans="1:28" ht="13.8">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row>
    <row r="372" spans="1:28" ht="13.8">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row>
    <row r="373" spans="1:28" ht="13.8">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row>
    <row r="374" spans="1:28" ht="13.8">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row>
    <row r="375" spans="1:28" ht="13.8">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row>
    <row r="376" spans="1:28" ht="13.8">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row>
    <row r="377" spans="1:28" ht="13.8">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row>
    <row r="378" spans="1:28" ht="13.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row>
    <row r="379" spans="1:28" ht="13.8">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row>
    <row r="380" spans="1:28" ht="13.8">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row>
    <row r="381" spans="1:28" ht="13.8">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row>
    <row r="382" spans="1:28" ht="13.8">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row>
    <row r="383" spans="1:28" ht="13.8">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row>
    <row r="384" spans="1:28" ht="13.8">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row>
    <row r="385" spans="1:28" ht="13.8">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row>
    <row r="386" spans="1:28" ht="13.8">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row>
    <row r="387" spans="1:28" ht="13.8">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row>
    <row r="388" spans="1:28" ht="13.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row>
    <row r="389" spans="1:28" ht="13.8">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row>
    <row r="390" spans="1:28" ht="13.8">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row>
    <row r="391" spans="1:28" ht="13.8">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row>
    <row r="392" spans="1:28" ht="13.8">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row>
    <row r="393" spans="1:28" ht="13.8">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row>
    <row r="394" spans="1:28" ht="13.8">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row>
    <row r="395" spans="1:28" ht="13.8">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row>
    <row r="396" spans="1:28" ht="13.8">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row>
    <row r="397" spans="1:28" ht="13.8">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row>
    <row r="398" spans="1:28" ht="13.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row>
    <row r="399" spans="1:28" ht="13.8">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row>
    <row r="400" spans="1:28" ht="13.8">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row>
    <row r="401" spans="1:28" ht="13.8">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row>
    <row r="402" spans="1:28" ht="13.8">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row>
    <row r="403" spans="1:28" ht="13.8">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row>
    <row r="404" spans="1:28" ht="13.8">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row>
    <row r="405" spans="1:28" ht="13.8">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row>
    <row r="406" spans="1:28" ht="13.8">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row>
    <row r="407" spans="1:28" ht="13.8">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row>
    <row r="408" spans="1:28" ht="13.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row>
    <row r="409" spans="1:28" ht="13.8">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row>
    <row r="410" spans="1:28" ht="13.8">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row>
    <row r="411" spans="1:28" ht="13.8">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row>
    <row r="412" spans="1:28" ht="13.8">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row>
    <row r="413" spans="1:28" ht="13.8">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row>
    <row r="414" spans="1:28" ht="13.8">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row>
    <row r="415" spans="1:28" ht="13.8">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row>
    <row r="416" spans="1:28" ht="13.8">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row>
    <row r="417" spans="1:28" ht="13.8">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row>
    <row r="418" spans="1:28" ht="13.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row>
    <row r="419" spans="1:28" ht="13.8">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row>
    <row r="420" spans="1:28" ht="13.8">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row>
    <row r="421" spans="1:28" ht="13.8">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row>
    <row r="422" spans="1:28" ht="13.8">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row>
    <row r="423" spans="1:28" ht="13.8">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row>
    <row r="424" spans="1:28" ht="13.8">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row>
    <row r="425" spans="1:28" ht="13.8">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row>
    <row r="426" spans="1:28" ht="13.8">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row>
    <row r="427" spans="1:28" ht="13.8">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row>
    <row r="428" spans="1:28" ht="13.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row>
    <row r="429" spans="1:28" ht="13.8">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row>
    <row r="430" spans="1:28" ht="13.8">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row>
    <row r="431" spans="1:28" ht="13.8">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row>
    <row r="432" spans="1:28" ht="13.8">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row>
    <row r="433" spans="1:28" ht="13.8">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row>
    <row r="434" spans="1:28" ht="13.8">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row>
    <row r="435" spans="1:28" ht="13.8">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row>
    <row r="436" spans="1:28" ht="13.8">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row>
    <row r="437" spans="1:28" ht="13.8">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row>
    <row r="438" spans="1:28" ht="1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row>
    <row r="439" spans="1:28" ht="13.8">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row>
    <row r="440" spans="1:28" ht="13.8">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row>
    <row r="441" spans="1:28" ht="13.8">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row>
    <row r="442" spans="1:28" ht="13.8">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row>
    <row r="443" spans="1:28" ht="13.8">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row>
    <row r="444" spans="1:28" ht="13.8">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row>
    <row r="445" spans="1:28" ht="13.8">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row>
    <row r="446" spans="1:28" ht="13.8">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row>
    <row r="447" spans="1:28" ht="13.8">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row>
    <row r="448" spans="1:28" ht="13.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row>
    <row r="449" spans="1:28" ht="13.8">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row>
    <row r="450" spans="1:28" ht="13.8">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row>
    <row r="451" spans="1:28" ht="13.8">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row>
    <row r="452" spans="1:28" ht="13.8">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row>
    <row r="453" spans="1:28" ht="13.8">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row>
    <row r="454" spans="1:28" ht="13.8">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row>
    <row r="455" spans="1:28" ht="13.8">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row>
    <row r="456" spans="1:28" ht="13.8">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row>
    <row r="457" spans="1:28" ht="13.8">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row>
    <row r="458" spans="1:28" ht="13.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row>
    <row r="459" spans="1:28" ht="13.8">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row>
    <row r="460" spans="1:28" ht="13.8">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row>
    <row r="461" spans="1:28" ht="13.8">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row>
    <row r="462" spans="1:28" ht="13.8">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row>
    <row r="463" spans="1:28" ht="13.8">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row>
    <row r="464" spans="1:28" ht="13.8">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row>
    <row r="465" spans="1:28" ht="13.8">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row>
    <row r="466" spans="1:28" ht="13.8">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row>
    <row r="467" spans="1:28" ht="13.8">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row>
    <row r="468" spans="1:28" ht="13.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row>
    <row r="469" spans="1:28" ht="13.8">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row>
    <row r="470" spans="1:28" ht="13.8">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row>
    <row r="471" spans="1:28" ht="13.8">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row>
    <row r="472" spans="1:28" ht="13.8">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row>
    <row r="473" spans="1:28" ht="13.8">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row>
    <row r="474" spans="1:28" ht="13.8">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row>
    <row r="475" spans="1:28" ht="13.8">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row>
    <row r="476" spans="1:28" ht="13.8">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row>
    <row r="477" spans="1:28" ht="13.8">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row>
    <row r="478" spans="1:28" ht="13.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row>
    <row r="479" spans="1:28" ht="13.8">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row>
    <row r="480" spans="1:28" ht="13.8">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row>
    <row r="481" spans="1:28" ht="13.8">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row>
    <row r="482" spans="1:28" ht="13.8">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row>
    <row r="483" spans="1:28" ht="13.8">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row>
    <row r="484" spans="1:28" ht="13.8">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row>
    <row r="485" spans="1:28" ht="13.8">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row>
    <row r="486" spans="1:28" ht="13.8">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row>
    <row r="487" spans="1:28" ht="13.8">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row>
    <row r="488" spans="1:28" ht="13.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row>
    <row r="489" spans="1:28" ht="13.8">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row>
    <row r="490" spans="1:28" ht="13.8">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row>
    <row r="491" spans="1:28" ht="13.8">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row>
    <row r="492" spans="1:28" ht="13.8">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row>
    <row r="493" spans="1:28" ht="13.8">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row>
    <row r="494" spans="1:28" ht="13.8">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row>
    <row r="495" spans="1:28" ht="13.8">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row>
    <row r="496" spans="1:28" ht="13.8">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row>
    <row r="497" spans="1:28" ht="13.8">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row>
    <row r="498" spans="1:28" ht="13.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row>
    <row r="499" spans="1:28" ht="13.8">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row>
    <row r="500" spans="1:28" ht="13.8">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row>
    <row r="501" spans="1:28" ht="13.8">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row>
    <row r="502" spans="1:28" ht="13.8">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row>
    <row r="503" spans="1:28" ht="13.8">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row>
    <row r="504" spans="1:28" ht="13.8">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row>
    <row r="505" spans="1:28" ht="13.8">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row>
    <row r="506" spans="1:28" ht="13.8">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row>
    <row r="507" spans="1:28" ht="13.8">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row>
    <row r="508" spans="1:28" ht="13.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row>
    <row r="509" spans="1:28" ht="13.8">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row>
    <row r="510" spans="1:28" ht="13.8">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row>
    <row r="511" spans="1:28" ht="13.8">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row>
    <row r="512" spans="1:28" ht="13.8">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row>
    <row r="513" spans="1:28" ht="13.8">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row>
    <row r="514" spans="1:28" ht="13.8">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row>
    <row r="515" spans="1:28" ht="13.8">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row>
    <row r="516" spans="1:28" ht="13.8">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row>
    <row r="517" spans="1:28" ht="13.8">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row>
    <row r="518" spans="1:28" ht="13.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row>
    <row r="519" spans="1:28" ht="13.8">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row>
    <row r="520" spans="1:28" ht="13.8">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row>
    <row r="521" spans="1:28" ht="13.8">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row>
    <row r="522" spans="1:28" ht="13.8">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row>
    <row r="523" spans="1:28" ht="13.8">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row>
    <row r="524" spans="1:28" ht="13.8">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row>
    <row r="525" spans="1:28" ht="13.8">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row>
    <row r="526" spans="1:28" ht="13.8">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row>
    <row r="527" spans="1:28" ht="13.8">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row>
    <row r="528" spans="1:28" ht="13.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row>
    <row r="529" spans="1:28" ht="13.8">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row>
    <row r="530" spans="1:28" ht="13.8">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row>
    <row r="531" spans="1:28" ht="13.8">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row>
    <row r="532" spans="1:28" ht="13.8">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row>
    <row r="533" spans="1:28" ht="13.8">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row>
    <row r="534" spans="1:28" ht="13.8">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row>
    <row r="535" spans="1:28" ht="13.8">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row>
    <row r="536" spans="1:28" ht="13.8">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row>
    <row r="537" spans="1:28" ht="13.8">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row>
    <row r="538" spans="1:28" ht="1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row>
    <row r="539" spans="1:28" ht="13.8">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row>
    <row r="540" spans="1:28" ht="13.8">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row>
    <row r="541" spans="1:28" ht="13.8">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row>
    <row r="542" spans="1:28" ht="13.8">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row>
    <row r="543" spans="1:28" ht="13.8">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row>
    <row r="544" spans="1:28" ht="13.8">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row>
    <row r="545" spans="1:28" ht="13.8">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row>
    <row r="546" spans="1:28" ht="13.8">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row>
    <row r="547" spans="1:28" ht="13.8">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row>
    <row r="548" spans="1:28" ht="13.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row>
    <row r="549" spans="1:28" ht="13.8">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row>
    <row r="550" spans="1:28" ht="13.8">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row>
    <row r="551" spans="1:28" ht="13.8">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row>
    <row r="552" spans="1:28" ht="13.8">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row>
    <row r="553" spans="1:28" ht="13.8">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row>
    <row r="554" spans="1:28" ht="13.8">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row>
    <row r="555" spans="1:28" ht="13.8">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row>
    <row r="556" spans="1:28" ht="13.8">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row>
    <row r="557" spans="1:28" ht="13.8">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row>
    <row r="558" spans="1:28" ht="13.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row>
    <row r="559" spans="1:28" ht="13.8">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row>
    <row r="560" spans="1:28" ht="13.8">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row>
    <row r="561" spans="1:28" ht="13.8">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row>
    <row r="562" spans="1:28" ht="13.8">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row>
    <row r="563" spans="1:28" ht="13.8">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row>
    <row r="564" spans="1:28" ht="13.8">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row>
    <row r="565" spans="1:28" ht="13.8">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row>
    <row r="566" spans="1:28" ht="13.8">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row>
    <row r="567" spans="1:28" ht="13.8">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row>
    <row r="568" spans="1:28" ht="13.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row>
    <row r="569" spans="1:28" ht="13.8">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row>
    <row r="570" spans="1:28" ht="13.8">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row>
    <row r="571" spans="1:28" ht="13.8">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row>
    <row r="572" spans="1:28" ht="13.8">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row>
    <row r="573" spans="1:28" ht="13.8">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row>
    <row r="574" spans="1:28" ht="13.8">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row>
    <row r="575" spans="1:28" ht="13.8">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row>
    <row r="576" spans="1:28" ht="13.8">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row>
    <row r="577" spans="1:28" ht="13.8">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row>
    <row r="578" spans="1:28" ht="13.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row>
    <row r="579" spans="1:28" ht="13.8">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row>
    <row r="580" spans="1:28" ht="13.8">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row>
    <row r="581" spans="1:28" ht="13.8">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row>
    <row r="582" spans="1:28" ht="13.8">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row>
    <row r="583" spans="1:28" ht="13.8">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row>
    <row r="584" spans="1:28" ht="13.8">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row>
    <row r="585" spans="1:28" ht="13.8">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row>
    <row r="586" spans="1:28" ht="13.8">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row>
    <row r="587" spans="1:28" ht="13.8">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row>
    <row r="588" spans="1:28" ht="13.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row>
    <row r="589" spans="1:28" ht="13.8">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row>
    <row r="590" spans="1:28" ht="13.8">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row>
    <row r="591" spans="1:28" ht="13.8">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row>
    <row r="592" spans="1:28" ht="13.8">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row>
    <row r="593" spans="1:28" ht="13.8">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row>
    <row r="594" spans="1:28" ht="13.8">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row>
    <row r="595" spans="1:28" ht="13.8">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row>
    <row r="596" spans="1:28" ht="13.8">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row>
    <row r="597" spans="1:28" ht="13.8">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row>
    <row r="598" spans="1:28" ht="13.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row>
    <row r="599" spans="1:28" ht="13.8">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row>
    <row r="600" spans="1:28" ht="13.8">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row>
    <row r="601" spans="1:28" ht="13.8">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row>
    <row r="602" spans="1:28" ht="13.8">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row>
    <row r="603" spans="1:28" ht="13.8">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row>
    <row r="604" spans="1:28" ht="13.8">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row>
    <row r="605" spans="1:28" ht="13.8">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row>
    <row r="606" spans="1:28" ht="13.8">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row>
    <row r="607" spans="1:28" ht="13.8">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row>
    <row r="608" spans="1:28" ht="13.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row>
    <row r="609" spans="1:28" ht="13.8">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row>
    <row r="610" spans="1:28" ht="13.8">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row>
    <row r="611" spans="1:28" ht="13.8">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row>
    <row r="612" spans="1:28" ht="13.8">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row>
    <row r="613" spans="1:28" ht="13.8">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row>
    <row r="614" spans="1:28" ht="13.8">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row>
    <row r="615" spans="1:28" ht="13.8">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row>
    <row r="616" spans="1:28" ht="13.8">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row>
    <row r="617" spans="1:28" ht="13.8">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row>
    <row r="618" spans="1:28" ht="13.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row>
    <row r="619" spans="1:28" ht="13.8">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row>
    <row r="620" spans="1:28" ht="13.8">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row>
    <row r="621" spans="1:28" ht="13.8">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row>
    <row r="622" spans="1:28" ht="13.8">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row>
    <row r="623" spans="1:28" ht="13.8">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row>
    <row r="624" spans="1:28" ht="13.8">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row>
    <row r="625" spans="1:28" ht="13.8">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row>
    <row r="626" spans="1:28" ht="13.8">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row>
    <row r="627" spans="1:28" ht="13.8">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row>
    <row r="628" spans="1:28" ht="13.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row>
    <row r="629" spans="1:28" ht="13.8">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row>
    <row r="630" spans="1:28" ht="13.8">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row>
    <row r="631" spans="1:28" ht="13.8">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row>
    <row r="632" spans="1:28" ht="13.8">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row>
    <row r="633" spans="1:28" ht="13.8">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row>
    <row r="634" spans="1:28" ht="13.8">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row>
    <row r="635" spans="1:28" ht="13.8">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row>
    <row r="636" spans="1:28" ht="13.8">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row>
    <row r="637" spans="1:28" ht="13.8">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row>
    <row r="638" spans="1:28" ht="1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row>
    <row r="639" spans="1:28" ht="13.8">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row>
    <row r="640" spans="1:28" ht="13.8">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row>
    <row r="641" spans="1:28" ht="13.8">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row>
    <row r="642" spans="1:28" ht="13.8">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row>
    <row r="643" spans="1:28" ht="13.8">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row>
    <row r="644" spans="1:28" ht="13.8">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row>
    <row r="645" spans="1:28" ht="13.8">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row>
    <row r="646" spans="1:28" ht="13.8">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row>
    <row r="647" spans="1:28" ht="13.8">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row>
    <row r="648" spans="1:28" ht="13.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row>
    <row r="649" spans="1:28" ht="13.8">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row>
    <row r="650" spans="1:28" ht="13.8">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row>
    <row r="651" spans="1:28" ht="13.8">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row>
    <row r="652" spans="1:28" ht="13.8">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row>
    <row r="653" spans="1:28" ht="13.8">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row>
    <row r="654" spans="1:28" ht="13.8">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row>
    <row r="655" spans="1:28" ht="13.8">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row>
    <row r="656" spans="1:28" ht="13.8">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row>
    <row r="657" spans="1:28" ht="13.8">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row>
    <row r="658" spans="1:28" ht="13.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row>
    <row r="659" spans="1:28" ht="13.8">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row>
    <row r="660" spans="1:28" ht="13.8">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row>
    <row r="661" spans="1:28" ht="13.8">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row>
    <row r="662" spans="1:28" ht="13.8">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row>
    <row r="663" spans="1:28" ht="13.8">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row>
    <row r="664" spans="1:28" ht="13.8">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row>
    <row r="665" spans="1:28" ht="13.8">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row>
    <row r="666" spans="1:28" ht="13.8">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row>
    <row r="667" spans="1:28" ht="13.8">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row>
    <row r="668" spans="1:28" ht="13.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row>
    <row r="669" spans="1:28" ht="13.8">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row>
    <row r="670" spans="1:28" ht="13.8">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row>
    <row r="671" spans="1:28" ht="13.8">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row>
    <row r="672" spans="1:28" ht="13.8">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row>
    <row r="673" spans="1:28" ht="13.8">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row>
    <row r="674" spans="1:28" ht="13.8">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row>
    <row r="675" spans="1:28" ht="13.8">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row>
    <row r="676" spans="1:28" ht="13.8">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row>
    <row r="677" spans="1:28" ht="13.8">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row>
    <row r="678" spans="1:28" ht="13.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row>
    <row r="679" spans="1:28" ht="13.8">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row>
    <row r="680" spans="1:28" ht="13.8">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row>
    <row r="681" spans="1:28" ht="13.8">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row>
    <row r="682" spans="1:28" ht="13.8">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row>
    <row r="683" spans="1:28" ht="13.8">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row>
    <row r="684" spans="1:28" ht="13.8">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row>
    <row r="685" spans="1:28" ht="13.8">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row>
    <row r="686" spans="1:28" ht="13.8">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row>
    <row r="687" spans="1:28" ht="13.8">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row>
    <row r="688" spans="1:28" ht="13.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row>
    <row r="689" spans="1:28" ht="13.8">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row>
    <row r="690" spans="1:28" ht="13.8">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row>
    <row r="691" spans="1:28" ht="13.8">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row>
    <row r="692" spans="1:28" ht="13.8">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row>
    <row r="693" spans="1:28" ht="13.8">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row>
    <row r="694" spans="1:28" ht="13.8">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row>
    <row r="695" spans="1:28" ht="13.8">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row>
    <row r="696" spans="1:28" ht="13.8">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row>
    <row r="697" spans="1:28" ht="13.8">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row>
    <row r="698" spans="1:28" ht="13.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row>
    <row r="699" spans="1:28" ht="13.8">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row>
    <row r="700" spans="1:28" ht="13.8">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row>
    <row r="701" spans="1:28" ht="13.8">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row>
    <row r="702" spans="1:28" ht="13.8">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row>
    <row r="703" spans="1:28" ht="13.8">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row>
    <row r="704" spans="1:28" ht="13.8">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row>
    <row r="705" spans="1:28" ht="13.8">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row>
    <row r="706" spans="1:28" ht="13.8">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row>
    <row r="707" spans="1:28" ht="13.8">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row>
    <row r="708" spans="1:28" ht="13.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row>
    <row r="709" spans="1:28" ht="13.8">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row>
    <row r="710" spans="1:28" ht="13.8">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row>
    <row r="711" spans="1:28" ht="13.8">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row>
    <row r="712" spans="1:28" ht="13.8">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row>
    <row r="713" spans="1:28" ht="13.8">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row>
    <row r="714" spans="1:28" ht="13.8">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row>
    <row r="715" spans="1:28" ht="13.8">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row>
    <row r="716" spans="1:28" ht="13.8">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row>
    <row r="717" spans="1:28" ht="13.8">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row>
    <row r="718" spans="1:28" ht="13.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row>
    <row r="719" spans="1:28" ht="13.8">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row>
    <row r="720" spans="1:28" ht="13.8">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row>
    <row r="721" spans="1:28" ht="13.8">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row>
    <row r="722" spans="1:28" ht="13.8">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row>
    <row r="723" spans="1:28" ht="13.8">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row>
    <row r="724" spans="1:28" ht="13.8">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row>
    <row r="725" spans="1:28" ht="13.8">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row>
    <row r="726" spans="1:28" ht="13.8">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row>
    <row r="727" spans="1:28" ht="13.8">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row>
    <row r="728" spans="1:28" ht="13.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row>
    <row r="729" spans="1:28" ht="13.8">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row>
    <row r="730" spans="1:28" ht="13.8">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row>
    <row r="731" spans="1:28" ht="13.8">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row>
    <row r="732" spans="1:28" ht="13.8">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row>
    <row r="733" spans="1:28" ht="13.8">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row>
    <row r="734" spans="1:28" ht="13.8">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row>
    <row r="735" spans="1:28" ht="13.8">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row>
    <row r="736" spans="1:28" ht="13.8">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row>
    <row r="737" spans="1:28" ht="13.8">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row>
    <row r="738" spans="1:28" ht="1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row>
    <row r="739" spans="1:28" ht="13.8">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row>
    <row r="740" spans="1:28" ht="13.8">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row>
    <row r="741" spans="1:28" ht="13.8">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row>
    <row r="742" spans="1:28" ht="13.8">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row>
    <row r="743" spans="1:28" ht="13.8">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row>
    <row r="744" spans="1:28" ht="13.8">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row>
    <row r="745" spans="1:28" ht="13.8">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row>
    <row r="746" spans="1:28" ht="13.8">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row>
    <row r="747" spans="1:28" ht="13.8">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row>
    <row r="748" spans="1:28" ht="13.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row>
    <row r="749" spans="1:28" ht="13.8">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row>
    <row r="750" spans="1:28" ht="13.8">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row>
    <row r="751" spans="1:28" ht="13.8">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row>
    <row r="752" spans="1:28" ht="13.8">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row>
    <row r="753" spans="1:28" ht="13.8">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row>
    <row r="754" spans="1:28" ht="13.8">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row>
    <row r="755" spans="1:28" ht="13.8">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row>
    <row r="756" spans="1:28" ht="13.8">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row>
    <row r="757" spans="1:28" ht="13.8">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row>
    <row r="758" spans="1:28" ht="13.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row>
    <row r="759" spans="1:28" ht="13.8">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row>
    <row r="760" spans="1:28" ht="13.8">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row>
    <row r="761" spans="1:28" ht="13.8">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row>
    <row r="762" spans="1:28" ht="13.8">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row>
    <row r="763" spans="1:28" ht="13.8">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row>
    <row r="764" spans="1:28" ht="13.8">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row>
    <row r="765" spans="1:28" ht="13.8">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row>
    <row r="766" spans="1:28" ht="13.8">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row>
    <row r="767" spans="1:28" ht="13.8">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row>
    <row r="768" spans="1:28" ht="13.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row>
    <row r="769" spans="1:28" ht="13.8">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row>
    <row r="770" spans="1:28" ht="13.8">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row>
    <row r="771" spans="1:28" ht="13.8">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row>
    <row r="772" spans="1:28" ht="13.8">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row>
    <row r="773" spans="1:28" ht="13.8">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row>
    <row r="774" spans="1:28" ht="13.8">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row>
    <row r="775" spans="1:28" ht="13.8">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row>
    <row r="776" spans="1:28" ht="13.8">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row>
    <row r="777" spans="1:28" ht="13.8">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row>
    <row r="778" spans="1:28" ht="13.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row>
    <row r="779" spans="1:28" ht="13.8">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row>
    <row r="780" spans="1:28" ht="13.8">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row>
    <row r="781" spans="1:28" ht="13.8">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row>
    <row r="782" spans="1:28" ht="13.8">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row>
    <row r="783" spans="1:28" ht="13.8">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row>
    <row r="784" spans="1:28" ht="13.8">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row>
    <row r="785" spans="1:28" ht="13.8">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row>
    <row r="786" spans="1:28" ht="13.8">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row>
    <row r="787" spans="1:28" ht="13.8">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row>
    <row r="788" spans="1:28" ht="13.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row>
    <row r="789" spans="1:28" ht="13.8">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row>
    <row r="790" spans="1:28" ht="13.8">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row>
    <row r="791" spans="1:28" ht="13.8">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row>
    <row r="792" spans="1:28" ht="13.8">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row>
    <row r="793" spans="1:28" ht="13.8">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row>
    <row r="794" spans="1:28" ht="13.8">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row>
    <row r="795" spans="1:28" ht="13.8">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row>
    <row r="796" spans="1:28" ht="13.8">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row>
    <row r="797" spans="1:28" ht="13.8">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row>
    <row r="798" spans="1:28" ht="13.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row>
    <row r="799" spans="1:28" ht="13.8">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row>
    <row r="800" spans="1:28" ht="13.8">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row>
    <row r="801" spans="1:28" ht="13.8">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row>
    <row r="802" spans="1:28" ht="13.8">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row>
    <row r="803" spans="1:28" ht="13.8">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row>
    <row r="804" spans="1:28" ht="13.8">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row>
    <row r="805" spans="1:28" ht="13.8">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row>
    <row r="806" spans="1:28" ht="13.8">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row>
    <row r="807" spans="1:28" ht="13.8">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row>
    <row r="808" spans="1:28" ht="13.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row>
    <row r="809" spans="1:28" ht="13.8">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row>
    <row r="810" spans="1:28" ht="13.8">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row>
    <row r="811" spans="1:28" ht="13.8">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row>
    <row r="812" spans="1:28" ht="13.8">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row>
    <row r="813" spans="1:28" ht="13.8">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row>
    <row r="814" spans="1:28" ht="13.8">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row>
    <row r="815" spans="1:28" ht="13.8">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row>
    <row r="816" spans="1:28" ht="13.8">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row>
    <row r="817" spans="1:28" ht="13.8">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row>
    <row r="818" spans="1:28" ht="13.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row>
    <row r="819" spans="1:28" ht="13.8">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row>
    <row r="820" spans="1:28" ht="13.8">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row>
    <row r="821" spans="1:28" ht="13.8">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row>
    <row r="822" spans="1:28" ht="13.8">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row>
    <row r="823" spans="1:28" ht="13.8">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row>
    <row r="824" spans="1:28" ht="13.8">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row>
    <row r="825" spans="1:28" ht="13.8">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row>
    <row r="826" spans="1:28" ht="13.8">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row>
    <row r="827" spans="1:28" ht="13.8">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row>
    <row r="828" spans="1:28" ht="13.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row>
    <row r="829" spans="1:28" ht="13.8">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row>
    <row r="830" spans="1:28" ht="13.8">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row>
    <row r="831" spans="1:28" ht="13.8">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row>
    <row r="832" spans="1:28" ht="13.8">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row>
    <row r="833" spans="1:28" ht="13.8">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row>
    <row r="834" spans="1:28" ht="13.8">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row>
    <row r="835" spans="1:28" ht="13.8">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row>
    <row r="836" spans="1:28" ht="13.8">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row>
    <row r="837" spans="1:28" ht="13.8">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row>
    <row r="838" spans="1:28" ht="1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row>
    <row r="839" spans="1:28" ht="13.8">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row>
    <row r="840" spans="1:28" ht="13.8">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row>
    <row r="841" spans="1:28" ht="13.8">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row>
    <row r="842" spans="1:28" ht="13.8">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row>
    <row r="843" spans="1:28" ht="13.8">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row>
    <row r="844" spans="1:28" ht="13.8">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row>
    <row r="845" spans="1:28" ht="13.8">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row>
    <row r="846" spans="1:28" ht="13.8">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row>
    <row r="847" spans="1:28" ht="13.8">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row>
    <row r="848" spans="1:28" ht="13.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row>
    <row r="849" spans="1:28" ht="13.8">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row>
    <row r="850" spans="1:28" ht="13.8">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row>
    <row r="851" spans="1:28" ht="13.8">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row>
    <row r="852" spans="1:28" ht="13.8">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row>
    <row r="853" spans="1:28" ht="13.8">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row>
    <row r="854" spans="1:28" ht="13.8">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row>
    <row r="855" spans="1:28" ht="13.8">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row>
    <row r="856" spans="1:28" ht="13.8">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row>
    <row r="857" spans="1:28" ht="13.8">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row>
    <row r="858" spans="1:28" ht="13.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row>
    <row r="859" spans="1:28" ht="13.8">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row>
    <row r="860" spans="1:28" ht="13.8">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row>
    <row r="861" spans="1:28" ht="13.8">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row>
    <row r="862" spans="1:28" ht="13.8">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row>
    <row r="863" spans="1:28" ht="13.8">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row>
    <row r="864" spans="1:28" ht="13.8">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row>
    <row r="865" spans="1:28" ht="13.8">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row>
    <row r="866" spans="1:28" ht="13.8">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row>
    <row r="867" spans="1:28" ht="13.8">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row>
    <row r="868" spans="1:28" ht="13.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row>
    <row r="869" spans="1:28" ht="13.8">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row>
    <row r="870" spans="1:28" ht="13.8">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row>
    <row r="871" spans="1:28" ht="13.8">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row>
    <row r="872" spans="1:28" ht="13.8">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row>
    <row r="873" spans="1:28" ht="13.8">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row>
    <row r="874" spans="1:28" ht="13.8">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row>
    <row r="875" spans="1:28" ht="13.8">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row>
    <row r="876" spans="1:28" ht="13.8">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row>
    <row r="877" spans="1:28" ht="13.8">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row>
    <row r="878" spans="1:28" ht="13.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row>
    <row r="879" spans="1:28" ht="13.8">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row>
    <row r="880" spans="1:28" ht="13.8">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row>
    <row r="881" spans="1:28" ht="13.8">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row>
    <row r="882" spans="1:28" ht="13.8">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row>
    <row r="883" spans="1:28" ht="13.8">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row>
    <row r="884" spans="1:28" ht="13.8">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row>
    <row r="885" spans="1:28" ht="13.8">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row>
    <row r="886" spans="1:28" ht="13.8">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row>
    <row r="887" spans="1:28" ht="13.8">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row>
    <row r="888" spans="1:28" ht="13.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row>
    <row r="889" spans="1:28" ht="13.8">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row>
    <row r="890" spans="1:28" ht="13.8">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row>
    <row r="891" spans="1:28" ht="13.8">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row>
    <row r="892" spans="1:28" ht="13.8">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row>
    <row r="893" spans="1:28" ht="13.8">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row>
    <row r="894" spans="1:28" ht="13.8">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row>
    <row r="895" spans="1:28" ht="13.8">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row>
    <row r="896" spans="1:28" ht="13.8">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row>
    <row r="897" spans="1:28" ht="13.8">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row>
    <row r="898" spans="1:28" ht="13.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row>
    <row r="899" spans="1:28" ht="13.8">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row>
    <row r="900" spans="1:28" ht="13.8">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row>
    <row r="901" spans="1:28" ht="13.8">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row>
    <row r="902" spans="1:28" ht="13.8">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row>
    <row r="903" spans="1:28" ht="13.8">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row>
    <row r="904" spans="1:28" ht="13.8">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row>
    <row r="905" spans="1:28" ht="13.8">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row>
    <row r="906" spans="1:28" ht="13.8">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row>
    <row r="907" spans="1:28" ht="13.8">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row>
    <row r="908" spans="1:28" ht="13.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row>
    <row r="909" spans="1:28" ht="13.8">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row>
    <row r="910" spans="1:28" ht="13.8">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row>
    <row r="911" spans="1:28" ht="13.8">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row>
    <row r="912" spans="1:28" ht="13.8">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row>
    <row r="913" spans="1:28" ht="13.8">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row>
    <row r="914" spans="1:28" ht="13.8">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row>
    <row r="915" spans="1:28" ht="13.8">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row>
    <row r="916" spans="1:28" ht="13.8">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row>
    <row r="917" spans="1:28" ht="13.8">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row>
    <row r="918" spans="1:28" ht="13.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row>
    <row r="919" spans="1:28" ht="13.8">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row>
    <row r="920" spans="1:28" ht="13.8">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row>
    <row r="921" spans="1:28" ht="13.8">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row>
    <row r="922" spans="1:28" ht="13.8">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row>
    <row r="923" spans="1:28" ht="13.8">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row>
    <row r="924" spans="1:28" ht="13.8">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row>
    <row r="925" spans="1:28" ht="13.8">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row>
    <row r="926" spans="1:28" ht="13.8">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row>
    <row r="927" spans="1:28" ht="13.8">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row>
    <row r="928" spans="1:28" ht="13.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row>
    <row r="929" spans="1:28" ht="13.8">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row>
    <row r="930" spans="1:28" ht="13.8">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row>
    <row r="931" spans="1:28" ht="13.8">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row>
    <row r="932" spans="1:28" ht="13.8">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row>
    <row r="933" spans="1:28" ht="13.8">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row>
    <row r="934" spans="1:28" ht="13.8">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row>
    <row r="935" spans="1:28" ht="13.8">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row>
    <row r="936" spans="1:28" ht="13.8">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row>
    <row r="937" spans="1:28" ht="13.8">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row>
    <row r="938" spans="1:28" ht="1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row>
    <row r="939" spans="1:28" ht="13.8">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row>
    <row r="940" spans="1:28" ht="13.8">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row>
    <row r="941" spans="1:28" ht="13.8">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row>
    <row r="942" spans="1:28" ht="13.8">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row>
    <row r="943" spans="1:28" ht="13.8">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row>
    <row r="944" spans="1:28" ht="13.8">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row>
    <row r="945" spans="1:28" ht="13.8">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row>
    <row r="946" spans="1:28" ht="13.8">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row>
    <row r="947" spans="1:28" ht="13.8">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row>
    <row r="948" spans="1:28" ht="13.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row>
    <row r="949" spans="1:28" ht="13.8">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row>
    <row r="950" spans="1:28" ht="13.8">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row>
    <row r="951" spans="1:28" ht="13.8">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row>
    <row r="952" spans="1:28" ht="13.8">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row>
    <row r="953" spans="1:28" ht="13.8">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row>
    <row r="954" spans="1:28" ht="13.8">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row>
    <row r="955" spans="1:28" ht="13.8">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row>
    <row r="956" spans="1:28" ht="13.8">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row>
    <row r="957" spans="1:28" ht="13.8">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row>
    <row r="958" spans="1:28" ht="13.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row>
    <row r="959" spans="1:28" ht="13.8">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row>
    <row r="960" spans="1:28" ht="13.8">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row>
    <row r="961" spans="1:28" ht="13.8">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row>
    <row r="962" spans="1:28" ht="13.8">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row>
    <row r="963" spans="1:28" ht="13.8">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row>
    <row r="964" spans="1:28" ht="13.8">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row>
    <row r="965" spans="1:28" ht="13.8">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row>
    <row r="966" spans="1:28" ht="13.8">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row>
    <row r="967" spans="1:28" ht="13.8">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row>
    <row r="968" spans="1:28" ht="13.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row>
    <row r="969" spans="1:28" ht="13.8">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row>
    <row r="970" spans="1:28" ht="13.8">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row>
    <row r="971" spans="1:28" ht="13.8">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row>
    <row r="972" spans="1:28" ht="13.8">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row>
    <row r="973" spans="1:28" ht="13.8">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row>
    <row r="974" spans="1:28" ht="13.8">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row>
    <row r="975" spans="1:28" ht="13.8">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row>
    <row r="976" spans="1:28" ht="13.8">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row>
    <row r="977" spans="1:28" ht="13.8">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row>
    <row r="978" spans="1:28" ht="13.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row>
    <row r="979" spans="1:28" ht="13.8">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row>
    <row r="980" spans="1:28" ht="13.8">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row>
    <row r="981" spans="1:28" ht="13.8">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row>
    <row r="982" spans="1:28" ht="13.8">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row>
    <row r="983" spans="1:28" ht="13.8">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row>
    <row r="984" spans="1:28" ht="13.8">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row>
    <row r="985" spans="1:28" ht="13.8">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row>
    <row r="986" spans="1:28" ht="13.8">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row>
    <row r="987" spans="1:28" ht="13.8">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row>
    <row r="988" spans="1:28" ht="13.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row>
    <row r="989" spans="1:28" ht="13.8">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row>
    <row r="990" spans="1:28" ht="13.8">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row>
    <row r="991" spans="1:28" ht="13.8">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row>
    <row r="992" spans="1:28" ht="13.8">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row>
    <row r="993" spans="1:28" ht="13.8">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row>
    <row r="994" spans="1:28" ht="13.8">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row>
    <row r="995" spans="1:28" ht="13.8">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row>
    <row r="996" spans="1:28" ht="13.8">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row>
    <row r="997" spans="1:28" ht="13.8">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row>
    <row r="998" spans="1:28" ht="13.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row>
    <row r="999" spans="1:28" ht="13.8">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row>
    <row r="1000" spans="1:28" ht="13.8">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row>
    <row r="1001" spans="1:28" ht="13.8">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row>
    <row r="1002" spans="1:28" ht="13.8">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c r="AA1002" s="85"/>
      <c r="AB1002" s="85"/>
    </row>
    <row r="1003" spans="1:28" ht="13.8">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c r="AA1003" s="85"/>
      <c r="AB1003" s="85"/>
    </row>
    <row r="1004" spans="1:28" ht="13.8">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c r="AA1004" s="85"/>
      <c r="AB1004" s="85"/>
    </row>
    <row r="1005" spans="1:28" ht="13.8">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c r="AA1005" s="85"/>
      <c r="AB1005"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B1014"/>
  <sheetViews>
    <sheetView topLeftCell="A31" zoomScaleNormal="100" workbookViewId="0">
      <pane xSplit="1" topLeftCell="I1" activePane="topRight" state="frozen"/>
      <selection pane="topRight" activeCell="J51" sqref="J51"/>
    </sheetView>
  </sheetViews>
  <sheetFormatPr defaultColWidth="12.6640625" defaultRowHeight="15.75" customHeight="1"/>
  <cols>
    <col min="1" max="1" width="44.44140625" style="86" customWidth="1"/>
    <col min="2" max="2" width="5.21875" style="86" hidden="1" customWidth="1"/>
    <col min="3" max="7" width="0" style="86" hidden="1" customWidth="1"/>
    <col min="8" max="8" width="12.6640625" style="86" hidden="1" customWidth="1"/>
    <col min="9" max="16384" width="12.6640625" style="86"/>
  </cols>
  <sheetData>
    <row r="1" spans="1:28" ht="15.75" customHeight="1">
      <c r="A1" s="138" t="s">
        <v>4</v>
      </c>
      <c r="B1" s="87"/>
      <c r="C1" s="87"/>
      <c r="D1" s="87"/>
      <c r="E1" s="87"/>
      <c r="F1" s="87"/>
      <c r="G1" s="87"/>
      <c r="H1" s="87"/>
      <c r="I1" s="87"/>
      <c r="J1" s="87"/>
      <c r="K1" s="87"/>
      <c r="L1" s="87"/>
      <c r="M1" s="87"/>
      <c r="N1" s="87"/>
      <c r="O1" s="87"/>
      <c r="P1" s="87"/>
      <c r="Q1" s="87"/>
      <c r="R1" s="87"/>
      <c r="S1" s="87"/>
      <c r="T1" s="87"/>
      <c r="U1" s="87"/>
      <c r="V1" s="87"/>
      <c r="W1" s="87"/>
      <c r="X1" s="87"/>
      <c r="Y1" s="87"/>
      <c r="Z1" s="87"/>
      <c r="AA1" s="87"/>
      <c r="AB1" s="87"/>
    </row>
    <row r="2" spans="1:28" ht="13.8">
      <c r="A2" s="87" t="s">
        <v>127</v>
      </c>
      <c r="B2" s="87"/>
      <c r="C2" s="87"/>
      <c r="D2" s="87"/>
      <c r="E2" s="87"/>
      <c r="F2" s="87"/>
      <c r="G2" s="87"/>
      <c r="H2" s="87"/>
      <c r="I2" s="87"/>
      <c r="J2" s="87"/>
      <c r="K2" s="87"/>
      <c r="L2" s="87"/>
      <c r="M2" s="87"/>
      <c r="N2" s="87"/>
      <c r="O2" s="87"/>
      <c r="P2" s="87"/>
      <c r="Q2" s="87"/>
      <c r="R2" s="87"/>
      <c r="S2" s="87"/>
      <c r="T2" s="87"/>
      <c r="U2" s="87"/>
      <c r="V2" s="87"/>
      <c r="W2" s="87"/>
      <c r="X2" s="87"/>
      <c r="Y2" s="87"/>
      <c r="Z2" s="87"/>
      <c r="AA2" s="87"/>
      <c r="AB2" s="87"/>
    </row>
    <row r="3" spans="1:28" ht="13.8">
      <c r="A3" s="87" t="s">
        <v>128</v>
      </c>
      <c r="B3" s="87"/>
      <c r="C3" s="87"/>
      <c r="D3" s="87"/>
      <c r="E3" s="87"/>
      <c r="F3" s="87"/>
      <c r="G3" s="87"/>
      <c r="H3" s="87"/>
      <c r="I3" s="87"/>
      <c r="J3" s="87"/>
      <c r="K3" s="87"/>
      <c r="L3" s="87"/>
      <c r="M3" s="87"/>
      <c r="N3" s="87"/>
      <c r="O3" s="87"/>
      <c r="P3" s="87"/>
      <c r="Q3" s="87"/>
      <c r="R3" s="87"/>
      <c r="S3" s="87"/>
      <c r="T3" s="87"/>
      <c r="U3" s="87"/>
      <c r="V3" s="87"/>
      <c r="W3" s="87"/>
      <c r="X3" s="87"/>
      <c r="Y3" s="87"/>
      <c r="Z3" s="87"/>
      <c r="AA3" s="87"/>
      <c r="AB3" s="87"/>
    </row>
    <row r="4" spans="1:28" ht="13.8">
      <c r="A4" s="87" t="s">
        <v>129</v>
      </c>
      <c r="B4" s="87"/>
      <c r="C4" s="87"/>
      <c r="D4" s="87"/>
      <c r="E4" s="156"/>
      <c r="F4" s="156"/>
      <c r="G4" s="156"/>
      <c r="H4" s="156"/>
      <c r="I4" s="117"/>
      <c r="J4" s="156" t="s">
        <v>130</v>
      </c>
      <c r="K4" s="156"/>
      <c r="L4" s="156"/>
      <c r="M4" s="156"/>
      <c r="N4" s="156"/>
      <c r="O4" s="156"/>
      <c r="P4" s="156"/>
      <c r="Q4" s="156"/>
      <c r="R4" s="87"/>
      <c r="S4" s="87"/>
      <c r="T4" s="87"/>
      <c r="U4" s="87"/>
      <c r="V4" s="87"/>
      <c r="W4" s="87"/>
      <c r="X4" s="87"/>
      <c r="Y4" s="87"/>
      <c r="Z4" s="87"/>
      <c r="AA4" s="87"/>
      <c r="AB4" s="87"/>
    </row>
    <row r="5" spans="1:28" ht="13.8">
      <c r="A5" s="87" t="s">
        <v>129</v>
      </c>
      <c r="B5" s="87"/>
      <c r="C5" s="157">
        <v>2016</v>
      </c>
      <c r="D5" s="157">
        <v>2017</v>
      </c>
      <c r="E5" s="102">
        <v>2018</v>
      </c>
      <c r="F5" s="102">
        <v>2019</v>
      </c>
      <c r="G5" s="102">
        <v>2020</v>
      </c>
      <c r="H5" s="102">
        <v>2021</v>
      </c>
      <c r="I5" s="102">
        <v>2022</v>
      </c>
      <c r="J5" s="102">
        <v>2023</v>
      </c>
      <c r="K5" s="102">
        <v>2024</v>
      </c>
      <c r="L5" s="102">
        <v>2025</v>
      </c>
      <c r="M5" s="102">
        <v>2026</v>
      </c>
      <c r="N5" s="102">
        <v>2027</v>
      </c>
      <c r="O5" s="102">
        <v>2028</v>
      </c>
      <c r="P5" s="102">
        <v>2029</v>
      </c>
      <c r="Q5" s="102">
        <v>2030</v>
      </c>
      <c r="R5" s="157">
        <v>2031</v>
      </c>
      <c r="S5" s="157">
        <v>2032</v>
      </c>
      <c r="T5" s="157">
        <v>2033</v>
      </c>
      <c r="U5" s="157">
        <v>2034</v>
      </c>
      <c r="V5" s="87"/>
      <c r="W5" s="87"/>
      <c r="X5" s="87"/>
      <c r="Y5" s="87"/>
      <c r="Z5" s="87"/>
      <c r="AA5" s="87"/>
      <c r="AB5" s="87"/>
    </row>
    <row r="6" spans="1:28" ht="13.8">
      <c r="A6" s="143" t="s">
        <v>131</v>
      </c>
      <c r="B6" s="143"/>
      <c r="C6" s="87"/>
      <c r="D6" s="87"/>
      <c r="E6" s="87"/>
      <c r="F6" s="87"/>
      <c r="G6" s="87"/>
      <c r="H6" s="87"/>
      <c r="I6" s="87"/>
      <c r="J6" s="87"/>
      <c r="K6" s="87"/>
      <c r="L6" s="87"/>
      <c r="M6" s="87"/>
      <c r="N6" s="87"/>
      <c r="O6" s="87"/>
      <c r="P6" s="87"/>
      <c r="Q6" s="87"/>
      <c r="R6" s="143"/>
      <c r="S6" s="143"/>
      <c r="T6" s="143"/>
      <c r="U6" s="87"/>
      <c r="V6" s="87"/>
      <c r="W6" s="87"/>
      <c r="X6" s="87"/>
      <c r="Y6" s="87"/>
      <c r="Z6" s="87"/>
      <c r="AA6" s="87"/>
      <c r="AB6" s="87"/>
    </row>
    <row r="7" spans="1:28" ht="13.8">
      <c r="A7" s="143" t="s">
        <v>132</v>
      </c>
      <c r="B7" s="143"/>
      <c r="C7" s="147">
        <v>104720</v>
      </c>
      <c r="D7" s="147">
        <v>225356</v>
      </c>
      <c r="E7" s="147">
        <v>416863</v>
      </c>
      <c r="F7" s="147">
        <v>740776</v>
      </c>
      <c r="G7" s="147">
        <v>1267744</v>
      </c>
      <c r="H7" s="147">
        <v>2264920</v>
      </c>
      <c r="I7" s="148">
        <v>2711441</v>
      </c>
      <c r="J7" s="158">
        <f>'IS Assumptions'!J19</f>
        <v>3456097.317678709</v>
      </c>
      <c r="K7" s="158">
        <f>'IS Assumptions'!K19</f>
        <v>4061605.567736018</v>
      </c>
      <c r="L7" s="158">
        <f>'IS Assumptions'!L19</f>
        <v>4768515.8319837693</v>
      </c>
      <c r="M7" s="158">
        <f>'IS Assumptions'!M19</f>
        <v>5535531.6035583587</v>
      </c>
      <c r="N7" s="158">
        <f>'IS Assumptions'!N19</f>
        <v>6308015.0388349276</v>
      </c>
      <c r="O7" s="158">
        <f>'IS Assumptions'!O19</f>
        <v>7020820.7382232752</v>
      </c>
      <c r="P7" s="158">
        <f>'IS Assumptions'!P19</f>
        <v>7593017.6283884719</v>
      </c>
      <c r="Q7" s="158">
        <f>'IS Assumptions'!Q19</f>
        <v>8054673.1001944914</v>
      </c>
      <c r="R7" s="158">
        <f>'IS Assumptions'!R19</f>
        <v>8482074.1915735621</v>
      </c>
      <c r="S7" s="158">
        <f>'IS Assumptions'!S19</f>
        <v>8919240.2954072617</v>
      </c>
      <c r="T7" s="158">
        <f>'IS Assumptions'!T19</f>
        <v>9378937.9402325526</v>
      </c>
      <c r="U7" s="158">
        <f>'IS Assumptions'!U19</f>
        <v>9862328.4016721379</v>
      </c>
      <c r="V7" s="87"/>
      <c r="W7" s="87"/>
      <c r="X7" s="87"/>
      <c r="Y7" s="87"/>
      <c r="Z7" s="87"/>
      <c r="AA7" s="87"/>
      <c r="AB7" s="87"/>
    </row>
    <row r="8" spans="1:28" ht="13.8">
      <c r="A8" s="143" t="s">
        <v>133</v>
      </c>
      <c r="B8" s="143"/>
      <c r="C8" s="147">
        <v>293929</v>
      </c>
      <c r="D8" s="147">
        <v>287407</v>
      </c>
      <c r="E8" s="159">
        <v>325643</v>
      </c>
      <c r="F8" s="159">
        <v>388145</v>
      </c>
      <c r="G8" s="159">
        <v>510644</v>
      </c>
      <c r="H8" s="159">
        <v>499664</v>
      </c>
      <c r="I8" s="160">
        <v>415093</v>
      </c>
      <c r="J8" s="161">
        <f>'IS Assumptions'!J21</f>
        <v>421588.53726385866</v>
      </c>
      <c r="K8" s="161">
        <f>'IS Assumptions'!K21</f>
        <v>391120.33367579948</v>
      </c>
      <c r="L8" s="161">
        <f>'IS Assumptions'!L21</f>
        <v>356431.87128209282</v>
      </c>
      <c r="M8" s="161">
        <f>'IS Assumptions'!M21</f>
        <v>318967.317291632</v>
      </c>
      <c r="N8" s="161">
        <f>'IS Assumptions'!N21</f>
        <v>280203.21922117996</v>
      </c>
      <c r="O8" s="161">
        <f>'IS Assumptions'!O21</f>
        <v>241549.18512961821</v>
      </c>
      <c r="P8" s="161">
        <f>'IS Assumptions'!P21</f>
        <v>204261.23742115902</v>
      </c>
      <c r="Q8" s="161">
        <f>'IS Assumptions'!Q21</f>
        <v>171052.445441227</v>
      </c>
      <c r="R8" s="161">
        <f>'IS Assumptions'!R21</f>
        <v>142540.56857285608</v>
      </c>
      <c r="S8" s="161">
        <f>'IS Assumptions'!S21</f>
        <v>118781.19390028954</v>
      </c>
      <c r="T8" s="161">
        <f>'IS Assumptions'!T21</f>
        <v>98982.150595019761</v>
      </c>
      <c r="U8" s="161">
        <f>'IS Assumptions'!U21</f>
        <v>82483.310823088876</v>
      </c>
      <c r="V8" s="87"/>
      <c r="W8" s="87"/>
      <c r="X8" s="87"/>
      <c r="Y8" s="87"/>
      <c r="Z8" s="87"/>
      <c r="AA8" s="87"/>
      <c r="AB8" s="87"/>
    </row>
    <row r="9" spans="1:28" ht="13.8">
      <c r="A9" s="143" t="s">
        <v>134</v>
      </c>
      <c r="B9" s="143"/>
      <c r="C9" s="162">
        <f t="shared" ref="C9:U9" si="0">SUM(C7:C8)</f>
        <v>398649</v>
      </c>
      <c r="D9" s="162">
        <f t="shared" si="0"/>
        <v>512763</v>
      </c>
      <c r="E9" s="163">
        <f t="shared" si="0"/>
        <v>742506</v>
      </c>
      <c r="F9" s="163">
        <f t="shared" si="0"/>
        <v>1128921</v>
      </c>
      <c r="G9" s="163">
        <f t="shared" si="0"/>
        <v>1778388</v>
      </c>
      <c r="H9" s="163">
        <f t="shared" si="0"/>
        <v>2764584</v>
      </c>
      <c r="I9" s="163">
        <f t="shared" si="0"/>
        <v>3126534</v>
      </c>
      <c r="J9" s="164">
        <f t="shared" si="0"/>
        <v>3877685.8549425676</v>
      </c>
      <c r="K9" s="164">
        <f t="shared" si="0"/>
        <v>4452725.9014118174</v>
      </c>
      <c r="L9" s="164">
        <f t="shared" si="0"/>
        <v>5124947.7032658625</v>
      </c>
      <c r="M9" s="164">
        <f t="shared" si="0"/>
        <v>5854498.920849991</v>
      </c>
      <c r="N9" s="164">
        <f t="shared" si="0"/>
        <v>6588218.2580561079</v>
      </c>
      <c r="O9" s="164">
        <f t="shared" si="0"/>
        <v>7262369.9233528934</v>
      </c>
      <c r="P9" s="164">
        <f t="shared" si="0"/>
        <v>7797278.8658096306</v>
      </c>
      <c r="Q9" s="164">
        <f t="shared" si="0"/>
        <v>8225725.5456357189</v>
      </c>
      <c r="R9" s="164">
        <f t="shared" si="0"/>
        <v>8624614.7601464186</v>
      </c>
      <c r="S9" s="164">
        <f t="shared" si="0"/>
        <v>9038021.4893075507</v>
      </c>
      <c r="T9" s="164">
        <f t="shared" si="0"/>
        <v>9477920.0908275731</v>
      </c>
      <c r="U9" s="164">
        <f t="shared" si="0"/>
        <v>9944811.7124952264</v>
      </c>
      <c r="V9" s="87"/>
      <c r="W9" s="87"/>
      <c r="X9" s="87"/>
      <c r="Y9" s="87"/>
      <c r="Z9" s="87"/>
      <c r="AA9" s="87"/>
      <c r="AB9" s="87"/>
    </row>
    <row r="10" spans="1:28" ht="13.8">
      <c r="A10" s="143" t="s">
        <v>457</v>
      </c>
      <c r="B10" s="143"/>
      <c r="C10" s="148"/>
      <c r="D10" s="165">
        <f t="shared" ref="D10:U10" si="1">(D9/C9)-1</f>
        <v>0.28625181550687451</v>
      </c>
      <c r="E10" s="165">
        <f t="shared" si="1"/>
        <v>0.44804909870641985</v>
      </c>
      <c r="F10" s="165">
        <f t="shared" si="1"/>
        <v>0.52042003700980199</v>
      </c>
      <c r="G10" s="165">
        <f t="shared" si="1"/>
        <v>0.57529889159648895</v>
      </c>
      <c r="H10" s="165">
        <f t="shared" si="1"/>
        <v>0.55454490246222976</v>
      </c>
      <c r="I10" s="165">
        <f t="shared" si="1"/>
        <v>0.13092385689854247</v>
      </c>
      <c r="J10" s="165">
        <f t="shared" si="1"/>
        <v>0.24025065933796586</v>
      </c>
      <c r="K10" s="165">
        <f t="shared" si="1"/>
        <v>0.14829464479085974</v>
      </c>
      <c r="L10" s="165">
        <f t="shared" si="1"/>
        <v>0.15096860142253643</v>
      </c>
      <c r="M10" s="165">
        <f t="shared" si="1"/>
        <v>0.14235290969295611</v>
      </c>
      <c r="N10" s="165">
        <f t="shared" si="1"/>
        <v>0.12532572763709582</v>
      </c>
      <c r="O10" s="165">
        <f t="shared" si="1"/>
        <v>0.10232685665391084</v>
      </c>
      <c r="P10" s="165">
        <f t="shared" si="1"/>
        <v>7.3654874111642732E-2</v>
      </c>
      <c r="Q10" s="165">
        <f t="shared" si="1"/>
        <v>5.4948230940512932E-2</v>
      </c>
      <c r="R10" s="165">
        <f t="shared" si="1"/>
        <v>4.8492891271133765E-2</v>
      </c>
      <c r="S10" s="165">
        <f t="shared" si="1"/>
        <v>4.7933355942047173E-2</v>
      </c>
      <c r="T10" s="165">
        <f t="shared" si="1"/>
        <v>4.8672002167780226E-2</v>
      </c>
      <c r="U10" s="165">
        <f t="shared" si="1"/>
        <v>4.9260978906067843E-2</v>
      </c>
      <c r="V10" s="87"/>
      <c r="W10" s="87"/>
      <c r="X10" s="87"/>
      <c r="Y10" s="87"/>
      <c r="Z10" s="87"/>
      <c r="AA10" s="87"/>
      <c r="AB10" s="87"/>
    </row>
    <row r="11" spans="1:28" ht="13.8">
      <c r="A11" s="143"/>
      <c r="B11" s="143"/>
      <c r="C11" s="148"/>
      <c r="D11" s="148"/>
      <c r="E11" s="148"/>
      <c r="F11" s="148"/>
      <c r="G11" s="148"/>
      <c r="H11" s="148"/>
      <c r="I11" s="148"/>
      <c r="J11" s="143"/>
      <c r="K11" s="143"/>
      <c r="L11" s="143"/>
      <c r="M11" s="143"/>
      <c r="N11" s="143"/>
      <c r="O11" s="143"/>
      <c r="P11" s="143"/>
      <c r="Q11" s="143"/>
      <c r="R11" s="143"/>
      <c r="S11" s="143"/>
      <c r="T11" s="143"/>
      <c r="U11" s="143"/>
      <c r="V11" s="87"/>
      <c r="W11" s="87"/>
      <c r="X11" s="87"/>
      <c r="Y11" s="87"/>
      <c r="Z11" s="87"/>
      <c r="AA11" s="87"/>
      <c r="AB11" s="87"/>
    </row>
    <row r="12" spans="1:28" ht="13.8">
      <c r="A12" s="143" t="s">
        <v>135</v>
      </c>
      <c r="B12" s="143"/>
      <c r="C12" s="148"/>
      <c r="D12" s="148"/>
      <c r="E12" s="148"/>
      <c r="F12" s="148"/>
      <c r="G12" s="148"/>
      <c r="H12" s="148"/>
      <c r="I12" s="148"/>
      <c r="J12" s="143"/>
      <c r="K12" s="143"/>
      <c r="L12" s="143"/>
      <c r="M12" s="143"/>
      <c r="N12" s="143"/>
      <c r="O12" s="143"/>
      <c r="P12" s="143"/>
      <c r="Q12" s="143"/>
      <c r="R12" s="143"/>
      <c r="S12" s="143"/>
      <c r="T12" s="143"/>
      <c r="U12" s="143"/>
      <c r="V12" s="87"/>
      <c r="W12" s="87"/>
      <c r="X12" s="87"/>
      <c r="Y12" s="87"/>
      <c r="Z12" s="87"/>
      <c r="AA12" s="87"/>
      <c r="AB12" s="87"/>
    </row>
    <row r="13" spans="1:28" ht="13.8">
      <c r="A13" s="143" t="s">
        <v>132</v>
      </c>
      <c r="B13" s="143"/>
      <c r="C13" s="147">
        <v>27783</v>
      </c>
      <c r="D13" s="147">
        <v>54826</v>
      </c>
      <c r="E13" s="147">
        <v>120543</v>
      </c>
      <c r="F13" s="147">
        <v>262655</v>
      </c>
      <c r="G13" s="147">
        <v>503177</v>
      </c>
      <c r="H13" s="147">
        <v>818506</v>
      </c>
      <c r="I13" s="148">
        <v>1179675</v>
      </c>
      <c r="J13" s="158">
        <f>'IS Assumptions'!J27</f>
        <v>1634986.6192862417</v>
      </c>
      <c r="K13" s="158">
        <f>'IS Assumptions'!K27</f>
        <v>1807711.3190885819</v>
      </c>
      <c r="L13" s="158">
        <f>'IS Assumptions'!L27</f>
        <v>2026967.7344023176</v>
      </c>
      <c r="M13" s="158">
        <f>'IS Assumptions'!M27</f>
        <v>2242294.862409763</v>
      </c>
      <c r="N13" s="158">
        <f>'IS Assumptions'!N27</f>
        <v>2429046.8096823464</v>
      </c>
      <c r="O13" s="158">
        <f>'IS Assumptions'!O27</f>
        <v>2563112.6844119867</v>
      </c>
      <c r="P13" s="158">
        <f>'IS Assumptions'!P27</f>
        <v>2696076.1919076787</v>
      </c>
      <c r="Q13" s="158">
        <f>'IS Assumptions'!Q27</f>
        <v>2779450.8933737203</v>
      </c>
      <c r="R13" s="158">
        <f>'IS Assumptions'!R27</f>
        <v>2808186.4677213337</v>
      </c>
      <c r="S13" s="158">
        <f>'IS Assumptions'!S27</f>
        <v>2952920.398267691</v>
      </c>
      <c r="T13" s="158">
        <f>'IS Assumptions'!T27</f>
        <v>3105113.9155944074</v>
      </c>
      <c r="U13" s="158">
        <f>'IS Assumptions'!U27</f>
        <v>3265151.4868041435</v>
      </c>
      <c r="V13" s="87"/>
      <c r="W13" s="87"/>
      <c r="X13" s="87"/>
      <c r="Y13" s="87"/>
      <c r="Z13" s="87"/>
      <c r="AA13" s="87"/>
      <c r="AB13" s="87"/>
    </row>
    <row r="14" spans="1:28" ht="13.8">
      <c r="A14" s="143" t="s">
        <v>133</v>
      </c>
      <c r="B14" s="143"/>
      <c r="C14" s="147">
        <v>249821</v>
      </c>
      <c r="D14" s="147">
        <v>258104</v>
      </c>
      <c r="E14" s="159">
        <v>289815</v>
      </c>
      <c r="F14" s="159">
        <v>371042</v>
      </c>
      <c r="G14" s="159">
        <v>466992</v>
      </c>
      <c r="H14" s="159">
        <v>537478</v>
      </c>
      <c r="I14" s="160">
        <v>505737</v>
      </c>
      <c r="J14" s="161">
        <f>'IS Assumptions'!J29</f>
        <v>421588.53726385866</v>
      </c>
      <c r="K14" s="161">
        <f>'IS Assumptions'!K29</f>
        <v>387209.13033904147</v>
      </c>
      <c r="L14" s="161">
        <f>'IS Assumptions'!L29</f>
        <v>349303.23385645094</v>
      </c>
      <c r="M14" s="161">
        <f>'IS Assumptions'!M29</f>
        <v>309398.29777288303</v>
      </c>
      <c r="N14" s="161">
        <f>'IS Assumptions'!N29</f>
        <v>270396.10654843866</v>
      </c>
      <c r="O14" s="161">
        <f>'IS Assumptions'!O29</f>
        <v>231887.21772443349</v>
      </c>
      <c r="P14" s="161">
        <f>'IS Assumptions'!P29</f>
        <v>195069.48173720686</v>
      </c>
      <c r="Q14" s="161">
        <f>'IS Assumptions'!Q29</f>
        <v>162499.82316916564</v>
      </c>
      <c r="R14" s="161">
        <f>'IS Assumptions'!R29</f>
        <v>135413.54014421327</v>
      </c>
      <c r="S14" s="161">
        <f>'IS Assumptions'!S29</f>
        <v>112842.13420527506</v>
      </c>
      <c r="T14" s="161">
        <f>'IS Assumptions'!T29</f>
        <v>94033.043065268779</v>
      </c>
      <c r="U14" s="161">
        <f>'IS Assumptions'!U29</f>
        <v>78359.145281934427</v>
      </c>
      <c r="V14" s="87"/>
      <c r="W14" s="87"/>
      <c r="X14" s="87"/>
      <c r="Y14" s="87"/>
      <c r="Z14" s="87"/>
      <c r="AA14" s="87"/>
      <c r="AB14" s="87"/>
    </row>
    <row r="15" spans="1:28" ht="13.8">
      <c r="A15" s="143" t="s">
        <v>136</v>
      </c>
      <c r="B15" s="143"/>
      <c r="C15" s="162">
        <f t="shared" ref="C15:U15" si="2">SUM(C13:C14)</f>
        <v>277604</v>
      </c>
      <c r="D15" s="162">
        <f t="shared" si="2"/>
        <v>312930</v>
      </c>
      <c r="E15" s="163">
        <f t="shared" si="2"/>
        <v>410358</v>
      </c>
      <c r="F15" s="163">
        <f t="shared" si="2"/>
        <v>633697</v>
      </c>
      <c r="G15" s="163">
        <f t="shared" si="2"/>
        <v>970169</v>
      </c>
      <c r="H15" s="163">
        <f t="shared" si="2"/>
        <v>1355984</v>
      </c>
      <c r="I15" s="163">
        <f t="shared" si="2"/>
        <v>1685412</v>
      </c>
      <c r="J15" s="164">
        <f t="shared" si="2"/>
        <v>2056575.1565501003</v>
      </c>
      <c r="K15" s="164">
        <f t="shared" si="2"/>
        <v>2194920.4494276233</v>
      </c>
      <c r="L15" s="164">
        <f t="shared" si="2"/>
        <v>2376270.9682587683</v>
      </c>
      <c r="M15" s="164">
        <f t="shared" si="2"/>
        <v>2551693.160182646</v>
      </c>
      <c r="N15" s="164">
        <f t="shared" si="2"/>
        <v>2699442.9162307852</v>
      </c>
      <c r="O15" s="164">
        <f t="shared" si="2"/>
        <v>2794999.9021364204</v>
      </c>
      <c r="P15" s="164">
        <f t="shared" si="2"/>
        <v>2891145.6736448854</v>
      </c>
      <c r="Q15" s="164">
        <f t="shared" si="2"/>
        <v>2941950.7165428861</v>
      </c>
      <c r="R15" s="164">
        <f t="shared" si="2"/>
        <v>2943600.0078655472</v>
      </c>
      <c r="S15" s="164">
        <f t="shared" si="2"/>
        <v>3065762.5324729662</v>
      </c>
      <c r="T15" s="164">
        <f t="shared" si="2"/>
        <v>3199146.9586596759</v>
      </c>
      <c r="U15" s="164">
        <f t="shared" si="2"/>
        <v>3343510.6320860782</v>
      </c>
      <c r="V15" s="87"/>
      <c r="W15" s="87"/>
      <c r="X15" s="87"/>
      <c r="Y15" s="87"/>
      <c r="Z15" s="87"/>
      <c r="AA15" s="87"/>
      <c r="AB15" s="87"/>
    </row>
    <row r="16" spans="1:28" ht="13.8">
      <c r="A16" s="143" t="s">
        <v>137</v>
      </c>
      <c r="B16" s="143"/>
      <c r="C16" s="148"/>
      <c r="D16" s="148"/>
      <c r="E16" s="148"/>
      <c r="F16" s="148"/>
      <c r="G16" s="148"/>
      <c r="H16" s="148"/>
      <c r="I16" s="148"/>
      <c r="J16" s="143"/>
      <c r="K16" s="143"/>
      <c r="L16" s="143"/>
      <c r="M16" s="143"/>
      <c r="N16" s="143"/>
      <c r="O16" s="143"/>
      <c r="P16" s="143"/>
      <c r="Q16" s="143"/>
      <c r="R16" s="143"/>
      <c r="S16" s="143"/>
      <c r="T16" s="143"/>
      <c r="U16" s="143"/>
      <c r="V16" s="87"/>
      <c r="W16" s="87"/>
      <c r="X16" s="87"/>
      <c r="Y16" s="87"/>
      <c r="Z16" s="87"/>
      <c r="AA16" s="87"/>
      <c r="AB16" s="87"/>
    </row>
    <row r="17" spans="1:28" ht="13.8">
      <c r="A17" s="143" t="s">
        <v>132</v>
      </c>
      <c r="B17" s="143"/>
      <c r="C17" s="147">
        <v>76937</v>
      </c>
      <c r="D17" s="147">
        <v>170530</v>
      </c>
      <c r="E17" s="147">
        <v>296320</v>
      </c>
      <c r="F17" s="147">
        <v>478121</v>
      </c>
      <c r="G17" s="147">
        <v>764567</v>
      </c>
      <c r="H17" s="147">
        <v>1446414</v>
      </c>
      <c r="I17" s="148">
        <v>1531766</v>
      </c>
      <c r="J17" s="158">
        <f>'IS Assumptions'!J35</f>
        <v>1821110.6983924673</v>
      </c>
      <c r="K17" s="158">
        <f>'IS Assumptions'!K35</f>
        <v>2253894.248647436</v>
      </c>
      <c r="L17" s="158">
        <f>'IS Assumptions'!L35</f>
        <v>2741548.0975814518</v>
      </c>
      <c r="M17" s="158">
        <f>'IS Assumptions'!M35</f>
        <v>3293236.7411485957</v>
      </c>
      <c r="N17" s="158">
        <f>'IS Assumptions'!N35</f>
        <v>3878968.2291525812</v>
      </c>
      <c r="O17" s="158">
        <f>'IS Assumptions'!O35</f>
        <v>4457708.0538112884</v>
      </c>
      <c r="P17" s="158">
        <f>'IS Assumptions'!P35</f>
        <v>4896941.4364807932</v>
      </c>
      <c r="Q17" s="158">
        <f>'IS Assumptions'!Q35</f>
        <v>5275222.2068207711</v>
      </c>
      <c r="R17" s="158">
        <f>'IS Assumptions'!R35</f>
        <v>5673887.7238522284</v>
      </c>
      <c r="S17" s="158">
        <f>'IS Assumptions'!S35</f>
        <v>5966319.8971395707</v>
      </c>
      <c r="T17" s="158">
        <f>'IS Assumptions'!T35</f>
        <v>6273824.0246381452</v>
      </c>
      <c r="U17" s="158">
        <f>'IS Assumptions'!U35</f>
        <v>6597176.9148679944</v>
      </c>
      <c r="V17" s="87"/>
      <c r="W17" s="87"/>
      <c r="X17" s="87"/>
      <c r="Y17" s="87"/>
      <c r="Z17" s="87"/>
      <c r="AA17" s="87"/>
      <c r="AB17" s="87"/>
    </row>
    <row r="18" spans="1:28" ht="13.8">
      <c r="A18" s="143" t="s">
        <v>133</v>
      </c>
      <c r="B18" s="143"/>
      <c r="C18" s="147">
        <v>44108</v>
      </c>
      <c r="D18" s="147">
        <v>29303</v>
      </c>
      <c r="E18" s="159">
        <v>35828</v>
      </c>
      <c r="F18" s="159">
        <v>17103</v>
      </c>
      <c r="G18" s="159">
        <v>43652</v>
      </c>
      <c r="H18" s="159">
        <v>-37814</v>
      </c>
      <c r="I18" s="160">
        <v>-90644</v>
      </c>
      <c r="J18" s="161">
        <f>'IS Assumptions'!J37</f>
        <v>0</v>
      </c>
      <c r="K18" s="161">
        <f>'IS Assumptions'!K37</f>
        <v>3911.2033367579947</v>
      </c>
      <c r="L18" s="161">
        <f>'IS Assumptions'!L37</f>
        <v>7128.6374256418567</v>
      </c>
      <c r="M18" s="161">
        <f>'IS Assumptions'!M37</f>
        <v>9569.0195187489589</v>
      </c>
      <c r="N18" s="161">
        <f>'IS Assumptions'!N37</f>
        <v>9807.1126727412993</v>
      </c>
      <c r="O18" s="161">
        <f>'IS Assumptions'!O37</f>
        <v>9661.9674051847287</v>
      </c>
      <c r="P18" s="161">
        <f>'IS Assumptions'!P37</f>
        <v>9191.7556839521549</v>
      </c>
      <c r="Q18" s="161">
        <f>'IS Assumptions'!Q37</f>
        <v>8552.6222720613496</v>
      </c>
      <c r="R18" s="161">
        <f>'IS Assumptions'!R37</f>
        <v>7127.0284286428041</v>
      </c>
      <c r="S18" s="161">
        <f>'IS Assumptions'!S37</f>
        <v>5939.0596950144773</v>
      </c>
      <c r="T18" s="161">
        <f>'IS Assumptions'!T37</f>
        <v>4949.1075297509888</v>
      </c>
      <c r="U18" s="161">
        <f>'IS Assumptions'!U37</f>
        <v>4124.1655411544443</v>
      </c>
      <c r="V18" s="87"/>
      <c r="W18" s="87"/>
      <c r="X18" s="87"/>
      <c r="Y18" s="87"/>
      <c r="Z18" s="87"/>
      <c r="AA18" s="87"/>
      <c r="AB18" s="87"/>
    </row>
    <row r="19" spans="1:28" ht="13.8">
      <c r="A19" s="143" t="s">
        <v>138</v>
      </c>
      <c r="B19" s="143"/>
      <c r="C19" s="162">
        <f t="shared" ref="C19:I19" si="3">SUM(C17:C18)</f>
        <v>121045</v>
      </c>
      <c r="D19" s="162">
        <f t="shared" si="3"/>
        <v>199833</v>
      </c>
      <c r="E19" s="163">
        <f t="shared" si="3"/>
        <v>332148</v>
      </c>
      <c r="F19" s="163">
        <f t="shared" si="3"/>
        <v>495224</v>
      </c>
      <c r="G19" s="163">
        <f t="shared" si="3"/>
        <v>808219</v>
      </c>
      <c r="H19" s="163">
        <f t="shared" si="3"/>
        <v>1408600</v>
      </c>
      <c r="I19" s="163">
        <f t="shared" si="3"/>
        <v>1441122</v>
      </c>
      <c r="J19" s="163">
        <f t="shared" ref="J19:U19" si="4">SUM(J17:J18)</f>
        <v>1821110.6983924673</v>
      </c>
      <c r="K19" s="163">
        <f t="shared" si="4"/>
        <v>2257805.4519841941</v>
      </c>
      <c r="L19" s="163">
        <f t="shared" si="4"/>
        <v>2748676.7350070938</v>
      </c>
      <c r="M19" s="163">
        <f t="shared" si="4"/>
        <v>3302805.7606673446</v>
      </c>
      <c r="N19" s="163">
        <f t="shared" si="4"/>
        <v>3888775.3418253227</v>
      </c>
      <c r="O19" s="163">
        <f t="shared" si="4"/>
        <v>4467370.0212164735</v>
      </c>
      <c r="P19" s="163">
        <f t="shared" si="4"/>
        <v>4906133.1921647452</v>
      </c>
      <c r="Q19" s="163">
        <f t="shared" si="4"/>
        <v>5283774.8290928323</v>
      </c>
      <c r="R19" s="163">
        <f t="shared" si="4"/>
        <v>5681014.7522808714</v>
      </c>
      <c r="S19" s="163">
        <f t="shared" si="4"/>
        <v>5972258.9568345854</v>
      </c>
      <c r="T19" s="163">
        <f t="shared" si="4"/>
        <v>6278773.1321678963</v>
      </c>
      <c r="U19" s="163">
        <f t="shared" si="4"/>
        <v>6601301.0804091487</v>
      </c>
      <c r="V19" s="87"/>
      <c r="W19" s="87"/>
      <c r="X19" s="87"/>
      <c r="Y19" s="87"/>
      <c r="Z19" s="87"/>
      <c r="AA19" s="87"/>
      <c r="AB19" s="87"/>
    </row>
    <row r="20" spans="1:28" ht="13.8">
      <c r="A20" s="143" t="s">
        <v>458</v>
      </c>
      <c r="B20" s="143"/>
      <c r="C20" s="165">
        <f t="shared" ref="C20:U20" si="5">C19/C9</f>
        <v>0.30363803747156021</v>
      </c>
      <c r="D20" s="165">
        <f t="shared" si="5"/>
        <v>0.3897180568800791</v>
      </c>
      <c r="E20" s="165">
        <f t="shared" si="5"/>
        <v>0.44733375891911986</v>
      </c>
      <c r="F20" s="165">
        <f t="shared" si="5"/>
        <v>0.43867019924334827</v>
      </c>
      <c r="G20" s="165">
        <f t="shared" si="5"/>
        <v>0.45446719163647076</v>
      </c>
      <c r="H20" s="165">
        <f t="shared" si="5"/>
        <v>0.50951607909182717</v>
      </c>
      <c r="I20" s="165">
        <f t="shared" si="5"/>
        <v>0.46093277731826998</v>
      </c>
      <c r="J20" s="165">
        <f t="shared" si="5"/>
        <v>0.46963853352670309</v>
      </c>
      <c r="K20" s="165">
        <f t="shared" si="5"/>
        <v>0.507061405075106</v>
      </c>
      <c r="L20" s="165">
        <f t="shared" si="5"/>
        <v>0.53633264067368047</v>
      </c>
      <c r="M20" s="165">
        <f t="shared" si="5"/>
        <v>0.56414832512904856</v>
      </c>
      <c r="N20" s="165">
        <f t="shared" si="5"/>
        <v>0.59026206927345004</v>
      </c>
      <c r="O20" s="165">
        <f t="shared" si="5"/>
        <v>0.61513941982646581</v>
      </c>
      <c r="P20" s="165">
        <f t="shared" si="5"/>
        <v>0.6292109435354043</v>
      </c>
      <c r="Q20" s="165">
        <f t="shared" si="5"/>
        <v>0.642347571625</v>
      </c>
      <c r="R20" s="165">
        <f t="shared" si="5"/>
        <v>0.65869779813613683</v>
      </c>
      <c r="S20" s="165">
        <f t="shared" si="5"/>
        <v>0.66079273698342922</v>
      </c>
      <c r="T20" s="165">
        <f t="shared" si="5"/>
        <v>0.66246318517121616</v>
      </c>
      <c r="U20" s="165">
        <f t="shared" si="5"/>
        <v>0.66379347053045745</v>
      </c>
      <c r="V20" s="87"/>
      <c r="W20" s="87"/>
      <c r="X20" s="87"/>
      <c r="Y20" s="87"/>
      <c r="Z20" s="87"/>
      <c r="AA20" s="87"/>
      <c r="AB20" s="87"/>
    </row>
    <row r="21" spans="1:28" ht="13.8">
      <c r="A21" s="143"/>
      <c r="B21" s="143"/>
      <c r="C21" s="148"/>
      <c r="D21" s="148"/>
      <c r="E21" s="148"/>
      <c r="F21" s="148"/>
      <c r="G21" s="148"/>
      <c r="H21" s="148"/>
      <c r="I21" s="148"/>
      <c r="J21" s="143"/>
      <c r="K21" s="143"/>
      <c r="L21" s="143"/>
      <c r="M21" s="143"/>
      <c r="N21" s="143"/>
      <c r="O21" s="143"/>
      <c r="P21" s="143"/>
      <c r="Q21" s="143"/>
      <c r="R21" s="143"/>
      <c r="S21" s="143"/>
      <c r="T21" s="143"/>
      <c r="U21" s="143"/>
      <c r="V21" s="87"/>
      <c r="W21" s="87"/>
      <c r="X21" s="87"/>
      <c r="Y21" s="87"/>
      <c r="Z21" s="87"/>
      <c r="AA21" s="87"/>
      <c r="AB21" s="87"/>
    </row>
    <row r="22" spans="1:28" ht="13.8">
      <c r="A22" s="143" t="s">
        <v>139</v>
      </c>
      <c r="B22" s="143"/>
      <c r="C22" s="148"/>
      <c r="D22" s="148"/>
      <c r="E22" s="148"/>
      <c r="F22" s="148"/>
      <c r="G22" s="148"/>
      <c r="H22" s="148"/>
      <c r="I22" s="148"/>
      <c r="J22" s="143"/>
      <c r="K22" s="143"/>
      <c r="L22" s="143"/>
      <c r="M22" s="143"/>
      <c r="N22" s="143"/>
      <c r="O22" s="143"/>
      <c r="P22" s="143"/>
      <c r="Q22" s="143"/>
      <c r="R22" s="143"/>
      <c r="S22" s="143"/>
      <c r="T22" s="143"/>
      <c r="U22" s="143"/>
      <c r="V22" s="87"/>
      <c r="W22" s="87"/>
      <c r="X22" s="87"/>
      <c r="Y22" s="87"/>
      <c r="Z22" s="87"/>
      <c r="AA22" s="87"/>
      <c r="AB22" s="87"/>
    </row>
    <row r="23" spans="1:28" ht="13.8">
      <c r="A23" s="143" t="s">
        <v>140</v>
      </c>
      <c r="B23" s="143"/>
      <c r="C23" s="147">
        <v>76177</v>
      </c>
      <c r="D23" s="147">
        <v>107945</v>
      </c>
      <c r="E23" s="147">
        <v>170692</v>
      </c>
      <c r="F23" s="147">
        <v>265011</v>
      </c>
      <c r="G23" s="147">
        <v>355784</v>
      </c>
      <c r="H23" s="147">
        <v>461602</v>
      </c>
      <c r="I23" s="148">
        <v>788913</v>
      </c>
      <c r="J23" s="158">
        <f>'IS Assumptions'!J43</f>
        <v>1056003.5855091442</v>
      </c>
      <c r="K23" s="158">
        <f>'IS Assumptions'!K43</f>
        <v>1301657.7801483334</v>
      </c>
      <c r="L23" s="158">
        <f>'IS Assumptions'!L43</f>
        <v>1281236.9258164656</v>
      </c>
      <c r="M23" s="158">
        <f>'IS Assumptions'!M43</f>
        <v>1375807.2463997479</v>
      </c>
      <c r="N23" s="158">
        <f>'IS Assumptions'!N43</f>
        <v>1449408.0167723435</v>
      </c>
      <c r="O23" s="158">
        <f>'IS Assumptions'!O43</f>
        <v>1488785.8342873428</v>
      </c>
      <c r="P23" s="158">
        <f>'IS Assumptions'!P43</f>
        <v>1520469.3788328776</v>
      </c>
      <c r="Q23" s="158">
        <f>'IS Assumptions'!Q43</f>
        <v>1604016.4813989648</v>
      </c>
      <c r="R23" s="158">
        <f>'IS Assumptions'!R43</f>
        <v>1681799.8782285512</v>
      </c>
      <c r="S23" s="158">
        <f>'IS Assumptions'!S43</f>
        <v>1762414.1904149719</v>
      </c>
      <c r="T23" s="158">
        <f>'IS Assumptions'!T43</f>
        <v>1848194.4177113762</v>
      </c>
      <c r="U23" s="158">
        <f>'IS Assumptions'!U43</f>
        <v>1939238.2839365688</v>
      </c>
      <c r="V23" s="87"/>
      <c r="W23" s="87"/>
      <c r="X23" s="87"/>
      <c r="Y23" s="87"/>
      <c r="Z23" s="87"/>
      <c r="AA23" s="87"/>
      <c r="AB23" s="87"/>
    </row>
    <row r="24" spans="1:28" ht="13.8">
      <c r="A24" s="143" t="s">
        <v>141</v>
      </c>
      <c r="B24" s="143"/>
      <c r="C24" s="147">
        <v>52888</v>
      </c>
      <c r="D24" s="147">
        <v>64069</v>
      </c>
      <c r="E24" s="147">
        <v>102780</v>
      </c>
      <c r="F24" s="147">
        <v>178855</v>
      </c>
      <c r="G24" s="147">
        <v>299457</v>
      </c>
      <c r="H24" s="147">
        <v>455601</v>
      </c>
      <c r="I24" s="148">
        <v>838419</v>
      </c>
      <c r="J24" s="158">
        <f>'IS Assumptions'!J45</f>
        <v>1117403.4346503294</v>
      </c>
      <c r="K24" s="158">
        <f>'IS Assumptions'!K45</f>
        <v>1372162.8981081231</v>
      </c>
      <c r="L24" s="158">
        <f>'IS Assumptions'!L45</f>
        <v>1434985.3569144416</v>
      </c>
      <c r="M24" s="158">
        <f>'IS Assumptions'!M45</f>
        <v>1633405.1989171477</v>
      </c>
      <c r="N24" s="158">
        <f>'IS Assumptions'!N45</f>
        <v>1831524.6757395982</v>
      </c>
      <c r="O24" s="158">
        <f>'IS Assumptions'!O45</f>
        <v>2011676.4687687517</v>
      </c>
      <c r="P24" s="158">
        <f>'IS Assumptions'!P45</f>
        <v>2152048.9669634583</v>
      </c>
      <c r="Q24" s="158">
        <f>'IS Assumptions'!Q45</f>
        <v>2270300.2505954588</v>
      </c>
      <c r="R24" s="158">
        <f>'IS Assumptions'!R45</f>
        <v>2380393.6738004116</v>
      </c>
      <c r="S24" s="158">
        <f>'IS Assumptions'!S45</f>
        <v>2494493.9310488841</v>
      </c>
      <c r="T24" s="158">
        <f>'IS Assumptions'!T45</f>
        <v>2615905.9450684106</v>
      </c>
      <c r="U24" s="158">
        <f>'IS Assumptions'!U45</f>
        <v>2744768.0326486826</v>
      </c>
      <c r="V24" s="87"/>
      <c r="W24" s="87"/>
      <c r="X24" s="87"/>
      <c r="Y24" s="87"/>
      <c r="Z24" s="87"/>
      <c r="AA24" s="87"/>
      <c r="AB24" s="87"/>
    </row>
    <row r="25" spans="1:28" ht="13.8">
      <c r="A25" s="143" t="s">
        <v>142</v>
      </c>
      <c r="B25" s="143"/>
      <c r="C25" s="147">
        <v>35341</v>
      </c>
      <c r="D25" s="147">
        <v>47435</v>
      </c>
      <c r="E25" s="159">
        <v>71972</v>
      </c>
      <c r="F25" s="159">
        <v>116417</v>
      </c>
      <c r="G25" s="159">
        <v>173231</v>
      </c>
      <c r="H25" s="159">
        <v>256297</v>
      </c>
      <c r="I25" s="160">
        <v>344678</v>
      </c>
      <c r="J25" s="161">
        <f>'IS Assumptions'!J47</f>
        <v>387768.58549425681</v>
      </c>
      <c r="K25" s="161">
        <f>'IS Assumptions'!K47</f>
        <v>400745.33112706355</v>
      </c>
      <c r="L25" s="161">
        <f>'IS Assumptions'!L47</f>
        <v>256247.38516329313</v>
      </c>
      <c r="M25" s="161">
        <f>'IS Assumptions'!M47</f>
        <v>289797.69658207457</v>
      </c>
      <c r="N25" s="161">
        <f>'IS Assumptions'!N47</f>
        <v>322822.69464474928</v>
      </c>
      <c r="O25" s="161">
        <f>'IS Assumptions'!O47</f>
        <v>352224.94128261536</v>
      </c>
      <c r="P25" s="161">
        <f>'IS Assumptions'!P47</f>
        <v>374269.3855588623</v>
      </c>
      <c r="Q25" s="161">
        <f>'IS Assumptions'!Q47</f>
        <v>390721.96341769665</v>
      </c>
      <c r="R25" s="161">
        <f>'IS Assumptions'!R47</f>
        <v>405356.89372688165</v>
      </c>
      <c r="S25" s="161">
        <f>'IS Assumptions'!S47</f>
        <v>420267.99925280112</v>
      </c>
      <c r="T25" s="161">
        <f>'IS Assumptions'!T47</f>
        <v>435984.32417806837</v>
      </c>
      <c r="U25" s="161">
        <f>'IS Assumptions'!U47</f>
        <v>452488.93291853281</v>
      </c>
      <c r="V25" s="87"/>
      <c r="W25" s="87"/>
      <c r="X25" s="87"/>
      <c r="Y25" s="87"/>
      <c r="Z25" s="87"/>
      <c r="AA25" s="87"/>
      <c r="AB25" s="87"/>
    </row>
    <row r="26" spans="1:28" ht="13.8">
      <c r="A26" s="143" t="s">
        <v>143</v>
      </c>
      <c r="B26" s="143"/>
      <c r="C26" s="162">
        <f t="shared" ref="C26:U26" si="6">SUM(C23:C25)</f>
        <v>164406</v>
      </c>
      <c r="D26" s="162">
        <f t="shared" si="6"/>
        <v>219449</v>
      </c>
      <c r="E26" s="166">
        <f t="shared" si="6"/>
        <v>345444</v>
      </c>
      <c r="F26" s="166">
        <f t="shared" si="6"/>
        <v>560283</v>
      </c>
      <c r="G26" s="166">
        <f t="shared" si="6"/>
        <v>828472</v>
      </c>
      <c r="H26" s="166">
        <f t="shared" si="6"/>
        <v>1173500</v>
      </c>
      <c r="I26" s="166">
        <f t="shared" si="6"/>
        <v>1972010</v>
      </c>
      <c r="J26" s="166">
        <f t="shared" si="6"/>
        <v>2561175.6056537302</v>
      </c>
      <c r="K26" s="166">
        <f t="shared" si="6"/>
        <v>3074566.0093835201</v>
      </c>
      <c r="L26" s="166">
        <f t="shared" si="6"/>
        <v>2972469.6678942004</v>
      </c>
      <c r="M26" s="166">
        <f t="shared" si="6"/>
        <v>3299010.1418989706</v>
      </c>
      <c r="N26" s="166">
        <f t="shared" si="6"/>
        <v>3603755.3871566909</v>
      </c>
      <c r="O26" s="166">
        <f t="shared" si="6"/>
        <v>3852687.2443387103</v>
      </c>
      <c r="P26" s="166">
        <f t="shared" si="6"/>
        <v>4046787.7313551982</v>
      </c>
      <c r="Q26" s="166">
        <f t="shared" si="6"/>
        <v>4265038.6954121199</v>
      </c>
      <c r="R26" s="166">
        <f t="shared" si="6"/>
        <v>4467550.4457558449</v>
      </c>
      <c r="S26" s="166">
        <f t="shared" si="6"/>
        <v>4677176.1207166566</v>
      </c>
      <c r="T26" s="166">
        <f t="shared" si="6"/>
        <v>4900084.6869578548</v>
      </c>
      <c r="U26" s="166">
        <f t="shared" si="6"/>
        <v>5136495.2495037839</v>
      </c>
      <c r="V26" s="87"/>
      <c r="W26" s="87"/>
      <c r="X26" s="87"/>
      <c r="Y26" s="87"/>
      <c r="Z26" s="87"/>
      <c r="AA26" s="87"/>
      <c r="AB26" s="87"/>
    </row>
    <row r="27" spans="1:28" ht="13.8">
      <c r="A27" s="143" t="s">
        <v>458</v>
      </c>
      <c r="B27" s="143"/>
      <c r="C27" s="167">
        <f t="shared" ref="C27:U27" si="7">C26/C9</f>
        <v>0.41240790770828473</v>
      </c>
      <c r="D27" s="167">
        <f t="shared" si="7"/>
        <v>0.4279735472333222</v>
      </c>
      <c r="E27" s="167">
        <f t="shared" si="7"/>
        <v>0.4652406849237582</v>
      </c>
      <c r="F27" s="167">
        <f t="shared" si="7"/>
        <v>0.49629956391988456</v>
      </c>
      <c r="G27" s="167">
        <f t="shared" si="7"/>
        <v>0.46585559506699326</v>
      </c>
      <c r="H27" s="167">
        <f t="shared" si="7"/>
        <v>0.42447615988517623</v>
      </c>
      <c r="I27" s="167">
        <f t="shared" si="7"/>
        <v>0.63073358549755099</v>
      </c>
      <c r="J27" s="167">
        <f t="shared" si="7"/>
        <v>0.66049074150481013</v>
      </c>
      <c r="K27" s="167">
        <f t="shared" si="7"/>
        <v>0.69049074150481016</v>
      </c>
      <c r="L27" s="167">
        <f t="shared" si="7"/>
        <v>0.58000000000000007</v>
      </c>
      <c r="M27" s="167">
        <f t="shared" si="7"/>
        <v>0.56350000000000011</v>
      </c>
      <c r="N27" s="167">
        <f t="shared" si="7"/>
        <v>0.54700000000000004</v>
      </c>
      <c r="O27" s="167">
        <f t="shared" si="7"/>
        <v>0.53050000000000008</v>
      </c>
      <c r="P27" s="167">
        <f t="shared" si="7"/>
        <v>0.51900000000000002</v>
      </c>
      <c r="Q27" s="167">
        <f t="shared" si="7"/>
        <v>0.51849999999999996</v>
      </c>
      <c r="R27" s="167">
        <f t="shared" si="7"/>
        <v>0.51800000000000002</v>
      </c>
      <c r="S27" s="167">
        <f t="shared" si="7"/>
        <v>0.51749999999999985</v>
      </c>
      <c r="T27" s="167">
        <f t="shared" si="7"/>
        <v>0.5169999999999999</v>
      </c>
      <c r="U27" s="167">
        <f t="shared" si="7"/>
        <v>0.51649999999999996</v>
      </c>
      <c r="V27" s="87"/>
      <c r="W27" s="87"/>
      <c r="X27" s="87"/>
      <c r="Y27" s="87"/>
      <c r="Z27" s="87"/>
      <c r="AA27" s="87"/>
      <c r="AB27" s="87"/>
    </row>
    <row r="28" spans="1:28" ht="13.8">
      <c r="A28" s="143"/>
      <c r="B28" s="143"/>
      <c r="C28" s="166"/>
      <c r="D28" s="166"/>
      <c r="E28" s="163"/>
      <c r="F28" s="163"/>
      <c r="G28" s="163"/>
      <c r="H28" s="163"/>
      <c r="I28" s="163"/>
      <c r="J28" s="168"/>
      <c r="K28" s="168"/>
      <c r="L28" s="168"/>
      <c r="M28" s="168"/>
      <c r="N28" s="168"/>
      <c r="O28" s="168"/>
      <c r="P28" s="168"/>
      <c r="Q28" s="168"/>
      <c r="R28" s="168"/>
      <c r="S28" s="168"/>
      <c r="T28" s="168"/>
      <c r="U28" s="168"/>
      <c r="V28" s="87"/>
      <c r="W28" s="87"/>
      <c r="X28" s="87"/>
      <c r="Y28" s="87"/>
      <c r="Z28" s="87"/>
      <c r="AA28" s="87"/>
      <c r="AB28" s="87"/>
    </row>
    <row r="29" spans="1:28" ht="13.8">
      <c r="A29" s="169" t="s">
        <v>144</v>
      </c>
      <c r="B29" s="143"/>
      <c r="C29" s="162">
        <f t="shared" ref="C29:U29" si="8">C19-C26</f>
        <v>-43361</v>
      </c>
      <c r="D29" s="162">
        <f t="shared" si="8"/>
        <v>-19616</v>
      </c>
      <c r="E29" s="163">
        <f t="shared" si="8"/>
        <v>-13296</v>
      </c>
      <c r="F29" s="163">
        <f t="shared" si="8"/>
        <v>-65059</v>
      </c>
      <c r="G29" s="163">
        <f t="shared" si="8"/>
        <v>-20253</v>
      </c>
      <c r="H29" s="163">
        <f t="shared" si="8"/>
        <v>235100</v>
      </c>
      <c r="I29" s="163">
        <f t="shared" si="8"/>
        <v>-530888</v>
      </c>
      <c r="J29" s="163">
        <f t="shared" si="8"/>
        <v>-740064.90726126288</v>
      </c>
      <c r="K29" s="163">
        <f t="shared" si="8"/>
        <v>-816760.557399326</v>
      </c>
      <c r="L29" s="163">
        <f t="shared" si="8"/>
        <v>-223792.93288710667</v>
      </c>
      <c r="M29" s="163">
        <f t="shared" si="8"/>
        <v>3795.6187683739699</v>
      </c>
      <c r="N29" s="163">
        <f t="shared" si="8"/>
        <v>285019.95466863178</v>
      </c>
      <c r="O29" s="163">
        <f t="shared" si="8"/>
        <v>614682.77687776322</v>
      </c>
      <c r="P29" s="163">
        <f t="shared" si="8"/>
        <v>859345.46080954699</v>
      </c>
      <c r="Q29" s="163">
        <f t="shared" si="8"/>
        <v>1018736.1336807124</v>
      </c>
      <c r="R29" s="163">
        <f t="shared" si="8"/>
        <v>1213464.3065250264</v>
      </c>
      <c r="S29" s="163">
        <f t="shared" si="8"/>
        <v>1295082.8361179288</v>
      </c>
      <c r="T29" s="163">
        <f t="shared" si="8"/>
        <v>1378688.4452100415</v>
      </c>
      <c r="U29" s="163">
        <f t="shared" si="8"/>
        <v>1464805.8309053648</v>
      </c>
      <c r="V29" s="87"/>
      <c r="W29" s="87"/>
      <c r="X29" s="87"/>
      <c r="Y29" s="87"/>
      <c r="Z29" s="87"/>
      <c r="AA29" s="87"/>
      <c r="AB29" s="87"/>
    </row>
    <row r="30" spans="1:28" ht="13.8">
      <c r="A30" s="170" t="s">
        <v>145</v>
      </c>
      <c r="B30" s="143"/>
      <c r="C30" s="165">
        <f t="shared" ref="C30:U30" si="9">C29/C9</f>
        <v>-0.10876987023672453</v>
      </c>
      <c r="D30" s="165">
        <f t="shared" si="9"/>
        <v>-3.8255490353243118E-2</v>
      </c>
      <c r="E30" s="165">
        <f t="shared" si="9"/>
        <v>-1.7906926004638345E-2</v>
      </c>
      <c r="F30" s="165">
        <f t="shared" si="9"/>
        <v>-5.7629364676536267E-2</v>
      </c>
      <c r="G30" s="165">
        <f t="shared" si="9"/>
        <v>-1.1388403430522474E-2</v>
      </c>
      <c r="H30" s="165">
        <f t="shared" si="9"/>
        <v>8.503991920665098E-2</v>
      </c>
      <c r="I30" s="165">
        <f t="shared" si="9"/>
        <v>-0.16980080817928095</v>
      </c>
      <c r="J30" s="165">
        <f t="shared" si="9"/>
        <v>-0.19085220797810709</v>
      </c>
      <c r="K30" s="165">
        <f t="shared" si="9"/>
        <v>-0.18342933642970416</v>
      </c>
      <c r="L30" s="165">
        <f t="shared" si="9"/>
        <v>-4.3667359326319578E-2</v>
      </c>
      <c r="M30" s="165">
        <f t="shared" si="9"/>
        <v>6.4832512904843096E-4</v>
      </c>
      <c r="N30" s="165">
        <f t="shared" si="9"/>
        <v>4.3262069273450054E-2</v>
      </c>
      <c r="O30" s="165">
        <f t="shared" si="9"/>
        <v>8.4639419826465723E-2</v>
      </c>
      <c r="P30" s="165">
        <f t="shared" si="9"/>
        <v>0.11021094353540437</v>
      </c>
      <c r="Q30" s="165">
        <f t="shared" si="9"/>
        <v>0.12384757162500007</v>
      </c>
      <c r="R30" s="165">
        <f t="shared" si="9"/>
        <v>0.14069779813613678</v>
      </c>
      <c r="S30" s="165">
        <f t="shared" si="9"/>
        <v>0.14329273698342931</v>
      </c>
      <c r="T30" s="165">
        <f t="shared" si="9"/>
        <v>0.1454631851712162</v>
      </c>
      <c r="U30" s="165">
        <f t="shared" si="9"/>
        <v>0.14729347053045755</v>
      </c>
      <c r="V30" s="87"/>
      <c r="W30" s="87"/>
      <c r="X30" s="87"/>
      <c r="Y30" s="87"/>
      <c r="Z30" s="87"/>
      <c r="AA30" s="87"/>
      <c r="AB30" s="87"/>
    </row>
    <row r="31" spans="1:28" ht="13.8">
      <c r="A31" s="143"/>
      <c r="B31" s="143"/>
      <c r="C31" s="148"/>
      <c r="D31" s="148"/>
      <c r="E31" s="148"/>
      <c r="F31" s="148"/>
      <c r="G31" s="148"/>
      <c r="H31" s="148"/>
      <c r="I31" s="148"/>
      <c r="J31" s="143"/>
      <c r="K31" s="143"/>
      <c r="L31" s="143"/>
      <c r="M31" s="143"/>
      <c r="N31" s="143"/>
      <c r="O31" s="143"/>
      <c r="P31" s="143"/>
      <c r="Q31" s="143"/>
      <c r="R31" s="143"/>
      <c r="S31" s="143"/>
      <c r="T31" s="143"/>
      <c r="U31" s="143"/>
      <c r="V31" s="87"/>
      <c r="W31" s="87"/>
      <c r="X31" s="87"/>
      <c r="Y31" s="87"/>
      <c r="Z31" s="87"/>
      <c r="AA31" s="87"/>
      <c r="AB31" s="87"/>
    </row>
    <row r="32" spans="1:28" ht="13.8">
      <c r="A32" s="143" t="s">
        <v>146</v>
      </c>
      <c r="B32" s="143"/>
      <c r="C32" s="148"/>
      <c r="D32" s="148"/>
      <c r="E32" s="148"/>
      <c r="F32" s="148"/>
      <c r="G32" s="148"/>
      <c r="H32" s="148"/>
      <c r="I32" s="148"/>
      <c r="J32" s="143"/>
      <c r="K32" s="143"/>
      <c r="L32" s="143"/>
      <c r="M32" s="143"/>
      <c r="N32" s="143"/>
      <c r="O32" s="143"/>
      <c r="P32" s="143"/>
      <c r="Q32" s="143"/>
      <c r="R32" s="143"/>
      <c r="S32" s="143"/>
      <c r="T32" s="143"/>
      <c r="U32" s="143"/>
      <c r="V32" s="87"/>
      <c r="W32" s="87"/>
      <c r="X32" s="87"/>
      <c r="Y32" s="87"/>
      <c r="Z32" s="87"/>
      <c r="AA32" s="87"/>
      <c r="AB32" s="87"/>
    </row>
    <row r="33" spans="1:28" ht="13.8">
      <c r="A33" s="171" t="s">
        <v>147</v>
      </c>
      <c r="B33" s="171"/>
      <c r="C33" s="172">
        <v>146</v>
      </c>
      <c r="D33" s="172">
        <v>-1612</v>
      </c>
      <c r="E33" s="173">
        <v>-346</v>
      </c>
      <c r="F33" s="173">
        <v>-2366</v>
      </c>
      <c r="G33" s="173">
        <v>-3432</v>
      </c>
      <c r="H33" s="173">
        <v>-2980</v>
      </c>
      <c r="I33" s="174">
        <v>-5161</v>
      </c>
      <c r="J33" s="158">
        <f>-'IS Assumptions'!J52*AVERAGE(('Balance Sheet'!I27+'Balance Sheet'!I32),('Balance Sheet'!J27+'Balance Sheet'!J32))</f>
        <v>-4879.085</v>
      </c>
      <c r="K33" s="158">
        <f>-'IS Assumptions'!K52*AVERAGE(('Balance Sheet'!J27+'Balance Sheet'!J32),('Balance Sheet'!K27+'Balance Sheet'!K32))</f>
        <v>-4879.085</v>
      </c>
      <c r="L33" s="158">
        <f>-'IS Assumptions'!L52*AVERAGE(('Balance Sheet'!K27+'Balance Sheet'!K32),('Balance Sheet'!L27+'Balance Sheet'!L32))</f>
        <v>-4879.085</v>
      </c>
      <c r="M33" s="158">
        <f>-'IS Assumptions'!M52*AVERAGE(('Balance Sheet'!L27+'Balance Sheet'!L32),('Balance Sheet'!M27+'Balance Sheet'!M32))</f>
        <v>-4879.085</v>
      </c>
      <c r="N33" s="158">
        <f>-'IS Assumptions'!N52*AVERAGE(('Balance Sheet'!M27+'Balance Sheet'!M32),('Balance Sheet'!N27+'Balance Sheet'!N32))</f>
        <v>-4879.085</v>
      </c>
      <c r="O33" s="158">
        <f>-'IS Assumptions'!O52*AVERAGE(('Balance Sheet'!N27+'Balance Sheet'!N32),('Balance Sheet'!O27+'Balance Sheet'!O32))</f>
        <v>-4879.085</v>
      </c>
      <c r="P33" s="158">
        <f>-'IS Assumptions'!P52*AVERAGE(('Balance Sheet'!O27+'Balance Sheet'!O32),('Balance Sheet'!P27+'Balance Sheet'!P32))</f>
        <v>-4879.085</v>
      </c>
      <c r="Q33" s="158">
        <f>-'IS Assumptions'!Q52*AVERAGE(('Balance Sheet'!P27+'Balance Sheet'!P32),('Balance Sheet'!Q27+'Balance Sheet'!Q32))</f>
        <v>-4879.085</v>
      </c>
      <c r="R33" s="158">
        <f>-'IS Assumptions'!R52*AVERAGE(('Balance Sheet'!Q27+'Balance Sheet'!Q32),('Balance Sheet'!R27+'Balance Sheet'!R32))</f>
        <v>-4879.085</v>
      </c>
      <c r="S33" s="158">
        <f>-'IS Assumptions'!S52*AVERAGE(('Balance Sheet'!R27+'Balance Sheet'!R32),('Balance Sheet'!S27+'Balance Sheet'!S32))</f>
        <v>-4879.085</v>
      </c>
      <c r="T33" s="158">
        <f>-'IS Assumptions'!T52*AVERAGE(('Balance Sheet'!S27+'Balance Sheet'!S32),('Balance Sheet'!T27+'Balance Sheet'!T32))</f>
        <v>-4879.085</v>
      </c>
      <c r="U33" s="158">
        <f>-'IS Assumptions'!U52*AVERAGE(('Balance Sheet'!T27+'Balance Sheet'!T32),('Balance Sheet'!U27+'Balance Sheet'!U32))</f>
        <v>-4879.085</v>
      </c>
      <c r="V33" s="87"/>
      <c r="W33" s="87"/>
      <c r="X33" s="87"/>
      <c r="Y33" s="87"/>
      <c r="Z33" s="87"/>
      <c r="AA33" s="87"/>
      <c r="AB33" s="87"/>
    </row>
    <row r="34" spans="1:28" ht="13.8">
      <c r="A34" s="175" t="s">
        <v>148</v>
      </c>
      <c r="B34" s="171"/>
      <c r="C34" s="172">
        <v>0</v>
      </c>
      <c r="D34" s="172">
        <v>-2338</v>
      </c>
      <c r="E34" s="172">
        <v>0</v>
      </c>
      <c r="F34" s="172">
        <v>0</v>
      </c>
      <c r="G34" s="172">
        <v>0</v>
      </c>
      <c r="H34" s="172">
        <v>0</v>
      </c>
      <c r="I34" s="172">
        <v>0</v>
      </c>
      <c r="J34" s="176">
        <f>'IS Assumptions'!J53</f>
        <v>0</v>
      </c>
      <c r="K34" s="176">
        <f>'IS Assumptions'!K53</f>
        <v>0</v>
      </c>
      <c r="L34" s="176">
        <f>'IS Assumptions'!L53</f>
        <v>0</v>
      </c>
      <c r="M34" s="176">
        <f>'IS Assumptions'!M53</f>
        <v>0</v>
      </c>
      <c r="N34" s="176">
        <f>'IS Assumptions'!N53</f>
        <v>0</v>
      </c>
      <c r="O34" s="176">
        <f>'IS Assumptions'!O53</f>
        <v>0</v>
      </c>
      <c r="P34" s="176">
        <f>'IS Assumptions'!P53</f>
        <v>0</v>
      </c>
      <c r="Q34" s="176">
        <f>'IS Assumptions'!Q53</f>
        <v>0</v>
      </c>
      <c r="R34" s="176">
        <f>'IS Assumptions'!R53</f>
        <v>0</v>
      </c>
      <c r="S34" s="176">
        <f>'IS Assumptions'!S53</f>
        <v>0</v>
      </c>
      <c r="T34" s="176">
        <f>'IS Assumptions'!T53</f>
        <v>0</v>
      </c>
      <c r="U34" s="176">
        <f>'IS Assumptions'!U53</f>
        <v>0</v>
      </c>
      <c r="V34" s="87"/>
      <c r="W34" s="87"/>
      <c r="X34" s="87"/>
      <c r="Y34" s="87"/>
      <c r="Z34" s="87"/>
      <c r="AA34" s="87"/>
      <c r="AB34" s="87"/>
    </row>
    <row r="35" spans="1:28" ht="13.8">
      <c r="A35" s="175" t="s">
        <v>149</v>
      </c>
      <c r="B35" s="171"/>
      <c r="C35" s="172">
        <v>888</v>
      </c>
      <c r="D35" s="172">
        <v>-40333</v>
      </c>
      <c r="E35" s="172">
        <v>0</v>
      </c>
      <c r="F35" s="172">
        <v>0</v>
      </c>
      <c r="G35" s="172">
        <v>0</v>
      </c>
      <c r="H35" s="172">
        <v>0</v>
      </c>
      <c r="I35" s="172">
        <v>0</v>
      </c>
      <c r="J35" s="176">
        <f>'IS Assumptions'!J54</f>
        <v>0</v>
      </c>
      <c r="K35" s="176">
        <f>'IS Assumptions'!K54</f>
        <v>0</v>
      </c>
      <c r="L35" s="176">
        <f>'IS Assumptions'!L54</f>
        <v>0</v>
      </c>
      <c r="M35" s="176">
        <f>'IS Assumptions'!M54</f>
        <v>0</v>
      </c>
      <c r="N35" s="176">
        <f>'IS Assumptions'!N54</f>
        <v>0</v>
      </c>
      <c r="O35" s="176">
        <f>'IS Assumptions'!O54</f>
        <v>0</v>
      </c>
      <c r="P35" s="176">
        <f>'IS Assumptions'!P54</f>
        <v>0</v>
      </c>
      <c r="Q35" s="176">
        <f>'IS Assumptions'!Q54</f>
        <v>0</v>
      </c>
      <c r="R35" s="176">
        <f>'IS Assumptions'!R54</f>
        <v>0</v>
      </c>
      <c r="S35" s="176">
        <f>'IS Assumptions'!S54</f>
        <v>0</v>
      </c>
      <c r="T35" s="176">
        <f>'IS Assumptions'!T54</f>
        <v>0</v>
      </c>
      <c r="U35" s="176">
        <f>'IS Assumptions'!U54</f>
        <v>0</v>
      </c>
      <c r="V35" s="87"/>
      <c r="W35" s="87"/>
      <c r="X35" s="87"/>
      <c r="Y35" s="87"/>
      <c r="Z35" s="87"/>
      <c r="AA35" s="87"/>
      <c r="AB35" s="87"/>
    </row>
    <row r="36" spans="1:28" ht="13.8">
      <c r="A36" s="171" t="s">
        <v>150</v>
      </c>
      <c r="B36" s="171"/>
      <c r="C36" s="172">
        <v>-220</v>
      </c>
      <c r="D36" s="172">
        <v>705</v>
      </c>
      <c r="E36" s="177">
        <v>4309</v>
      </c>
      <c r="F36" s="177">
        <v>6506</v>
      </c>
      <c r="G36" s="177">
        <v>5233</v>
      </c>
      <c r="H36" s="177">
        <v>4467</v>
      </c>
      <c r="I36" s="178">
        <v>43766</v>
      </c>
      <c r="J36" s="161">
        <f>'IS Assumptions'!J55*AVERAGE('Balance Sheet'!I8,'Balance Sheet'!J8)</f>
        <v>52561.269876330407</v>
      </c>
      <c r="K36" s="161">
        <f>'IS Assumptions'!K55*AVERAGE('Balance Sheet'!J8,'Balance Sheet'!K8)</f>
        <v>53766.249296880174</v>
      </c>
      <c r="L36" s="161">
        <f>'IS Assumptions'!L55*AVERAGE('Balance Sheet'!K8,'Balance Sheet'!L8)</f>
        <v>61799.938934182734</v>
      </c>
      <c r="M36" s="161">
        <f>'IS Assumptions'!M55*AVERAGE('Balance Sheet'!L8,'Balance Sheet'!M8)</f>
        <v>70844.879342107553</v>
      </c>
      <c r="N36" s="161">
        <f>'IS Assumptions'!N55*AVERAGE('Balance Sheet'!M8,'Balance Sheet'!N8)</f>
        <v>80286.632596891606</v>
      </c>
      <c r="O36" s="161">
        <f>'IS Assumptions'!O55*AVERAGE('Balance Sheet'!N8,'Balance Sheet'!O8)</f>
        <v>89370.920240541585</v>
      </c>
      <c r="P36" s="161">
        <f>'IS Assumptions'!P55*AVERAGE('Balance Sheet'!O8,'Balance Sheet'!P8)</f>
        <v>97172.383812071188</v>
      </c>
      <c r="Q36" s="161">
        <f>'IS Assumptions'!Q55*AVERAGE('Balance Sheet'!P8,'Balance Sheet'!Q8)</f>
        <v>103388.43596485112</v>
      </c>
      <c r="R36" s="161">
        <f>'IS Assumptions'!R55*AVERAGE('Balance Sheet'!Q8,'Balance Sheet'!R8)</f>
        <v>108726.82082305926</v>
      </c>
      <c r="S36" s="161">
        <f>'IS Assumptions'!S55*AVERAGE('Balance Sheet'!R8,'Balance Sheet'!S8)</f>
        <v>113968.16039960175</v>
      </c>
      <c r="T36" s="161">
        <f>'IS Assumptions'!T55*AVERAGE('Balance Sheet'!S8,'Balance Sheet'!T8)</f>
        <v>119474.1130458219</v>
      </c>
      <c r="U36" s="161">
        <f>'IS Assumptions'!U55*AVERAGE('Balance Sheet'!T8,'Balance Sheet'!U8)</f>
        <v>125325.17696094039</v>
      </c>
      <c r="V36" s="87"/>
      <c r="W36" s="87"/>
      <c r="X36" s="87"/>
      <c r="Y36" s="87"/>
      <c r="Z36" s="87"/>
      <c r="AA36" s="87"/>
      <c r="AB36" s="87"/>
    </row>
    <row r="37" spans="1:28" ht="13.8">
      <c r="A37" s="143" t="s">
        <v>151</v>
      </c>
      <c r="B37" s="143"/>
      <c r="C37" s="179">
        <f t="shared" ref="C37:E37" si="10">SUM(C33:C36)</f>
        <v>814</v>
      </c>
      <c r="D37" s="179">
        <f t="shared" si="10"/>
        <v>-43578</v>
      </c>
      <c r="E37" s="180">
        <f t="shared" si="10"/>
        <v>3963</v>
      </c>
      <c r="F37" s="180">
        <v>4140</v>
      </c>
      <c r="G37" s="180">
        <v>1801</v>
      </c>
      <c r="H37" s="180">
        <v>1487</v>
      </c>
      <c r="I37" s="163">
        <f>SUM(I33:I36)</f>
        <v>38605</v>
      </c>
      <c r="J37" s="163">
        <f t="shared" ref="J37:U37" si="11">SUM(J33:J36)</f>
        <v>47682.184876330408</v>
      </c>
      <c r="K37" s="163">
        <f t="shared" si="11"/>
        <v>48887.164296880175</v>
      </c>
      <c r="L37" s="163">
        <f t="shared" si="11"/>
        <v>56920.853934182735</v>
      </c>
      <c r="M37" s="163">
        <f t="shared" si="11"/>
        <v>65965.794342107547</v>
      </c>
      <c r="N37" s="163">
        <f t="shared" si="11"/>
        <v>75407.5475968916</v>
      </c>
      <c r="O37" s="163">
        <f t="shared" si="11"/>
        <v>84491.835240541579</v>
      </c>
      <c r="P37" s="163">
        <f t="shared" si="11"/>
        <v>92293.298812071182</v>
      </c>
      <c r="Q37" s="163">
        <f t="shared" si="11"/>
        <v>98509.35096485111</v>
      </c>
      <c r="R37" s="163">
        <f t="shared" si="11"/>
        <v>103847.73582305925</v>
      </c>
      <c r="S37" s="163">
        <f t="shared" si="11"/>
        <v>109089.07539960174</v>
      </c>
      <c r="T37" s="163">
        <f t="shared" si="11"/>
        <v>114595.02804582189</v>
      </c>
      <c r="U37" s="163">
        <f t="shared" si="11"/>
        <v>120446.09196094038</v>
      </c>
      <c r="V37" s="87"/>
      <c r="W37" s="87"/>
      <c r="X37" s="87"/>
      <c r="Y37" s="87"/>
      <c r="Z37" s="87"/>
      <c r="AA37" s="87"/>
      <c r="AB37" s="87"/>
    </row>
    <row r="38" spans="1:28" ht="13.8">
      <c r="A38" s="143"/>
      <c r="B38" s="143"/>
      <c r="C38" s="147"/>
      <c r="D38" s="147"/>
      <c r="E38" s="147"/>
      <c r="F38" s="147"/>
      <c r="G38" s="147"/>
      <c r="H38" s="147"/>
      <c r="I38" s="148"/>
      <c r="J38" s="143"/>
      <c r="K38" s="143"/>
      <c r="L38" s="143"/>
      <c r="M38" s="143"/>
      <c r="N38" s="143"/>
      <c r="O38" s="143"/>
      <c r="P38" s="143"/>
      <c r="Q38" s="143"/>
      <c r="R38" s="143"/>
      <c r="S38" s="143"/>
      <c r="T38" s="143"/>
      <c r="U38" s="143"/>
      <c r="V38" s="87"/>
      <c r="W38" s="87"/>
      <c r="X38" s="87"/>
      <c r="Y38" s="87"/>
      <c r="Z38" s="87"/>
      <c r="AA38" s="87"/>
      <c r="AB38" s="87"/>
    </row>
    <row r="39" spans="1:28" ht="13.8">
      <c r="A39" s="143" t="s">
        <v>152</v>
      </c>
      <c r="B39" s="143"/>
      <c r="C39" s="148">
        <f t="shared" ref="C39:U39" si="12">C29+C37</f>
        <v>-42547</v>
      </c>
      <c r="D39" s="148">
        <f t="shared" si="12"/>
        <v>-63194</v>
      </c>
      <c r="E39" s="148">
        <f t="shared" si="12"/>
        <v>-9333</v>
      </c>
      <c r="F39" s="148">
        <f t="shared" si="12"/>
        <v>-60919</v>
      </c>
      <c r="G39" s="148">
        <f t="shared" si="12"/>
        <v>-18452</v>
      </c>
      <c r="H39" s="148">
        <f t="shared" si="12"/>
        <v>236587</v>
      </c>
      <c r="I39" s="148">
        <f t="shared" si="12"/>
        <v>-492283</v>
      </c>
      <c r="J39" s="148">
        <f t="shared" si="12"/>
        <v>-692382.72238493245</v>
      </c>
      <c r="K39" s="148">
        <f t="shared" si="12"/>
        <v>-767873.39310244587</v>
      </c>
      <c r="L39" s="148">
        <f t="shared" si="12"/>
        <v>-166872.07895292394</v>
      </c>
      <c r="M39" s="148">
        <f t="shared" si="12"/>
        <v>69761.413110481517</v>
      </c>
      <c r="N39" s="148">
        <f t="shared" si="12"/>
        <v>360427.50226552336</v>
      </c>
      <c r="O39" s="148">
        <f t="shared" si="12"/>
        <v>699174.61211830482</v>
      </c>
      <c r="P39" s="148">
        <f t="shared" si="12"/>
        <v>951638.7596216182</v>
      </c>
      <c r="Q39" s="148">
        <f t="shared" si="12"/>
        <v>1117245.4846455636</v>
      </c>
      <c r="R39" s="148">
        <f t="shared" si="12"/>
        <v>1317312.0423480857</v>
      </c>
      <c r="S39" s="148">
        <f t="shared" si="12"/>
        <v>1404171.9115175307</v>
      </c>
      <c r="T39" s="148">
        <f t="shared" si="12"/>
        <v>1493283.4732558634</v>
      </c>
      <c r="U39" s="148">
        <f t="shared" si="12"/>
        <v>1585251.9228663051</v>
      </c>
      <c r="V39" s="87"/>
      <c r="W39" s="87"/>
      <c r="X39" s="87"/>
      <c r="Y39" s="87"/>
      <c r="Z39" s="87"/>
      <c r="AA39" s="87"/>
      <c r="AB39" s="87"/>
    </row>
    <row r="40" spans="1:28" ht="13.8">
      <c r="A40" s="143" t="s">
        <v>153</v>
      </c>
      <c r="B40" s="143"/>
      <c r="C40" s="147">
        <v>211</v>
      </c>
      <c r="D40" s="147">
        <v>315</v>
      </c>
      <c r="E40" s="147">
        <v>-476</v>
      </c>
      <c r="F40" s="147">
        <v>-982</v>
      </c>
      <c r="G40" s="147">
        <v>-945</v>
      </c>
      <c r="H40" s="147">
        <v>-5798</v>
      </c>
      <c r="I40" s="148">
        <v>5722</v>
      </c>
      <c r="J40" s="176">
        <f>'IS Assumptions'!J63</f>
        <v>0</v>
      </c>
      <c r="K40" s="176">
        <f>'IS Assumptions'!K63</f>
        <v>0</v>
      </c>
      <c r="L40" s="176">
        <f>'IS Assumptions'!L63</f>
        <v>0</v>
      </c>
      <c r="M40" s="176">
        <f>'IS Assumptions'!M63</f>
        <v>0</v>
      </c>
      <c r="N40" s="176">
        <f>'IS Assumptions'!N63</f>
        <v>0</v>
      </c>
      <c r="O40" s="176">
        <f>'IS Assumptions'!O63</f>
        <v>0</v>
      </c>
      <c r="P40" s="176">
        <f>'IS Assumptions'!P63</f>
        <v>0</v>
      </c>
      <c r="Q40" s="176">
        <f>'IS Assumptions'!Q63</f>
        <v>0</v>
      </c>
      <c r="R40" s="176">
        <f>'IS Assumptions'!R63</f>
        <v>195159.64013054778</v>
      </c>
      <c r="S40" s="176">
        <f>'IS Assumptions'!S63</f>
        <v>294876.10141868144</v>
      </c>
      <c r="T40" s="176">
        <f>'IS Assumptions'!T63</f>
        <v>313589.52938373131</v>
      </c>
      <c r="U40" s="176">
        <f>'IS Assumptions'!U63</f>
        <v>332902.90380192408</v>
      </c>
      <c r="V40" s="87"/>
      <c r="W40" s="87"/>
      <c r="X40" s="87"/>
      <c r="Y40" s="87"/>
      <c r="Z40" s="87"/>
      <c r="AA40" s="87"/>
      <c r="AB40" s="87"/>
    </row>
    <row r="41" spans="1:28" ht="13.8">
      <c r="A41" s="170" t="s">
        <v>154</v>
      </c>
      <c r="B41" s="143"/>
      <c r="C41" s="181">
        <f t="shared" ref="C41:U41" si="13">C40/C39</f>
        <v>-4.9592215667379601E-3</v>
      </c>
      <c r="D41" s="181">
        <f t="shared" si="13"/>
        <v>-4.9846504414976104E-3</v>
      </c>
      <c r="E41" s="181">
        <f t="shared" si="13"/>
        <v>5.1001821493624776E-2</v>
      </c>
      <c r="F41" s="181">
        <f t="shared" si="13"/>
        <v>1.6119765590374105E-2</v>
      </c>
      <c r="G41" s="181">
        <f t="shared" si="13"/>
        <v>5.1213960546282244E-2</v>
      </c>
      <c r="H41" s="181">
        <f t="shared" si="13"/>
        <v>-2.4506841035221716E-2</v>
      </c>
      <c r="I41" s="181">
        <f t="shared" si="13"/>
        <v>-1.1623395485929841E-2</v>
      </c>
      <c r="J41" s="181">
        <f t="shared" si="13"/>
        <v>0</v>
      </c>
      <c r="K41" s="181">
        <f t="shared" si="13"/>
        <v>0</v>
      </c>
      <c r="L41" s="181">
        <f t="shared" si="13"/>
        <v>0</v>
      </c>
      <c r="M41" s="181">
        <f t="shared" si="13"/>
        <v>0</v>
      </c>
      <c r="N41" s="181">
        <f t="shared" si="13"/>
        <v>0</v>
      </c>
      <c r="O41" s="181">
        <f t="shared" si="13"/>
        <v>0</v>
      </c>
      <c r="P41" s="181">
        <f t="shared" si="13"/>
        <v>0</v>
      </c>
      <c r="Q41" s="181">
        <f t="shared" si="13"/>
        <v>0</v>
      </c>
      <c r="R41" s="181">
        <f t="shared" si="13"/>
        <v>0.14814989452512645</v>
      </c>
      <c r="S41" s="181">
        <f t="shared" si="13"/>
        <v>0.21</v>
      </c>
      <c r="T41" s="181">
        <f t="shared" si="13"/>
        <v>0.21</v>
      </c>
      <c r="U41" s="181">
        <f t="shared" si="13"/>
        <v>0.21000000000000002</v>
      </c>
      <c r="V41" s="87"/>
      <c r="W41" s="87"/>
      <c r="X41" s="87"/>
      <c r="Y41" s="87"/>
      <c r="Z41" s="87"/>
      <c r="AA41" s="87"/>
      <c r="AB41" s="87"/>
    </row>
    <row r="42" spans="1:28" ht="13.8">
      <c r="A42" s="143"/>
      <c r="B42" s="143"/>
      <c r="C42" s="182"/>
      <c r="D42" s="182"/>
      <c r="E42" s="182"/>
      <c r="F42" s="182"/>
      <c r="G42" s="182"/>
      <c r="H42" s="182"/>
      <c r="I42" s="166"/>
      <c r="J42" s="183"/>
      <c r="K42" s="183"/>
      <c r="L42" s="183"/>
      <c r="M42" s="183"/>
      <c r="N42" s="183"/>
      <c r="O42" s="183"/>
      <c r="P42" s="183"/>
      <c r="Q42" s="183"/>
      <c r="R42" s="183"/>
      <c r="S42" s="183"/>
      <c r="T42" s="183"/>
      <c r="U42" s="183"/>
      <c r="V42" s="87"/>
      <c r="W42" s="87"/>
      <c r="X42" s="87"/>
      <c r="Y42" s="87"/>
      <c r="Z42" s="87"/>
      <c r="AA42" s="87"/>
      <c r="AB42" s="87"/>
    </row>
    <row r="43" spans="1:28" ht="13.8">
      <c r="A43" s="169" t="s">
        <v>155</v>
      </c>
      <c r="B43" s="143"/>
      <c r="C43" s="184">
        <f t="shared" ref="C43:E43" si="14">C39-C40</f>
        <v>-42758</v>
      </c>
      <c r="D43" s="184">
        <f t="shared" si="14"/>
        <v>-63509</v>
      </c>
      <c r="E43" s="184">
        <f t="shared" si="14"/>
        <v>-8857</v>
      </c>
      <c r="F43" s="184">
        <v>-59937</v>
      </c>
      <c r="G43" s="184">
        <v>-17507</v>
      </c>
      <c r="H43" s="184">
        <v>242385</v>
      </c>
      <c r="I43" s="185">
        <f t="shared" ref="I43:U43" si="15">I39-I40</f>
        <v>-498005</v>
      </c>
      <c r="J43" s="185">
        <f t="shared" si="15"/>
        <v>-692382.72238493245</v>
      </c>
      <c r="K43" s="185">
        <f t="shared" si="15"/>
        <v>-767873.39310244587</v>
      </c>
      <c r="L43" s="185">
        <f t="shared" si="15"/>
        <v>-166872.07895292394</v>
      </c>
      <c r="M43" s="185">
        <f t="shared" si="15"/>
        <v>69761.413110481517</v>
      </c>
      <c r="N43" s="185">
        <f t="shared" si="15"/>
        <v>360427.50226552336</v>
      </c>
      <c r="O43" s="185">
        <f t="shared" si="15"/>
        <v>699174.61211830482</v>
      </c>
      <c r="P43" s="185">
        <f t="shared" si="15"/>
        <v>951638.7596216182</v>
      </c>
      <c r="Q43" s="185">
        <f t="shared" si="15"/>
        <v>1117245.4846455636</v>
      </c>
      <c r="R43" s="185">
        <f t="shared" si="15"/>
        <v>1122152.4022175379</v>
      </c>
      <c r="S43" s="185">
        <f t="shared" si="15"/>
        <v>1109295.8100988492</v>
      </c>
      <c r="T43" s="185">
        <f t="shared" si="15"/>
        <v>1179693.9438721321</v>
      </c>
      <c r="U43" s="185">
        <f t="shared" si="15"/>
        <v>1252349.019064381</v>
      </c>
      <c r="V43" s="87"/>
      <c r="W43" s="87"/>
      <c r="X43" s="87"/>
      <c r="Y43" s="87"/>
      <c r="Z43" s="87"/>
      <c r="AA43" s="87"/>
      <c r="AB43" s="87"/>
    </row>
    <row r="44" spans="1:28" ht="13.8">
      <c r="A44" s="170" t="s">
        <v>145</v>
      </c>
      <c r="B44" s="143"/>
      <c r="C44" s="165">
        <f t="shared" ref="C44:U44" si="16">C43/C9</f>
        <v>-0.10725726140037978</v>
      </c>
      <c r="D44" s="165">
        <f t="shared" si="16"/>
        <v>-0.12385644049980206</v>
      </c>
      <c r="E44" s="165">
        <f t="shared" si="16"/>
        <v>-1.1928523136513375E-2</v>
      </c>
      <c r="F44" s="165">
        <f t="shared" si="16"/>
        <v>-5.3092289008708313E-2</v>
      </c>
      <c r="G44" s="165">
        <f t="shared" si="16"/>
        <v>-9.8443084411275836E-3</v>
      </c>
      <c r="H44" s="165">
        <f t="shared" si="16"/>
        <v>8.7675035376027638E-2</v>
      </c>
      <c r="I44" s="165">
        <f t="shared" si="16"/>
        <v>-0.15928341095922832</v>
      </c>
      <c r="J44" s="165">
        <f t="shared" si="16"/>
        <v>-0.17855565104697924</v>
      </c>
      <c r="K44" s="165">
        <f t="shared" si="16"/>
        <v>-0.17245018222634761</v>
      </c>
      <c r="L44" s="165">
        <f t="shared" si="16"/>
        <v>-3.2560737906961477E-2</v>
      </c>
      <c r="M44" s="165">
        <f t="shared" si="16"/>
        <v>1.1915864030999453E-2</v>
      </c>
      <c r="N44" s="165">
        <f t="shared" si="16"/>
        <v>5.4707887344926792E-2</v>
      </c>
      <c r="O44" s="165">
        <f t="shared" si="16"/>
        <v>9.6273615844056262E-2</v>
      </c>
      <c r="P44" s="165">
        <f t="shared" si="16"/>
        <v>0.12204754709934371</v>
      </c>
      <c r="Q44" s="165">
        <f t="shared" si="16"/>
        <v>0.13582333600205454</v>
      </c>
      <c r="R44" s="165">
        <f t="shared" si="16"/>
        <v>0.13011043779055556</v>
      </c>
      <c r="S44" s="165">
        <f t="shared" si="16"/>
        <v>0.1227365758547049</v>
      </c>
      <c r="T44" s="165">
        <f t="shared" si="16"/>
        <v>0.12446759759177566</v>
      </c>
      <c r="U44" s="165">
        <f t="shared" si="16"/>
        <v>0.12592988738950769</v>
      </c>
      <c r="V44" s="87"/>
      <c r="W44" s="87"/>
      <c r="X44" s="87"/>
      <c r="Y44" s="87"/>
      <c r="Z44" s="87"/>
      <c r="AA44" s="87"/>
      <c r="AB44" s="87"/>
    </row>
    <row r="45" spans="1:28" ht="13.8">
      <c r="A45" s="143"/>
      <c r="B45" s="143"/>
      <c r="C45" s="143"/>
      <c r="D45" s="143"/>
      <c r="E45" s="143"/>
      <c r="F45" s="143"/>
      <c r="G45" s="143"/>
      <c r="H45" s="143"/>
      <c r="I45" s="143"/>
      <c r="J45" s="143"/>
      <c r="K45" s="143"/>
      <c r="L45" s="143"/>
      <c r="M45" s="143"/>
      <c r="N45" s="143"/>
      <c r="O45" s="143"/>
      <c r="P45" s="143"/>
      <c r="Q45" s="143"/>
      <c r="R45" s="143"/>
      <c r="S45" s="143"/>
      <c r="T45" s="143"/>
      <c r="U45" s="143"/>
      <c r="V45" s="87"/>
      <c r="W45" s="87"/>
      <c r="X45" s="87"/>
      <c r="Y45" s="87"/>
      <c r="Z45" s="87"/>
      <c r="AA45" s="87"/>
      <c r="AB45" s="87"/>
    </row>
    <row r="46" spans="1:28" ht="13.8">
      <c r="A46" s="143" t="s">
        <v>156</v>
      </c>
      <c r="B46" s="143"/>
      <c r="C46" s="186">
        <v>-9.01</v>
      </c>
      <c r="D46" s="186">
        <v>-2.2400000000000002</v>
      </c>
      <c r="E46" s="186">
        <v>-0.08</v>
      </c>
      <c r="F46" s="186">
        <v>-0.52</v>
      </c>
      <c r="G46" s="186">
        <v>-0.14000000000000001</v>
      </c>
      <c r="H46" s="186">
        <v>1.83</v>
      </c>
      <c r="I46" s="143">
        <v>-3.62</v>
      </c>
      <c r="J46" s="143"/>
      <c r="K46" s="143"/>
      <c r="L46" s="143"/>
      <c r="M46" s="143"/>
      <c r="N46" s="143"/>
      <c r="O46" s="143"/>
      <c r="P46" s="143"/>
      <c r="Q46" s="143"/>
      <c r="R46" s="143"/>
      <c r="S46" s="143"/>
      <c r="T46" s="143"/>
      <c r="U46" s="143"/>
      <c r="V46" s="87"/>
      <c r="W46" s="87"/>
      <c r="X46" s="87"/>
      <c r="Y46" s="87"/>
      <c r="Z46" s="87"/>
      <c r="AA46" s="87"/>
      <c r="AB46" s="87"/>
    </row>
    <row r="47" spans="1:28" ht="13.8">
      <c r="A47" s="143" t="s">
        <v>157</v>
      </c>
      <c r="B47" s="143"/>
      <c r="C47" s="187">
        <v>-9.01</v>
      </c>
      <c r="D47" s="187">
        <v>-2.2400000000000002</v>
      </c>
      <c r="E47" s="187">
        <v>-0.08</v>
      </c>
      <c r="F47" s="187">
        <v>-0.52</v>
      </c>
      <c r="G47" s="187">
        <v>-0.14000000000000001</v>
      </c>
      <c r="H47" s="187">
        <v>1.71</v>
      </c>
      <c r="I47" s="188">
        <v>-3.62</v>
      </c>
      <c r="J47" s="188"/>
      <c r="K47" s="188"/>
      <c r="L47" s="188"/>
      <c r="M47" s="188"/>
      <c r="N47" s="188"/>
      <c r="O47" s="188"/>
      <c r="P47" s="188"/>
      <c r="Q47" s="188"/>
      <c r="R47" s="188"/>
      <c r="S47" s="188"/>
      <c r="T47" s="188"/>
      <c r="U47" s="188"/>
      <c r="V47" s="87"/>
      <c r="W47" s="87"/>
      <c r="X47" s="87"/>
      <c r="Y47" s="87"/>
      <c r="Z47" s="87"/>
      <c r="AA47" s="87"/>
      <c r="AB47" s="87"/>
    </row>
    <row r="48" spans="1:28" ht="13.8">
      <c r="A48" s="143"/>
      <c r="B48" s="143"/>
      <c r="C48" s="143"/>
      <c r="D48" s="143"/>
      <c r="E48" s="143"/>
      <c r="F48" s="143"/>
      <c r="G48" s="143"/>
      <c r="H48" s="143"/>
      <c r="I48" s="143"/>
      <c r="J48" s="143"/>
      <c r="K48" s="143"/>
      <c r="L48" s="143"/>
      <c r="M48" s="143"/>
      <c r="N48" s="143"/>
      <c r="O48" s="143"/>
      <c r="P48" s="143"/>
      <c r="Q48" s="143"/>
      <c r="R48" s="143"/>
      <c r="S48" s="143"/>
      <c r="T48" s="143"/>
      <c r="U48" s="143"/>
      <c r="V48" s="87"/>
      <c r="W48" s="87"/>
      <c r="X48" s="87"/>
      <c r="Y48" s="87"/>
      <c r="Z48" s="87"/>
      <c r="AA48" s="87"/>
      <c r="AB48" s="87"/>
    </row>
    <row r="49" spans="1:28" ht="13.8">
      <c r="A49" s="143" t="s">
        <v>158</v>
      </c>
      <c r="B49" s="143"/>
      <c r="C49" s="189">
        <v>4746</v>
      </c>
      <c r="D49" s="189">
        <v>28308</v>
      </c>
      <c r="E49" s="189">
        <v>104618</v>
      </c>
      <c r="F49" s="190">
        <v>115218</v>
      </c>
      <c r="G49" s="190">
        <v>123978</v>
      </c>
      <c r="H49" s="190">
        <v>132710</v>
      </c>
      <c r="I49" s="148">
        <v>137668</v>
      </c>
      <c r="J49" s="143"/>
      <c r="K49" s="143"/>
      <c r="L49" s="143"/>
      <c r="M49" s="143"/>
      <c r="N49" s="143"/>
      <c r="O49" s="143"/>
      <c r="P49" s="143"/>
      <c r="Q49" s="143"/>
      <c r="R49" s="143"/>
      <c r="S49" s="143"/>
      <c r="T49" s="143"/>
      <c r="U49" s="143"/>
      <c r="V49" s="87"/>
      <c r="W49" s="87"/>
      <c r="X49" s="87"/>
      <c r="Y49" s="87"/>
      <c r="Z49" s="87"/>
      <c r="AA49" s="87"/>
      <c r="AB49" s="87"/>
    </row>
    <row r="50" spans="1:28" ht="13.8">
      <c r="A50" s="143" t="s">
        <v>159</v>
      </c>
      <c r="B50" s="143"/>
      <c r="C50" s="191">
        <v>4746</v>
      </c>
      <c r="D50" s="191">
        <v>28308</v>
      </c>
      <c r="E50" s="191">
        <v>104618</v>
      </c>
      <c r="F50" s="192">
        <v>115218</v>
      </c>
      <c r="G50" s="192">
        <v>123978</v>
      </c>
      <c r="H50" s="192">
        <v>141668</v>
      </c>
      <c r="I50" s="193">
        <v>137668</v>
      </c>
      <c r="J50" s="188"/>
      <c r="K50" s="188"/>
      <c r="L50" s="188"/>
      <c r="M50" s="188"/>
      <c r="N50" s="188"/>
      <c r="O50" s="188"/>
      <c r="P50" s="188"/>
      <c r="Q50" s="188"/>
      <c r="R50" s="188"/>
      <c r="S50" s="188"/>
      <c r="T50" s="188"/>
      <c r="U50" s="188"/>
      <c r="V50" s="87"/>
      <c r="W50" s="87"/>
      <c r="X50" s="87"/>
      <c r="Y50" s="87"/>
      <c r="Z50" s="87"/>
      <c r="AA50" s="87"/>
      <c r="AB50" s="87"/>
    </row>
    <row r="51" spans="1:28" ht="13.8">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row>
    <row r="52" spans="1:28" ht="13.8">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row>
    <row r="53" spans="1:28" ht="13.8">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row>
    <row r="54" spans="1:28" ht="13.8">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row>
    <row r="55" spans="1:28" ht="13.8">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row>
    <row r="56" spans="1:28" ht="13.8">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row>
    <row r="57" spans="1:28" ht="13.8">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row>
    <row r="58" spans="1:28" ht="13.8">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row>
    <row r="59" spans="1:28" ht="13.8">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row>
    <row r="60" spans="1:28" ht="13.8">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row>
    <row r="61" spans="1:28" ht="13.8">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row>
    <row r="62" spans="1:28" ht="13.8">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row>
    <row r="63" spans="1:28" ht="13.8">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row>
    <row r="64" spans="1:28" ht="13.8">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row>
    <row r="65" spans="1:28" ht="13.8">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row>
    <row r="66" spans="1:28" ht="13.8">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row>
    <row r="67" spans="1:28" ht="13.8">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row>
    <row r="68" spans="1:28" ht="13.8">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row>
    <row r="69" spans="1:28" ht="13.8">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row>
    <row r="70" spans="1:28" ht="13.8">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row>
    <row r="71" spans="1:28" ht="13.8">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row>
    <row r="72" spans="1:28" ht="13.8">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row>
    <row r="73" spans="1:28" ht="13.8">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row>
    <row r="74" spans="1:28" ht="13.8">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row>
    <row r="75" spans="1:28" ht="13.8">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row>
    <row r="76" spans="1:28" ht="13.8">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row>
    <row r="77" spans="1:28" ht="13.8">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row>
    <row r="78" spans="1:28" ht="13.8">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row>
    <row r="79" spans="1:28" ht="13.8">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row>
    <row r="80" spans="1:28" ht="13.8">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row>
    <row r="81" spans="1:28" ht="13.8">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row>
    <row r="82" spans="1:28" ht="13.8">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row>
    <row r="83" spans="1:28" ht="13.8">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row>
    <row r="84" spans="1:28" ht="13.8">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row>
    <row r="85" spans="1:28" ht="13.8">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row>
    <row r="86" spans="1:28" ht="13.8">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row>
    <row r="87" spans="1:28" ht="13.8">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row>
    <row r="88" spans="1:28" ht="13.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row>
    <row r="89" spans="1:28" ht="13.8">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row>
    <row r="90" spans="1:28" ht="13.8">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row>
    <row r="91" spans="1:28" ht="13.8">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row>
    <row r="92" spans="1:28" ht="13.8">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row>
    <row r="93" spans="1:28" ht="13.8">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row>
    <row r="94" spans="1:28" ht="13.8">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row>
    <row r="95" spans="1:28" ht="13.8">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row>
    <row r="96" spans="1:28" ht="13.8">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row>
    <row r="97" spans="1:28" ht="13.8">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row>
    <row r="98" spans="1:28" ht="13.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row>
    <row r="99" spans="1:28" ht="13.8">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row>
    <row r="100" spans="1:28" ht="13.8">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row>
    <row r="101" spans="1:28" ht="13.8">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row>
    <row r="102" spans="1:28" ht="13.8">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row>
    <row r="103" spans="1:28" ht="13.8">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row>
    <row r="104" spans="1:28" ht="13.8">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row>
    <row r="105" spans="1:28" ht="13.8">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row>
    <row r="106" spans="1:28" ht="13.8">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row>
    <row r="107" spans="1:28" ht="13.8">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row>
    <row r="108" spans="1:28" ht="13.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row>
    <row r="109" spans="1:28" ht="13.8">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row>
    <row r="110" spans="1:28" ht="13.8">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row>
    <row r="111" spans="1:28" ht="13.8">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row>
    <row r="112" spans="1:28" ht="13.8">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row>
    <row r="113" spans="1:28" ht="13.8">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row>
    <row r="114" spans="1:28" ht="13.8">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row>
    <row r="115" spans="1:28" ht="13.8">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row>
    <row r="116" spans="1:28" ht="13.8">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row>
    <row r="117" spans="1:28" ht="13.8">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row>
    <row r="118" spans="1:28" ht="13.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row>
    <row r="119" spans="1:28" ht="13.8">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row>
    <row r="120" spans="1:28" ht="13.8">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row>
    <row r="121" spans="1:28" ht="13.8">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row>
    <row r="122" spans="1:28" ht="13.8">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row>
    <row r="123" spans="1:28" ht="13.8">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row>
    <row r="124" spans="1:28" ht="13.8">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row>
    <row r="125" spans="1:28" ht="13.8">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row>
    <row r="126" spans="1:28" ht="13.8">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row>
    <row r="127" spans="1:28" ht="13.8">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row>
    <row r="128" spans="1:28" ht="13.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row>
    <row r="129" spans="1:28" ht="13.8">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row>
    <row r="130" spans="1:28" ht="13.8">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row>
    <row r="131" spans="1:28" ht="13.8">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row>
    <row r="132" spans="1:28" ht="13.8">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row>
    <row r="133" spans="1:28" ht="13.8">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row>
    <row r="134" spans="1:28" ht="13.8">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row>
    <row r="135" spans="1:28" ht="13.8">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row>
    <row r="136" spans="1:28" ht="13.8">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row>
    <row r="137" spans="1:28" ht="13.8">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row>
    <row r="138" spans="1:28" ht="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row>
    <row r="139" spans="1:28" ht="13.8">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row>
    <row r="140" spans="1:28" ht="13.8">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row>
    <row r="141" spans="1:28" ht="13.8">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row>
    <row r="142" spans="1:28" ht="13.8">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row>
    <row r="143" spans="1:28" ht="13.8">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row>
    <row r="144" spans="1:28" ht="13.8">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row>
    <row r="145" spans="1:28" ht="13.8">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row>
    <row r="146" spans="1:28" ht="13.8">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row>
    <row r="147" spans="1:28" ht="13.8">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row>
    <row r="148" spans="1:28" ht="13.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row>
    <row r="149" spans="1:28" ht="13.8">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row>
    <row r="150" spans="1:28" ht="13.8">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row>
    <row r="151" spans="1:28" ht="13.8">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row>
    <row r="152" spans="1:28" ht="13.8">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row>
    <row r="153" spans="1:28" ht="13.8">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row>
    <row r="154" spans="1:28" ht="13.8">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row>
    <row r="155" spans="1:28" ht="13.8">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row>
    <row r="156" spans="1:28" ht="13.8">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row>
    <row r="157" spans="1:28" ht="13.8">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row>
    <row r="158" spans="1:28" ht="13.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row>
    <row r="159" spans="1:28" ht="13.8">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row>
    <row r="160" spans="1:28" ht="13.8">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row>
    <row r="161" spans="1:28" ht="13.8">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row>
    <row r="162" spans="1:28" ht="13.8">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row>
    <row r="163" spans="1:28" ht="13.8">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row>
    <row r="164" spans="1:28" ht="13.8">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row>
    <row r="165" spans="1:28" ht="13.8">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row>
    <row r="166" spans="1:28" ht="13.8">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row>
    <row r="167" spans="1:28" ht="13.8">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row>
    <row r="168" spans="1:28" ht="13.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row>
    <row r="169" spans="1:28" ht="13.8">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row>
    <row r="170" spans="1:28" ht="13.8">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row>
    <row r="171" spans="1:28" ht="13.8">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row>
    <row r="172" spans="1:28" ht="13.8">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row>
    <row r="173" spans="1:28" ht="13.8">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row>
    <row r="174" spans="1:28" ht="13.8">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row>
    <row r="175" spans="1:28" ht="13.8">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row>
    <row r="176" spans="1:28" ht="13.8">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row>
    <row r="177" spans="1:28" ht="13.8">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row>
    <row r="178" spans="1:28" ht="13.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row>
    <row r="179" spans="1:28" ht="13.8">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row>
    <row r="180" spans="1:28" ht="13.8">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row>
    <row r="181" spans="1:28" ht="13.8">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row>
    <row r="182" spans="1:28" ht="13.8">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row>
    <row r="183" spans="1:28" ht="13.8">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row>
    <row r="184" spans="1:28" ht="13.8">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row>
    <row r="185" spans="1:28" ht="13.8">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row>
    <row r="186" spans="1:28" ht="13.8">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row>
    <row r="187" spans="1:28" ht="13.8">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row>
    <row r="188" spans="1:28" ht="13.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row>
    <row r="189" spans="1:28" ht="13.8">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row>
    <row r="190" spans="1:28" ht="13.8">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row>
    <row r="191" spans="1:28" ht="13.8">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row>
    <row r="192" spans="1:28" ht="13.8">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row>
    <row r="193" spans="1:28" ht="13.8">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row>
    <row r="194" spans="1:28" ht="13.8">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row>
    <row r="195" spans="1:28" ht="13.8">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row>
    <row r="196" spans="1:28" ht="13.8">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row>
    <row r="197" spans="1:28" ht="13.8">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row>
    <row r="198" spans="1:28" ht="13.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row>
    <row r="199" spans="1:28" ht="13.8">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row>
    <row r="200" spans="1:28" ht="13.8">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row>
    <row r="201" spans="1:28" ht="13.8">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row>
    <row r="202" spans="1:28" ht="13.8">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row>
    <row r="203" spans="1:28" ht="13.8">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row>
    <row r="204" spans="1:28" ht="13.8">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row>
    <row r="205" spans="1:28" ht="13.8">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row>
    <row r="206" spans="1:28" ht="13.8">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row>
    <row r="207" spans="1:28" ht="13.8">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row>
    <row r="208" spans="1:28" ht="13.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row>
    <row r="209" spans="1:28" ht="13.8">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row>
    <row r="210" spans="1:28" ht="13.8">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row>
    <row r="211" spans="1:28" ht="13.8">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row>
    <row r="212" spans="1:28" ht="13.8">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row>
    <row r="213" spans="1:28" ht="13.8">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row>
    <row r="214" spans="1:28" ht="13.8">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row>
    <row r="215" spans="1:28" ht="13.8">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row>
    <row r="216" spans="1:28" ht="13.8">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row>
    <row r="217" spans="1:28" ht="13.8">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row>
    <row r="218" spans="1:28" ht="13.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row>
    <row r="219" spans="1:28" ht="13.8">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row>
    <row r="220" spans="1:28" ht="13.8">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row>
    <row r="221" spans="1:28" ht="13.8">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row>
    <row r="222" spans="1:28" ht="13.8">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row>
    <row r="223" spans="1:28" ht="13.8">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row>
    <row r="224" spans="1:28" ht="13.8">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row>
    <row r="225" spans="1:28" ht="13.8">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row>
    <row r="226" spans="1:28" ht="13.8">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row>
    <row r="227" spans="1:28" ht="13.8">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row>
    <row r="228" spans="1:28" ht="13.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row>
    <row r="229" spans="1:28" ht="13.8">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row>
    <row r="230" spans="1:28" ht="13.8">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row>
    <row r="231" spans="1:28" ht="13.8">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row>
    <row r="232" spans="1:28" ht="13.8">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row>
    <row r="233" spans="1:28" ht="13.8">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row>
    <row r="234" spans="1:28" ht="13.8">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row>
    <row r="235" spans="1:28" ht="13.8">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row>
    <row r="236" spans="1:28" ht="13.8">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row>
    <row r="237" spans="1:28" ht="13.8">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row>
    <row r="238" spans="1:28" ht="1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row>
    <row r="239" spans="1:28" ht="13.8">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row>
    <row r="240" spans="1:28" ht="13.8">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row>
    <row r="241" spans="1:28" ht="13.8">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row>
    <row r="242" spans="1:28" ht="13.8">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row>
    <row r="243" spans="1:28" ht="13.8">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row>
    <row r="244" spans="1:28" ht="13.8">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row>
    <row r="245" spans="1:28" ht="13.8">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row>
    <row r="246" spans="1:28" ht="13.8">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row>
    <row r="247" spans="1:28" ht="13.8">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row>
    <row r="248" spans="1:28" ht="13.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row>
    <row r="249" spans="1:28" ht="13.8">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row>
    <row r="250" spans="1:28" ht="13.8">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row>
    <row r="251" spans="1:28" ht="13.8">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row>
    <row r="252" spans="1:28" ht="13.8">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row>
    <row r="253" spans="1:28" ht="13.8">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row>
    <row r="254" spans="1:28" ht="13.8">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row>
    <row r="255" spans="1:28" ht="13.8">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row>
    <row r="256" spans="1:28" ht="13.8">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row>
    <row r="257" spans="1:28" ht="13.8">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row>
    <row r="258" spans="1:28" ht="13.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row>
    <row r="259" spans="1:28" ht="13.8">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row>
    <row r="260" spans="1:28" ht="13.8">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row>
    <row r="261" spans="1:28" ht="13.8">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row>
    <row r="262" spans="1:28" ht="13.8">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row>
    <row r="263" spans="1:28" ht="13.8">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row>
    <row r="264" spans="1:28" ht="13.8">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row>
    <row r="265" spans="1:28" ht="13.8">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row>
    <row r="266" spans="1:28" ht="13.8">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row>
    <row r="267" spans="1:28" ht="13.8">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row>
    <row r="268" spans="1:28" ht="13.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row>
    <row r="269" spans="1:28" ht="13.8">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row>
    <row r="270" spans="1:28" ht="13.8">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row>
    <row r="271" spans="1:28" ht="13.8">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row>
    <row r="272" spans="1:28" ht="13.8">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row>
    <row r="273" spans="1:28" ht="13.8">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row>
    <row r="274" spans="1:28" ht="13.8">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row>
    <row r="275" spans="1:28" ht="13.8">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row>
    <row r="276" spans="1:28" ht="13.8">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row>
    <row r="277" spans="1:28" ht="13.8">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row>
    <row r="278" spans="1:28" ht="13.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row>
    <row r="279" spans="1:28" ht="13.8">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row>
    <row r="280" spans="1:28" ht="13.8">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row>
    <row r="281" spans="1:28" ht="13.8">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row>
    <row r="282" spans="1:28" ht="13.8">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row>
    <row r="283" spans="1:28" ht="13.8">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row>
    <row r="284" spans="1:28" ht="13.8">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row>
    <row r="285" spans="1:28" ht="13.8">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row>
    <row r="286" spans="1:28" ht="13.8">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row>
    <row r="287" spans="1:28" ht="13.8">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row>
    <row r="288" spans="1:28" ht="13.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row>
    <row r="289" spans="1:28" ht="13.8">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row>
    <row r="290" spans="1:28" ht="13.8">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row>
    <row r="291" spans="1:28" ht="13.8">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row>
    <row r="292" spans="1:28" ht="13.8">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row>
    <row r="293" spans="1:28" ht="13.8">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row>
    <row r="294" spans="1:28" ht="13.8">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row>
    <row r="295" spans="1:28" ht="13.8">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row>
    <row r="296" spans="1:28" ht="13.8">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row>
    <row r="297" spans="1:28" ht="13.8">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row>
    <row r="298" spans="1:28" ht="13.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row>
    <row r="299" spans="1:28" ht="13.8">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row>
    <row r="300" spans="1:28" ht="13.8">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row>
    <row r="301" spans="1:28" ht="13.8">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row>
    <row r="302" spans="1:28" ht="13.8">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row>
    <row r="303" spans="1:28" ht="13.8">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row>
    <row r="304" spans="1:28" ht="13.8">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row>
    <row r="305" spans="1:28" ht="13.8">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row>
    <row r="306" spans="1:28" ht="13.8">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row>
    <row r="307" spans="1:28" ht="13.8">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row>
    <row r="308" spans="1:28" ht="13.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row>
    <row r="309" spans="1:28" ht="13.8">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row>
    <row r="310" spans="1:28" ht="13.8">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row>
    <row r="311" spans="1:28" ht="13.8">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row>
    <row r="312" spans="1:28" ht="13.8">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row>
    <row r="313" spans="1:28" ht="13.8">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row>
    <row r="314" spans="1:28" ht="13.8">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row>
    <row r="315" spans="1:28" ht="13.8">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row>
    <row r="316" spans="1:28" ht="13.8">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row>
    <row r="317" spans="1:28" ht="13.8">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row>
    <row r="318" spans="1:28" ht="13.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row>
    <row r="319" spans="1:28" ht="13.8">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row>
    <row r="320" spans="1:28" ht="13.8">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row>
    <row r="321" spans="1:28" ht="13.8">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row>
    <row r="322" spans="1:28" ht="13.8">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row>
    <row r="323" spans="1:28" ht="13.8">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row>
    <row r="324" spans="1:28" ht="13.8">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row>
    <row r="325" spans="1:28" ht="13.8">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row>
    <row r="326" spans="1:28" ht="13.8">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row>
    <row r="327" spans="1:28" ht="13.8">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row>
    <row r="328" spans="1:28" ht="13.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row>
    <row r="329" spans="1:28" ht="13.8">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row>
    <row r="330" spans="1:28" ht="13.8">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row>
    <row r="331" spans="1:28" ht="13.8">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row>
    <row r="332" spans="1:28" ht="13.8">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row>
    <row r="333" spans="1:28" ht="13.8">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row>
    <row r="334" spans="1:28" ht="13.8">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row>
    <row r="335" spans="1:28" ht="13.8">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row>
    <row r="336" spans="1:28" ht="13.8">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row>
    <row r="337" spans="1:28" ht="13.8">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row>
    <row r="338" spans="1:28" ht="1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row>
    <row r="339" spans="1:28" ht="13.8">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row>
    <row r="340" spans="1:28" ht="13.8">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row>
    <row r="341" spans="1:28" ht="13.8">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row>
    <row r="342" spans="1:28" ht="13.8">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row>
    <row r="343" spans="1:28" ht="13.8">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row>
    <row r="344" spans="1:28" ht="13.8">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row>
    <row r="345" spans="1:28" ht="13.8">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row>
    <row r="346" spans="1:28" ht="13.8">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row>
    <row r="347" spans="1:28" ht="13.8">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row>
    <row r="348" spans="1:28" ht="13.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row>
    <row r="349" spans="1:28" ht="13.8">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row>
    <row r="350" spans="1:28" ht="13.8">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row>
    <row r="351" spans="1:28" ht="13.8">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row>
    <row r="352" spans="1:28" ht="13.8">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row>
    <row r="353" spans="1:28" ht="13.8">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row>
    <row r="354" spans="1:28" ht="13.8">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row>
    <row r="355" spans="1:28" ht="13.8">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row>
    <row r="356" spans="1:28" ht="13.8">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row>
    <row r="357" spans="1:28" ht="13.8">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row>
    <row r="358" spans="1:28" ht="13.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row>
    <row r="359" spans="1:28" ht="13.8">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row>
    <row r="360" spans="1:28" ht="13.8">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row>
    <row r="361" spans="1:28" ht="13.8">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row>
    <row r="362" spans="1:28" ht="13.8">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row>
    <row r="363" spans="1:28" ht="13.8">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row>
    <row r="364" spans="1:28" ht="13.8">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row>
    <row r="365" spans="1:28" ht="13.8">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row>
    <row r="366" spans="1:28" ht="13.8">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row>
    <row r="367" spans="1:28" ht="13.8">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row>
    <row r="368" spans="1:28" ht="13.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row>
    <row r="369" spans="1:28" ht="13.8">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row>
    <row r="370" spans="1:28" ht="13.8">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row>
    <row r="371" spans="1:28" ht="13.8">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row>
    <row r="372" spans="1:28" ht="13.8">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row>
    <row r="373" spans="1:28" ht="13.8">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row>
    <row r="374" spans="1:28" ht="13.8">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row>
    <row r="375" spans="1:28" ht="13.8">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row>
    <row r="376" spans="1:28" ht="13.8">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row>
    <row r="377" spans="1:28" ht="13.8">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row>
    <row r="378" spans="1:28" ht="13.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row>
    <row r="379" spans="1:28" ht="13.8">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row>
    <row r="380" spans="1:28" ht="13.8">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row>
    <row r="381" spans="1:28" ht="13.8">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row>
    <row r="382" spans="1:28" ht="13.8">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row>
    <row r="383" spans="1:28" ht="13.8">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row>
    <row r="384" spans="1:28" ht="13.8">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row>
    <row r="385" spans="1:28" ht="13.8">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row>
    <row r="386" spans="1:28" ht="13.8">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row>
    <row r="387" spans="1:28" ht="13.8">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row>
    <row r="388" spans="1:28" ht="13.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row>
    <row r="389" spans="1:28" ht="13.8">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row>
    <row r="390" spans="1:28" ht="13.8">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row>
    <row r="391" spans="1:28" ht="13.8">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row>
    <row r="392" spans="1:28" ht="13.8">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row>
    <row r="393" spans="1:28" ht="13.8">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row>
    <row r="394" spans="1:28" ht="13.8">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row>
    <row r="395" spans="1:28" ht="13.8">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row>
    <row r="396" spans="1:28" ht="13.8">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row>
    <row r="397" spans="1:28" ht="13.8">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row>
    <row r="398" spans="1:28" ht="13.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row>
    <row r="399" spans="1:28" ht="13.8">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row>
    <row r="400" spans="1:28" ht="13.8">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row>
    <row r="401" spans="1:28" ht="13.8">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row>
    <row r="402" spans="1:28" ht="13.8">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row>
    <row r="403" spans="1:28" ht="13.8">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row>
    <row r="404" spans="1:28" ht="13.8">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row>
    <row r="405" spans="1:28" ht="13.8">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row>
    <row r="406" spans="1:28" ht="13.8">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row>
    <row r="407" spans="1:28" ht="13.8">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row>
    <row r="408" spans="1:28" ht="13.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row>
    <row r="409" spans="1:28" ht="13.8">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row>
    <row r="410" spans="1:28" ht="13.8">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row>
    <row r="411" spans="1:28" ht="13.8">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row>
    <row r="412" spans="1:28" ht="13.8">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row>
    <row r="413" spans="1:28" ht="13.8">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row>
    <row r="414" spans="1:28" ht="13.8">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row>
    <row r="415" spans="1:28" ht="13.8">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row>
    <row r="416" spans="1:28" ht="13.8">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row>
    <row r="417" spans="1:28" ht="13.8">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row>
    <row r="418" spans="1:28" ht="13.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row>
    <row r="419" spans="1:28" ht="13.8">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row>
    <row r="420" spans="1:28" ht="13.8">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row>
    <row r="421" spans="1:28" ht="13.8">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row>
    <row r="422" spans="1:28" ht="13.8">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row>
    <row r="423" spans="1:28" ht="13.8">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row>
    <row r="424" spans="1:28" ht="13.8">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row>
    <row r="425" spans="1:28" ht="13.8">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row>
    <row r="426" spans="1:28" ht="13.8">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row>
    <row r="427" spans="1:28" ht="13.8">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row>
    <row r="428" spans="1:28" ht="13.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row>
    <row r="429" spans="1:28" ht="13.8">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row>
    <row r="430" spans="1:28" ht="13.8">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row>
    <row r="431" spans="1:28" ht="13.8">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row>
    <row r="432" spans="1:28" ht="13.8">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row>
    <row r="433" spans="1:28" ht="13.8">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row>
    <row r="434" spans="1:28" ht="13.8">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row>
    <row r="435" spans="1:28" ht="13.8">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row>
    <row r="436" spans="1:28" ht="13.8">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row>
    <row r="437" spans="1:28" ht="13.8">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row>
    <row r="438" spans="1:28" ht="1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row>
    <row r="439" spans="1:28" ht="13.8">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row>
    <row r="440" spans="1:28" ht="13.8">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row>
    <row r="441" spans="1:28" ht="13.8">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row>
    <row r="442" spans="1:28" ht="13.8">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row>
    <row r="443" spans="1:28" ht="13.8">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row>
    <row r="444" spans="1:28" ht="13.8">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row>
    <row r="445" spans="1:28" ht="13.8">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row>
    <row r="446" spans="1:28" ht="13.8">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row>
    <row r="447" spans="1:28" ht="13.8">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row>
    <row r="448" spans="1:28" ht="13.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row>
    <row r="449" spans="1:28" ht="13.8">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row>
    <row r="450" spans="1:28" ht="13.8">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row>
    <row r="451" spans="1:28" ht="13.8">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row>
    <row r="452" spans="1:28" ht="13.8">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row>
    <row r="453" spans="1:28" ht="13.8">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row>
    <row r="454" spans="1:28" ht="13.8">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row>
    <row r="455" spans="1:28" ht="13.8">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row>
    <row r="456" spans="1:28" ht="13.8">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row>
    <row r="457" spans="1:28" ht="13.8">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row>
    <row r="458" spans="1:28" ht="13.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row>
    <row r="459" spans="1:28" ht="13.8">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row>
    <row r="460" spans="1:28" ht="13.8">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row>
    <row r="461" spans="1:28" ht="13.8">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row>
    <row r="462" spans="1:28" ht="13.8">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row>
    <row r="463" spans="1:28" ht="13.8">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row>
    <row r="464" spans="1:28" ht="13.8">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row>
    <row r="465" spans="1:28" ht="13.8">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row>
    <row r="466" spans="1:28" ht="13.8">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row>
    <row r="467" spans="1:28" ht="13.8">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row>
    <row r="468" spans="1:28" ht="13.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row>
    <row r="469" spans="1:28" ht="13.8">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row>
    <row r="470" spans="1:28" ht="13.8">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row>
    <row r="471" spans="1:28" ht="13.8">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row>
    <row r="472" spans="1:28" ht="13.8">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row>
    <row r="473" spans="1:28" ht="13.8">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row>
    <row r="474" spans="1:28" ht="13.8">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row>
    <row r="475" spans="1:28" ht="13.8">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row>
    <row r="476" spans="1:28" ht="13.8">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row>
    <row r="477" spans="1:28" ht="13.8">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row>
    <row r="478" spans="1:28" ht="13.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row>
    <row r="479" spans="1:28" ht="13.8">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row>
    <row r="480" spans="1:28" ht="13.8">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row>
    <row r="481" spans="1:28" ht="13.8">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row>
    <row r="482" spans="1:28" ht="13.8">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row>
    <row r="483" spans="1:28" ht="13.8">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row>
    <row r="484" spans="1:28" ht="13.8">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row>
    <row r="485" spans="1:28" ht="13.8">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row>
    <row r="486" spans="1:28" ht="13.8">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row>
    <row r="487" spans="1:28" ht="13.8">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row>
    <row r="488" spans="1:28" ht="13.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row>
    <row r="489" spans="1:28" ht="13.8">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row>
    <row r="490" spans="1:28" ht="13.8">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row>
    <row r="491" spans="1:28" ht="13.8">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row>
    <row r="492" spans="1:28" ht="13.8">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row>
    <row r="493" spans="1:28" ht="13.8">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row>
    <row r="494" spans="1:28" ht="13.8">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row>
    <row r="495" spans="1:28" ht="13.8">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row>
    <row r="496" spans="1:28" ht="13.8">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row>
    <row r="497" spans="1:28" ht="13.8">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row>
    <row r="498" spans="1:28" ht="13.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row>
    <row r="499" spans="1:28" ht="13.8">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row>
    <row r="500" spans="1:28" ht="13.8">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row>
    <row r="501" spans="1:28" ht="13.8">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row>
    <row r="502" spans="1:28" ht="13.8">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row>
    <row r="503" spans="1:28" ht="13.8">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row>
    <row r="504" spans="1:28" ht="13.8">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row>
    <row r="505" spans="1:28" ht="13.8">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row>
    <row r="506" spans="1:28" ht="13.8">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row>
    <row r="507" spans="1:28" ht="13.8">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row>
    <row r="508" spans="1:28" ht="13.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row>
    <row r="509" spans="1:28" ht="13.8">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row>
    <row r="510" spans="1:28" ht="13.8">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row>
    <row r="511" spans="1:28" ht="13.8">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row>
    <row r="512" spans="1:28" ht="13.8">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row>
    <row r="513" spans="1:28" ht="13.8">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row>
    <row r="514" spans="1:28" ht="13.8">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row>
    <row r="515" spans="1:28" ht="13.8">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row>
    <row r="516" spans="1:28" ht="13.8">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row>
    <row r="517" spans="1:28" ht="13.8">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row>
    <row r="518" spans="1:28" ht="13.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row>
    <row r="519" spans="1:28" ht="13.8">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row>
    <row r="520" spans="1:28" ht="13.8">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row>
    <row r="521" spans="1:28" ht="13.8">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row>
    <row r="522" spans="1:28" ht="13.8">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row>
    <row r="523" spans="1:28" ht="13.8">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row>
    <row r="524" spans="1:28" ht="13.8">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row>
    <row r="525" spans="1:28" ht="13.8">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row>
    <row r="526" spans="1:28" ht="13.8">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row>
    <row r="527" spans="1:28" ht="13.8">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row>
    <row r="528" spans="1:28" ht="13.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row>
    <row r="529" spans="1:28" ht="13.8">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row>
    <row r="530" spans="1:28" ht="13.8">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row>
    <row r="531" spans="1:28" ht="13.8">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row>
    <row r="532" spans="1:28" ht="13.8">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row>
    <row r="533" spans="1:28" ht="13.8">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row>
    <row r="534" spans="1:28" ht="13.8">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row>
    <row r="535" spans="1:28" ht="13.8">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row>
    <row r="536" spans="1:28" ht="13.8">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row>
    <row r="537" spans="1:28" ht="13.8">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row>
    <row r="538" spans="1:28" ht="1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row>
    <row r="539" spans="1:28" ht="13.8">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row>
    <row r="540" spans="1:28" ht="13.8">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row>
    <row r="541" spans="1:28" ht="13.8">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row>
    <row r="542" spans="1:28" ht="13.8">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row>
    <row r="543" spans="1:28" ht="13.8">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row>
    <row r="544" spans="1:28" ht="13.8">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row>
    <row r="545" spans="1:28" ht="13.8">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row>
    <row r="546" spans="1:28" ht="13.8">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row>
    <row r="547" spans="1:28" ht="13.8">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row>
    <row r="548" spans="1:28" ht="13.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row>
    <row r="549" spans="1:28" ht="13.8">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row>
    <row r="550" spans="1:28" ht="13.8">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row>
    <row r="551" spans="1:28" ht="13.8">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row>
    <row r="552" spans="1:28" ht="13.8">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row>
    <row r="553" spans="1:28" ht="13.8">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row>
    <row r="554" spans="1:28" ht="13.8">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row>
    <row r="555" spans="1:28" ht="13.8">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row>
    <row r="556" spans="1:28" ht="13.8">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row>
    <row r="557" spans="1:28" ht="13.8">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row>
    <row r="558" spans="1:28" ht="13.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row>
    <row r="559" spans="1:28" ht="13.8">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row>
    <row r="560" spans="1:28" ht="13.8">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row>
    <row r="561" spans="1:28" ht="13.8">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row>
    <row r="562" spans="1:28" ht="13.8">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row>
    <row r="563" spans="1:28" ht="13.8">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row>
    <row r="564" spans="1:28" ht="13.8">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row>
    <row r="565" spans="1:28" ht="13.8">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row>
    <row r="566" spans="1:28" ht="13.8">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row>
    <row r="567" spans="1:28" ht="13.8">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row>
    <row r="568" spans="1:28" ht="13.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row>
    <row r="569" spans="1:28" ht="13.8">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row>
    <row r="570" spans="1:28" ht="13.8">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row>
    <row r="571" spans="1:28" ht="13.8">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row>
    <row r="572" spans="1:28" ht="13.8">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row>
    <row r="573" spans="1:28" ht="13.8">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row>
    <row r="574" spans="1:28" ht="13.8">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row>
    <row r="575" spans="1:28" ht="13.8">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row>
    <row r="576" spans="1:28" ht="13.8">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row>
    <row r="577" spans="1:28" ht="13.8">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row>
    <row r="578" spans="1:28" ht="13.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row>
    <row r="579" spans="1:28" ht="13.8">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row>
    <row r="580" spans="1:28" ht="13.8">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row>
    <row r="581" spans="1:28" ht="13.8">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row>
    <row r="582" spans="1:28" ht="13.8">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row>
    <row r="583" spans="1:28" ht="13.8">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row>
    <row r="584" spans="1:28" ht="13.8">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row>
    <row r="585" spans="1:28" ht="13.8">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row>
    <row r="586" spans="1:28" ht="13.8">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row>
    <row r="587" spans="1:28" ht="13.8">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row>
    <row r="588" spans="1:28" ht="13.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row>
    <row r="589" spans="1:28" ht="13.8">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row>
    <row r="590" spans="1:28" ht="13.8">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row>
    <row r="591" spans="1:28" ht="13.8">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row>
    <row r="592" spans="1:28" ht="13.8">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row>
    <row r="593" spans="1:28" ht="13.8">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row>
    <row r="594" spans="1:28" ht="13.8">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row>
    <row r="595" spans="1:28" ht="13.8">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row>
    <row r="596" spans="1:28" ht="13.8">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row>
    <row r="597" spans="1:28" ht="13.8">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row>
    <row r="598" spans="1:28" ht="13.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row>
    <row r="599" spans="1:28" ht="13.8">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row>
    <row r="600" spans="1:28" ht="13.8">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row>
    <row r="601" spans="1:28" ht="13.8">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row>
    <row r="602" spans="1:28" ht="13.8">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row>
    <row r="603" spans="1:28" ht="13.8">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row>
    <row r="604" spans="1:28" ht="13.8">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row>
    <row r="605" spans="1:28" ht="13.8">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row>
    <row r="606" spans="1:28" ht="13.8">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row>
    <row r="607" spans="1:28" ht="13.8">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row>
    <row r="608" spans="1:28" ht="13.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row>
    <row r="609" spans="1:28" ht="13.8">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row>
    <row r="610" spans="1:28" ht="13.8">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row>
    <row r="611" spans="1:28" ht="13.8">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row>
    <row r="612" spans="1:28" ht="13.8">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row>
    <row r="613" spans="1:28" ht="13.8">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row>
    <row r="614" spans="1:28" ht="13.8">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row>
    <row r="615" spans="1:28" ht="13.8">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row>
    <row r="616" spans="1:28" ht="13.8">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row>
    <row r="617" spans="1:28" ht="13.8">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row>
    <row r="618" spans="1:28" ht="13.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row>
    <row r="619" spans="1:28" ht="13.8">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row>
    <row r="620" spans="1:28" ht="13.8">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row>
    <row r="621" spans="1:28" ht="13.8">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row>
    <row r="622" spans="1:28" ht="13.8">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row>
    <row r="623" spans="1:28" ht="13.8">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row>
    <row r="624" spans="1:28" ht="13.8">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row>
    <row r="625" spans="1:28" ht="13.8">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row>
    <row r="626" spans="1:28" ht="13.8">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row>
    <row r="627" spans="1:28" ht="13.8">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row>
    <row r="628" spans="1:28" ht="13.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row>
    <row r="629" spans="1:28" ht="13.8">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row>
    <row r="630" spans="1:28" ht="13.8">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row>
    <row r="631" spans="1:28" ht="13.8">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row>
    <row r="632" spans="1:28" ht="13.8">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row>
    <row r="633" spans="1:28" ht="13.8">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row>
    <row r="634" spans="1:28" ht="13.8">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row>
    <row r="635" spans="1:28" ht="13.8">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row>
    <row r="636" spans="1:28" ht="13.8">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row>
    <row r="637" spans="1:28" ht="13.8">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row>
    <row r="638" spans="1:28" ht="1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row>
    <row r="639" spans="1:28" ht="13.8">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row>
    <row r="640" spans="1:28" ht="13.8">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row>
    <row r="641" spans="1:28" ht="13.8">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row>
    <row r="642" spans="1:28" ht="13.8">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row>
    <row r="643" spans="1:28" ht="13.8">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row>
    <row r="644" spans="1:28" ht="13.8">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row>
    <row r="645" spans="1:28" ht="13.8">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row>
    <row r="646" spans="1:28" ht="13.8">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row>
    <row r="647" spans="1:28" ht="13.8">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row>
    <row r="648" spans="1:28" ht="13.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row>
    <row r="649" spans="1:28" ht="13.8">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row>
    <row r="650" spans="1:28" ht="13.8">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row>
    <row r="651" spans="1:28" ht="13.8">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row>
    <row r="652" spans="1:28" ht="13.8">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row>
    <row r="653" spans="1:28" ht="13.8">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row>
    <row r="654" spans="1:28" ht="13.8">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row>
    <row r="655" spans="1:28" ht="13.8">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row>
    <row r="656" spans="1:28" ht="13.8">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row>
    <row r="657" spans="1:28" ht="13.8">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row>
    <row r="658" spans="1:28" ht="13.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row>
    <row r="659" spans="1:28" ht="13.8">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row>
    <row r="660" spans="1:28" ht="13.8">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row>
    <row r="661" spans="1:28" ht="13.8">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row>
    <row r="662" spans="1:28" ht="13.8">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row>
    <row r="663" spans="1:28" ht="13.8">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row>
    <row r="664" spans="1:28" ht="13.8">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row>
    <row r="665" spans="1:28" ht="13.8">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row>
    <row r="666" spans="1:28" ht="13.8">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row>
    <row r="667" spans="1:28" ht="13.8">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row>
    <row r="668" spans="1:28" ht="13.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row>
    <row r="669" spans="1:28" ht="13.8">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row>
    <row r="670" spans="1:28" ht="13.8">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row>
    <row r="671" spans="1:28" ht="13.8">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row>
    <row r="672" spans="1:28" ht="13.8">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row>
    <row r="673" spans="1:28" ht="13.8">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row>
    <row r="674" spans="1:28" ht="13.8">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row>
    <row r="675" spans="1:28" ht="13.8">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row>
    <row r="676" spans="1:28" ht="13.8">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row>
    <row r="677" spans="1:28" ht="13.8">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row>
    <row r="678" spans="1:28" ht="13.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row>
    <row r="679" spans="1:28" ht="13.8">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row>
    <row r="680" spans="1:28" ht="13.8">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row>
    <row r="681" spans="1:28" ht="13.8">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row>
    <row r="682" spans="1:28" ht="13.8">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row>
    <row r="683" spans="1:28" ht="13.8">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row>
    <row r="684" spans="1:28" ht="13.8">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row>
    <row r="685" spans="1:28" ht="13.8">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row>
    <row r="686" spans="1:28" ht="13.8">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row>
    <row r="687" spans="1:28" ht="13.8">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row>
    <row r="688" spans="1:28" ht="13.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row>
    <row r="689" spans="1:28" ht="13.8">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row>
    <row r="690" spans="1:28" ht="13.8">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row>
    <row r="691" spans="1:28" ht="13.8">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row>
    <row r="692" spans="1:28" ht="13.8">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row>
    <row r="693" spans="1:28" ht="13.8">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row>
    <row r="694" spans="1:28" ht="13.8">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row>
    <row r="695" spans="1:28" ht="13.8">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row>
    <row r="696" spans="1:28" ht="13.8">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row>
    <row r="697" spans="1:28" ht="13.8">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row>
    <row r="698" spans="1:28" ht="13.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row>
    <row r="699" spans="1:28" ht="13.8">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row>
    <row r="700" spans="1:28" ht="13.8">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row>
    <row r="701" spans="1:28" ht="13.8">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row>
    <row r="702" spans="1:28" ht="13.8">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row>
    <row r="703" spans="1:28" ht="13.8">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row>
    <row r="704" spans="1:28" ht="13.8">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row>
    <row r="705" spans="1:28" ht="13.8">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row>
    <row r="706" spans="1:28" ht="13.8">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row>
    <row r="707" spans="1:28" ht="13.8">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row>
    <row r="708" spans="1:28" ht="13.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row>
    <row r="709" spans="1:28" ht="13.8">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row>
    <row r="710" spans="1:28" ht="13.8">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row>
    <row r="711" spans="1:28" ht="13.8">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row>
    <row r="712" spans="1:28" ht="13.8">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row>
    <row r="713" spans="1:28" ht="13.8">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row>
    <row r="714" spans="1:28" ht="13.8">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row>
    <row r="715" spans="1:28" ht="13.8">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row>
    <row r="716" spans="1:28" ht="13.8">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row>
    <row r="717" spans="1:28" ht="13.8">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row>
    <row r="718" spans="1:28" ht="13.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row>
    <row r="719" spans="1:28" ht="13.8">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row>
    <row r="720" spans="1:28" ht="13.8">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row>
    <row r="721" spans="1:28" ht="13.8">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row>
    <row r="722" spans="1:28" ht="13.8">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row>
    <row r="723" spans="1:28" ht="13.8">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row>
    <row r="724" spans="1:28" ht="13.8">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row>
    <row r="725" spans="1:28" ht="13.8">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row>
    <row r="726" spans="1:28" ht="13.8">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row>
    <row r="727" spans="1:28" ht="13.8">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row>
    <row r="728" spans="1:28" ht="13.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row>
    <row r="729" spans="1:28" ht="13.8">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row>
    <row r="730" spans="1:28" ht="13.8">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row>
    <row r="731" spans="1:28" ht="13.8">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row>
    <row r="732" spans="1:28" ht="13.8">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row>
    <row r="733" spans="1:28" ht="13.8">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row>
    <row r="734" spans="1:28" ht="13.8">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row>
    <row r="735" spans="1:28" ht="13.8">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row>
    <row r="736" spans="1:28" ht="13.8">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row>
    <row r="737" spans="1:28" ht="13.8">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row>
    <row r="738" spans="1:28" ht="1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row>
    <row r="739" spans="1:28" ht="13.8">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row>
    <row r="740" spans="1:28" ht="13.8">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row>
    <row r="741" spans="1:28" ht="13.8">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row>
    <row r="742" spans="1:28" ht="13.8">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row>
    <row r="743" spans="1:28" ht="13.8">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row>
    <row r="744" spans="1:28" ht="13.8">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row>
    <row r="745" spans="1:28" ht="13.8">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row>
    <row r="746" spans="1:28" ht="13.8">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row>
    <row r="747" spans="1:28" ht="13.8">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row>
    <row r="748" spans="1:28" ht="13.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row>
    <row r="749" spans="1:28" ht="13.8">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row>
    <row r="750" spans="1:28" ht="13.8">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row>
    <row r="751" spans="1:28" ht="13.8">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row>
    <row r="752" spans="1:28" ht="13.8">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row>
    <row r="753" spans="1:28" ht="13.8">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row>
    <row r="754" spans="1:28" ht="13.8">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row>
    <row r="755" spans="1:28" ht="13.8">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row>
    <row r="756" spans="1:28" ht="13.8">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row>
    <row r="757" spans="1:28" ht="13.8">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row>
    <row r="758" spans="1:28" ht="13.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row>
    <row r="759" spans="1:28" ht="13.8">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row>
    <row r="760" spans="1:28" ht="13.8">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row>
    <row r="761" spans="1:28" ht="13.8">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row>
    <row r="762" spans="1:28" ht="13.8">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row>
    <row r="763" spans="1:28" ht="13.8">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row>
    <row r="764" spans="1:28" ht="13.8">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row>
    <row r="765" spans="1:28" ht="13.8">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row>
    <row r="766" spans="1:28" ht="13.8">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row>
    <row r="767" spans="1:28" ht="13.8">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row>
    <row r="768" spans="1:28" ht="13.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row>
    <row r="769" spans="1:28" ht="13.8">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row>
    <row r="770" spans="1:28" ht="13.8">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row>
    <row r="771" spans="1:28" ht="13.8">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row>
    <row r="772" spans="1:28" ht="13.8">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row>
    <row r="773" spans="1:28" ht="13.8">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row>
    <row r="774" spans="1:28" ht="13.8">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row>
    <row r="775" spans="1:28" ht="13.8">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row>
    <row r="776" spans="1:28" ht="13.8">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row>
    <row r="777" spans="1:28" ht="13.8">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row>
    <row r="778" spans="1:28" ht="13.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row>
    <row r="779" spans="1:28" ht="13.8">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row>
    <row r="780" spans="1:28" ht="13.8">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row>
    <row r="781" spans="1:28" ht="13.8">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row>
    <row r="782" spans="1:28" ht="13.8">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row>
    <row r="783" spans="1:28" ht="13.8">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row>
    <row r="784" spans="1:28" ht="13.8">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row>
    <row r="785" spans="1:28" ht="13.8">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row>
    <row r="786" spans="1:28" ht="13.8">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row>
    <row r="787" spans="1:28" ht="13.8">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row>
    <row r="788" spans="1:28" ht="13.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row>
    <row r="789" spans="1:28" ht="13.8">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row>
    <row r="790" spans="1:28" ht="13.8">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row>
    <row r="791" spans="1:28" ht="13.8">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row>
    <row r="792" spans="1:28" ht="13.8">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row>
    <row r="793" spans="1:28" ht="13.8">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row>
    <row r="794" spans="1:28" ht="13.8">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row>
    <row r="795" spans="1:28" ht="13.8">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row>
    <row r="796" spans="1:28" ht="13.8">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row>
    <row r="797" spans="1:28" ht="13.8">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row>
    <row r="798" spans="1:28" ht="13.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row>
    <row r="799" spans="1:28" ht="13.8">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row>
    <row r="800" spans="1:28" ht="13.8">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row>
    <row r="801" spans="1:28" ht="13.8">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row>
    <row r="802" spans="1:28" ht="13.8">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row>
    <row r="803" spans="1:28" ht="13.8">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row>
    <row r="804" spans="1:28" ht="13.8">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row>
    <row r="805" spans="1:28" ht="13.8">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row>
    <row r="806" spans="1:28" ht="13.8">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row>
    <row r="807" spans="1:28" ht="13.8">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row>
    <row r="808" spans="1:28" ht="13.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row>
    <row r="809" spans="1:28" ht="13.8">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row>
    <row r="810" spans="1:28" ht="13.8">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row>
    <row r="811" spans="1:28" ht="13.8">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row>
    <row r="812" spans="1:28" ht="13.8">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row>
    <row r="813" spans="1:28" ht="13.8">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row>
    <row r="814" spans="1:28" ht="13.8">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row>
    <row r="815" spans="1:28" ht="13.8">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row>
    <row r="816" spans="1:28" ht="13.8">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row>
    <row r="817" spans="1:28" ht="13.8">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row>
    <row r="818" spans="1:28" ht="13.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row>
    <row r="819" spans="1:28" ht="13.8">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row>
    <row r="820" spans="1:28" ht="13.8">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row>
    <row r="821" spans="1:28" ht="13.8">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row>
    <row r="822" spans="1:28" ht="13.8">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row>
    <row r="823" spans="1:28" ht="13.8">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row>
    <row r="824" spans="1:28" ht="13.8">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row>
    <row r="825" spans="1:28" ht="13.8">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row>
    <row r="826" spans="1:28" ht="13.8">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row>
    <row r="827" spans="1:28" ht="13.8">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row>
    <row r="828" spans="1:28" ht="13.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row>
    <row r="829" spans="1:28" ht="13.8">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row>
    <row r="830" spans="1:28" ht="13.8">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row>
    <row r="831" spans="1:28" ht="13.8">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row>
    <row r="832" spans="1:28" ht="13.8">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row>
    <row r="833" spans="1:28" ht="13.8">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row>
    <row r="834" spans="1:28" ht="13.8">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row>
    <row r="835" spans="1:28" ht="13.8">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row>
    <row r="836" spans="1:28" ht="13.8">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row>
    <row r="837" spans="1:28" ht="13.8">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row>
    <row r="838" spans="1:28" ht="1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row>
    <row r="839" spans="1:28" ht="13.8">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row>
    <row r="840" spans="1:28" ht="13.8">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row>
    <row r="841" spans="1:28" ht="13.8">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row>
    <row r="842" spans="1:28" ht="13.8">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row>
    <row r="843" spans="1:28" ht="13.8">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row>
    <row r="844" spans="1:28" ht="13.8">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row>
    <row r="845" spans="1:28" ht="13.8">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row>
    <row r="846" spans="1:28" ht="13.8">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row>
    <row r="847" spans="1:28" ht="13.8">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row>
    <row r="848" spans="1:28" ht="13.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row>
    <row r="849" spans="1:28" ht="13.8">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row>
    <row r="850" spans="1:28" ht="13.8">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row>
    <row r="851" spans="1:28" ht="13.8">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row>
    <row r="852" spans="1:28" ht="13.8">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row>
    <row r="853" spans="1:28" ht="13.8">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row>
    <row r="854" spans="1:28" ht="13.8">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row>
    <row r="855" spans="1:28" ht="13.8">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row>
    <row r="856" spans="1:28" ht="13.8">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row>
    <row r="857" spans="1:28" ht="13.8">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row>
    <row r="858" spans="1:28" ht="13.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row>
    <row r="859" spans="1:28" ht="13.8">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row>
    <row r="860" spans="1:28" ht="13.8">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row>
    <row r="861" spans="1:28" ht="13.8">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row>
    <row r="862" spans="1:28" ht="13.8">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row>
    <row r="863" spans="1:28" ht="13.8">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row>
    <row r="864" spans="1:28" ht="13.8">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row>
    <row r="865" spans="1:28" ht="13.8">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row>
    <row r="866" spans="1:28" ht="13.8">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row>
    <row r="867" spans="1:28" ht="13.8">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row>
    <row r="868" spans="1:28" ht="13.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row>
    <row r="869" spans="1:28" ht="13.8">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row>
    <row r="870" spans="1:28" ht="13.8">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row>
    <row r="871" spans="1:28" ht="13.8">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row>
    <row r="872" spans="1:28" ht="13.8">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row>
    <row r="873" spans="1:28" ht="13.8">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row>
    <row r="874" spans="1:28" ht="13.8">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row>
    <row r="875" spans="1:28" ht="13.8">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row>
    <row r="876" spans="1:28" ht="13.8">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row>
    <row r="877" spans="1:28" ht="13.8">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row>
    <row r="878" spans="1:28" ht="13.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row>
    <row r="879" spans="1:28" ht="13.8">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row>
    <row r="880" spans="1:28" ht="13.8">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row>
    <row r="881" spans="1:28" ht="13.8">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row>
    <row r="882" spans="1:28" ht="13.8">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row>
    <row r="883" spans="1:28" ht="13.8">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row>
    <row r="884" spans="1:28" ht="13.8">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row>
    <row r="885" spans="1:28" ht="13.8">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row>
    <row r="886" spans="1:28" ht="13.8">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row>
    <row r="887" spans="1:28" ht="13.8">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row>
    <row r="888" spans="1:28" ht="13.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row>
    <row r="889" spans="1:28" ht="13.8">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row>
    <row r="890" spans="1:28" ht="13.8">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row>
    <row r="891" spans="1:28" ht="13.8">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row>
    <row r="892" spans="1:28" ht="13.8">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row>
    <row r="893" spans="1:28" ht="13.8">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row>
    <row r="894" spans="1:28" ht="13.8">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row>
    <row r="895" spans="1:28" ht="13.8">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row>
    <row r="896" spans="1:28" ht="13.8">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row>
    <row r="897" spans="1:28" ht="13.8">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row>
    <row r="898" spans="1:28" ht="13.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row>
    <row r="899" spans="1:28" ht="13.8">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row>
    <row r="900" spans="1:28" ht="13.8">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row>
    <row r="901" spans="1:28" ht="13.8">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row>
    <row r="902" spans="1:28" ht="13.8">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row>
    <row r="903" spans="1:28" ht="13.8">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row>
    <row r="904" spans="1:28" ht="13.8">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row>
    <row r="905" spans="1:28" ht="13.8">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row>
    <row r="906" spans="1:28" ht="13.8">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row>
    <row r="907" spans="1:28" ht="13.8">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row>
    <row r="908" spans="1:28" ht="13.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row>
    <row r="909" spans="1:28" ht="13.8">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row>
    <row r="910" spans="1:28" ht="13.8">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row>
    <row r="911" spans="1:28" ht="13.8">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row>
    <row r="912" spans="1:28" ht="13.8">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row>
    <row r="913" spans="1:28" ht="13.8">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row>
    <row r="914" spans="1:28" ht="13.8">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row>
    <row r="915" spans="1:28" ht="13.8">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row>
    <row r="916" spans="1:28" ht="13.8">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row>
    <row r="917" spans="1:28" ht="13.8">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row>
    <row r="918" spans="1:28" ht="13.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row>
    <row r="919" spans="1:28" ht="13.8">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row>
    <row r="920" spans="1:28" ht="13.8">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row>
    <row r="921" spans="1:28" ht="13.8">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row>
    <row r="922" spans="1:28" ht="13.8">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row>
    <row r="923" spans="1:28" ht="13.8">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row>
    <row r="924" spans="1:28" ht="13.8">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row>
    <row r="925" spans="1:28" ht="13.8">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row>
    <row r="926" spans="1:28" ht="13.8">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row>
    <row r="927" spans="1:28" ht="13.8">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row>
    <row r="928" spans="1:28" ht="13.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row>
    <row r="929" spans="1:28" ht="13.8">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row>
    <row r="930" spans="1:28" ht="13.8">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row>
    <row r="931" spans="1:28" ht="13.8">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row>
    <row r="932" spans="1:28" ht="13.8">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row>
    <row r="933" spans="1:28" ht="13.8">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row>
    <row r="934" spans="1:28" ht="13.8">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row>
    <row r="935" spans="1:28" ht="13.8">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row>
    <row r="936" spans="1:28" ht="13.8">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row>
    <row r="937" spans="1:28" ht="13.8">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row>
    <row r="938" spans="1:28" ht="1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row>
    <row r="939" spans="1:28" ht="13.8">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row>
    <row r="940" spans="1:28" ht="13.8">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row>
    <row r="941" spans="1:28" ht="13.8">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row>
    <row r="942" spans="1:28" ht="13.8">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row>
    <row r="943" spans="1:28" ht="13.8">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row>
    <row r="944" spans="1:28" ht="13.8">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row>
    <row r="945" spans="1:28" ht="13.8">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row>
    <row r="946" spans="1:28" ht="13.8">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row>
    <row r="947" spans="1:28" ht="13.8">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row>
    <row r="948" spans="1:28" ht="13.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row>
    <row r="949" spans="1:28" ht="13.8">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row>
    <row r="950" spans="1:28" ht="13.8">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row>
    <row r="951" spans="1:28" ht="13.8">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row>
    <row r="952" spans="1:28" ht="13.8">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row>
    <row r="953" spans="1:28" ht="13.8">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row>
    <row r="954" spans="1:28" ht="13.8">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row>
    <row r="955" spans="1:28" ht="13.8">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row>
    <row r="956" spans="1:28" ht="13.8">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row>
    <row r="957" spans="1:28" ht="13.8">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row>
    <row r="958" spans="1:28" ht="13.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row>
    <row r="959" spans="1:28" ht="13.8">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row>
    <row r="960" spans="1:28" ht="13.8">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row>
    <row r="961" spans="1:28" ht="13.8">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row>
    <row r="962" spans="1:28" ht="13.8">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row>
    <row r="963" spans="1:28" ht="13.8">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row>
    <row r="964" spans="1:28" ht="13.8">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row>
    <row r="965" spans="1:28" ht="13.8">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row>
    <row r="966" spans="1:28" ht="13.8">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row>
    <row r="967" spans="1:28" ht="13.8">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row>
    <row r="968" spans="1:28" ht="13.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row>
    <row r="969" spans="1:28" ht="13.8">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row>
    <row r="970" spans="1:28" ht="13.8">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row>
    <row r="971" spans="1:28" ht="13.8">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row>
    <row r="972" spans="1:28" ht="13.8">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row>
    <row r="973" spans="1:28" ht="13.8">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row>
    <row r="974" spans="1:28" ht="13.8">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row>
    <row r="975" spans="1:28" ht="13.8">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row>
    <row r="976" spans="1:28" ht="13.8">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row>
    <row r="977" spans="1:28" ht="13.8">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row>
    <row r="978" spans="1:28" ht="13.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row>
    <row r="979" spans="1:28" ht="13.8">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row>
    <row r="980" spans="1:28" ht="13.8">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row>
    <row r="981" spans="1:28" ht="13.8">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row>
    <row r="982" spans="1:28" ht="13.8">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row>
    <row r="983" spans="1:28" ht="13.8">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row>
    <row r="984" spans="1:28" ht="13.8">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row>
    <row r="985" spans="1:28" ht="13.8">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row>
    <row r="986" spans="1:28" ht="13.8">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row>
    <row r="987" spans="1:28" ht="13.8">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row>
    <row r="988" spans="1:28" ht="13.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row>
    <row r="989" spans="1:28" ht="13.8">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row>
    <row r="990" spans="1:28" ht="13.8">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row>
    <row r="991" spans="1:28" ht="13.8">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row>
    <row r="992" spans="1:28" ht="13.8">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row>
    <row r="993" spans="1:28" ht="13.8">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row>
    <row r="994" spans="1:28" ht="13.8">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row>
    <row r="995" spans="1:28" ht="13.8">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row>
    <row r="996" spans="1:28" ht="13.8">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row>
    <row r="997" spans="1:28" ht="13.8">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row>
    <row r="998" spans="1:28" ht="13.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row>
    <row r="999" spans="1:28" ht="13.8">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row>
    <row r="1000" spans="1:28" ht="13.8">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row>
    <row r="1001" spans="1:28" ht="13.8">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row>
    <row r="1002" spans="1:28" ht="13.8">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row>
    <row r="1003" spans="1:28" ht="13.8">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row>
    <row r="1004" spans="1:28" ht="13.8">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row>
    <row r="1005" spans="1:28" ht="13.8">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row>
    <row r="1006" spans="1:28" ht="13.8">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row>
    <row r="1007" spans="1:28" ht="13.8">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row>
    <row r="1008" spans="1:28" ht="13.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row>
    <row r="1009" spans="1:28" ht="13.8">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row>
    <row r="1010" spans="1:28" ht="13.8">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row>
    <row r="1011" spans="1:28" ht="13.8">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row>
    <row r="1012" spans="1:28" ht="13.8">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row>
    <row r="1013" spans="1:28" ht="13.8">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row>
    <row r="1014" spans="1:28" ht="13.8">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0"/>
  <sheetViews>
    <sheetView topLeftCell="A10" workbookViewId="0">
      <pane xSplit="1" topLeftCell="I1" activePane="topRight" state="frozen"/>
      <selection pane="topRight" activeCell="U41" sqref="A5:U41"/>
    </sheetView>
  </sheetViews>
  <sheetFormatPr defaultColWidth="12.6640625" defaultRowHeight="15.75" customHeight="1"/>
  <cols>
    <col min="1" max="1" width="53.21875" style="86" customWidth="1"/>
    <col min="2" max="2" width="6.77734375" style="86" hidden="1" customWidth="1"/>
    <col min="3" max="8" width="0" style="86" hidden="1" customWidth="1"/>
    <col min="9" max="16384" width="12.6640625" style="86"/>
  </cols>
  <sheetData>
    <row r="1" spans="1:28" ht="15.75" customHeight="1">
      <c r="A1" s="138" t="s">
        <v>4</v>
      </c>
      <c r="B1" s="87"/>
      <c r="C1" s="87"/>
      <c r="D1" s="87"/>
      <c r="E1" s="87" t="s">
        <v>459</v>
      </c>
      <c r="F1" s="87"/>
      <c r="G1" s="87"/>
      <c r="H1" s="87"/>
      <c r="I1" s="87"/>
      <c r="J1" s="87"/>
      <c r="K1" s="87"/>
      <c r="L1" s="87"/>
      <c r="M1" s="87"/>
      <c r="N1" s="87"/>
      <c r="O1" s="87"/>
      <c r="P1" s="87"/>
      <c r="Q1" s="87"/>
      <c r="R1" s="87"/>
      <c r="S1" s="87"/>
      <c r="T1" s="87"/>
      <c r="U1" s="87"/>
      <c r="V1" s="87"/>
      <c r="W1" s="87"/>
      <c r="X1" s="87"/>
      <c r="Y1" s="87"/>
      <c r="Z1" s="87"/>
      <c r="AA1" s="87"/>
      <c r="AB1" s="87"/>
    </row>
    <row r="2" spans="1:28" ht="13.8">
      <c r="A2" s="87" t="s">
        <v>160</v>
      </c>
      <c r="B2" s="87"/>
      <c r="C2" s="87"/>
      <c r="D2" s="87"/>
      <c r="E2" s="87"/>
      <c r="F2" s="87"/>
      <c r="G2" s="87"/>
      <c r="H2" s="87"/>
      <c r="I2" s="87"/>
      <c r="J2" s="87"/>
      <c r="K2" s="87"/>
      <c r="L2" s="87"/>
      <c r="M2" s="87"/>
      <c r="N2" s="87"/>
      <c r="O2" s="87"/>
      <c r="P2" s="87"/>
      <c r="Q2" s="87"/>
      <c r="R2" s="87"/>
      <c r="S2" s="87"/>
      <c r="T2" s="87"/>
      <c r="U2" s="87"/>
      <c r="V2" s="87"/>
      <c r="W2" s="87"/>
      <c r="X2" s="87"/>
      <c r="Y2" s="87"/>
      <c r="Z2" s="87"/>
      <c r="AA2" s="87"/>
      <c r="AB2" s="87"/>
    </row>
    <row r="3" spans="1:28" ht="13.8">
      <c r="A3" s="87" t="s">
        <v>161</v>
      </c>
      <c r="B3" s="87"/>
      <c r="C3" s="87"/>
      <c r="D3" s="87"/>
      <c r="E3" s="87"/>
      <c r="F3" s="87"/>
      <c r="G3" s="87"/>
      <c r="H3" s="87"/>
      <c r="I3" s="87"/>
      <c r="J3" s="87"/>
      <c r="K3" s="87"/>
      <c r="L3" s="87"/>
      <c r="M3" s="87"/>
      <c r="N3" s="87"/>
      <c r="O3" s="87"/>
      <c r="P3" s="87"/>
      <c r="Q3" s="87"/>
      <c r="R3" s="87"/>
      <c r="S3" s="87"/>
      <c r="T3" s="87"/>
      <c r="U3" s="87"/>
      <c r="V3" s="87"/>
      <c r="W3" s="87"/>
      <c r="X3" s="87"/>
      <c r="Y3" s="87"/>
      <c r="Z3" s="87"/>
      <c r="AA3" s="87"/>
      <c r="AB3" s="87"/>
    </row>
    <row r="4" spans="1:28" ht="13.8">
      <c r="A4" s="87" t="s">
        <v>129</v>
      </c>
      <c r="B4" s="87"/>
      <c r="C4" s="87"/>
      <c r="D4" s="87"/>
      <c r="E4" s="156"/>
      <c r="F4" s="156"/>
      <c r="G4" s="156"/>
      <c r="H4" s="156"/>
      <c r="I4" s="156"/>
      <c r="J4" s="156" t="s">
        <v>130</v>
      </c>
      <c r="K4" s="156"/>
      <c r="L4" s="156"/>
      <c r="M4" s="156"/>
      <c r="N4" s="156"/>
      <c r="O4" s="156"/>
      <c r="P4" s="156"/>
      <c r="Q4" s="156"/>
      <c r="R4" s="87"/>
      <c r="S4" s="87"/>
      <c r="T4" s="87"/>
      <c r="U4" s="87"/>
      <c r="V4" s="87"/>
      <c r="W4" s="87"/>
      <c r="X4" s="87"/>
      <c r="Y4" s="87"/>
      <c r="Z4" s="87"/>
      <c r="AA4" s="87"/>
      <c r="AB4" s="87"/>
    </row>
    <row r="5" spans="1:28" ht="13.8">
      <c r="A5" s="87" t="s">
        <v>129</v>
      </c>
      <c r="B5" s="87"/>
      <c r="C5" s="157">
        <v>2016</v>
      </c>
      <c r="D5" s="157">
        <v>2017</v>
      </c>
      <c r="E5" s="102">
        <v>2018</v>
      </c>
      <c r="F5" s="102">
        <v>2019</v>
      </c>
      <c r="G5" s="102">
        <v>2020</v>
      </c>
      <c r="H5" s="102">
        <v>2021</v>
      </c>
      <c r="I5" s="102">
        <v>2022</v>
      </c>
      <c r="J5" s="102">
        <v>2023</v>
      </c>
      <c r="K5" s="102">
        <v>2024</v>
      </c>
      <c r="L5" s="102">
        <v>2025</v>
      </c>
      <c r="M5" s="102">
        <v>2026</v>
      </c>
      <c r="N5" s="102">
        <v>2027</v>
      </c>
      <c r="O5" s="102">
        <v>2028</v>
      </c>
      <c r="P5" s="102">
        <v>2029</v>
      </c>
      <c r="Q5" s="102">
        <v>2030</v>
      </c>
      <c r="R5" s="157">
        <v>2031</v>
      </c>
      <c r="S5" s="157">
        <v>2032</v>
      </c>
      <c r="T5" s="157">
        <v>2033</v>
      </c>
      <c r="U5" s="157">
        <v>2034</v>
      </c>
      <c r="V5" s="87"/>
      <c r="W5" s="87"/>
      <c r="X5" s="87"/>
      <c r="Y5" s="87"/>
      <c r="Z5" s="87"/>
      <c r="AA5" s="87"/>
      <c r="AB5" s="87"/>
    </row>
    <row r="6" spans="1:28" ht="13.8">
      <c r="A6" s="169" t="s">
        <v>162</v>
      </c>
      <c r="B6" s="143"/>
      <c r="C6" s="143"/>
      <c r="D6" s="143"/>
      <c r="E6" s="143"/>
      <c r="F6" s="143"/>
      <c r="G6" s="87"/>
      <c r="H6" s="143"/>
      <c r="I6" s="143"/>
      <c r="J6" s="143"/>
      <c r="K6" s="87"/>
      <c r="L6" s="87"/>
      <c r="M6" s="87"/>
      <c r="N6" s="87"/>
      <c r="O6" s="87"/>
      <c r="P6" s="87"/>
      <c r="Q6" s="87"/>
      <c r="R6" s="87"/>
      <c r="S6" s="87"/>
      <c r="T6" s="87"/>
      <c r="U6" s="87"/>
      <c r="V6" s="87"/>
      <c r="W6" s="87"/>
      <c r="X6" s="87"/>
      <c r="Y6" s="87"/>
      <c r="Z6" s="87"/>
      <c r="AA6" s="87"/>
      <c r="AB6" s="87"/>
    </row>
    <row r="7" spans="1:28" ht="13.8">
      <c r="A7" s="143" t="s">
        <v>163</v>
      </c>
      <c r="B7" s="143"/>
      <c r="C7" s="143"/>
      <c r="D7" s="143"/>
      <c r="E7" s="143"/>
      <c r="F7" s="143"/>
      <c r="G7" s="87"/>
      <c r="H7" s="143"/>
      <c r="I7" s="143"/>
      <c r="J7" s="143"/>
      <c r="K7" s="87"/>
      <c r="L7" s="87"/>
      <c r="M7" s="87"/>
      <c r="N7" s="87"/>
      <c r="O7" s="87"/>
      <c r="P7" s="87"/>
      <c r="Q7" s="87"/>
      <c r="R7" s="87"/>
      <c r="S7" s="87"/>
      <c r="T7" s="87"/>
      <c r="U7" s="87"/>
      <c r="V7" s="87"/>
      <c r="W7" s="87"/>
      <c r="X7" s="87"/>
      <c r="Y7" s="87"/>
      <c r="Z7" s="87"/>
      <c r="AA7" s="87"/>
      <c r="AB7" s="87"/>
    </row>
    <row r="8" spans="1:28" ht="13.8">
      <c r="A8" s="171" t="s">
        <v>164</v>
      </c>
      <c r="B8" s="171"/>
      <c r="C8" s="172">
        <v>34562</v>
      </c>
      <c r="D8" s="172">
        <v>177250</v>
      </c>
      <c r="E8" s="173">
        <v>155564</v>
      </c>
      <c r="F8" s="173">
        <v>515479</v>
      </c>
      <c r="G8" s="173">
        <v>1092815</v>
      </c>
      <c r="H8" s="173">
        <v>2146043</v>
      </c>
      <c r="I8" s="194">
        <v>1961956</v>
      </c>
      <c r="J8" s="158">
        <f>'BS Assumptions'!J58</f>
        <v>1726554.1667600288</v>
      </c>
      <c r="K8" s="158">
        <f>'BS Assumptions'!K58</f>
        <v>1981463.0261282588</v>
      </c>
      <c r="L8" s="158">
        <f>'BS Assumptions'!L58</f>
        <v>2280601.7279533087</v>
      </c>
      <c r="M8" s="158">
        <f>'BS Assumptions'!M58</f>
        <v>2605252.0197782461</v>
      </c>
      <c r="N8" s="158">
        <f>'BS Assumptions'!N58</f>
        <v>2931757.1248349682</v>
      </c>
      <c r="O8" s="158">
        <f>'BS Assumptions'!O58</f>
        <v>3231754.6158920377</v>
      </c>
      <c r="P8" s="158">
        <f>'BS Assumptions'!P58</f>
        <v>3469789.0952852857</v>
      </c>
      <c r="Q8" s="158">
        <f>'BS Assumptions'!Q58</f>
        <v>3660447.8678078949</v>
      </c>
      <c r="R8" s="158">
        <f>'BS Assumptions'!R58</f>
        <v>3837953.5682651564</v>
      </c>
      <c r="S8" s="158">
        <f>'BS Assumptions'!S58</f>
        <v>4021919.5627418603</v>
      </c>
      <c r="T8" s="158">
        <f>'BS Assumptions'!T58</f>
        <v>4217674.4404182704</v>
      </c>
      <c r="U8" s="158">
        <f>'BS Assumptions'!U58</f>
        <v>4425441.2120603761</v>
      </c>
      <c r="V8" s="87"/>
      <c r="W8" s="87"/>
      <c r="X8" s="87"/>
      <c r="Y8" s="87"/>
      <c r="Z8" s="87"/>
      <c r="AA8" s="87"/>
      <c r="AB8" s="87"/>
    </row>
    <row r="9" spans="1:28" ht="13.8">
      <c r="A9" s="171" t="s">
        <v>165</v>
      </c>
      <c r="B9" s="171"/>
      <c r="C9" s="172">
        <v>0</v>
      </c>
      <c r="D9" s="172">
        <v>0</v>
      </c>
      <c r="E9" s="173">
        <v>42146</v>
      </c>
      <c r="F9" s="173">
        <v>0</v>
      </c>
      <c r="G9" s="173">
        <v>0</v>
      </c>
      <c r="H9" s="173">
        <v>0</v>
      </c>
      <c r="I9" s="174">
        <v>0</v>
      </c>
      <c r="J9" s="176">
        <f>'BS Assumptions'!J60</f>
        <v>0</v>
      </c>
      <c r="K9" s="176">
        <f>'BS Assumptions'!K60</f>
        <v>0</v>
      </c>
      <c r="L9" s="176">
        <f>'BS Assumptions'!L60</f>
        <v>0</v>
      </c>
      <c r="M9" s="176">
        <f>'BS Assumptions'!M60</f>
        <v>0</v>
      </c>
      <c r="N9" s="176">
        <f>'BS Assumptions'!N60</f>
        <v>0</v>
      </c>
      <c r="O9" s="176">
        <f>'BS Assumptions'!O60</f>
        <v>0</v>
      </c>
      <c r="P9" s="176">
        <f>'BS Assumptions'!P60</f>
        <v>0</v>
      </c>
      <c r="Q9" s="176">
        <f>'BS Assumptions'!Q60</f>
        <v>0</v>
      </c>
      <c r="R9" s="176">
        <f>'BS Assumptions'!R60</f>
        <v>0</v>
      </c>
      <c r="S9" s="176">
        <f>'BS Assumptions'!S60</f>
        <v>0</v>
      </c>
      <c r="T9" s="176">
        <f>'BS Assumptions'!T60</f>
        <v>0</v>
      </c>
      <c r="U9" s="176">
        <f>'BS Assumptions'!U60</f>
        <v>0</v>
      </c>
      <c r="V9" s="87"/>
      <c r="W9" s="87"/>
      <c r="X9" s="87"/>
      <c r="Y9" s="87"/>
      <c r="Z9" s="87"/>
      <c r="AA9" s="87"/>
      <c r="AB9" s="87"/>
    </row>
    <row r="10" spans="1:28" ht="13.8">
      <c r="A10" s="126" t="s">
        <v>166</v>
      </c>
      <c r="B10" s="143"/>
      <c r="C10" s="147">
        <v>79473</v>
      </c>
      <c r="D10" s="147">
        <v>120553</v>
      </c>
      <c r="E10" s="147">
        <v>183078</v>
      </c>
      <c r="F10" s="147">
        <v>332673</v>
      </c>
      <c r="G10" s="147">
        <v>523852</v>
      </c>
      <c r="H10" s="147">
        <v>752393</v>
      </c>
      <c r="I10" s="148">
        <v>760793</v>
      </c>
      <c r="J10" s="158">
        <f>('Income Statement'!J9/365)*'BS Assumptions'!J8</f>
        <v>934894.1239313588</v>
      </c>
      <c r="K10" s="158">
        <f>('Income Statement'!K9/365)*'BS Assumptions'!K8</f>
        <v>1073533.9159568218</v>
      </c>
      <c r="L10" s="158">
        <f>('Income Statement'!L9/365)*'BS Assumptions'!L8</f>
        <v>1235603.8298284819</v>
      </c>
      <c r="M10" s="158">
        <f>('Income Statement'!M9/365)*'BS Assumptions'!M8</f>
        <v>1411495.6302323267</v>
      </c>
      <c r="N10" s="158">
        <f>('Income Statement'!N9/365)*'BS Assumptions'!N8</f>
        <v>1588392.347147774</v>
      </c>
      <c r="O10" s="158">
        <f>('Income Statement'!O9/365)*'BS Assumptions'!O8</f>
        <v>1750927.5431645331</v>
      </c>
      <c r="P10" s="158">
        <f>('Income Statement'!P9/365)*'BS Assumptions'!P8</f>
        <v>1879891.8909349246</v>
      </c>
      <c r="Q10" s="158">
        <f>('Income Statement'!Q9/365)*'BS Assumptions'!Q8</f>
        <v>1983188.6247012145</v>
      </c>
      <c r="R10" s="158">
        <f>('Income Statement'!R9/365)*'BS Assumptions'!R8</f>
        <v>2079359.1750489995</v>
      </c>
      <c r="S10" s="158">
        <f>('Income Statement'!S9/365)*'BS Assumptions'!S8</f>
        <v>2179029.8385179848</v>
      </c>
      <c r="T10" s="158">
        <f>('Income Statement'!T9/365)*'BS Assumptions'!T8</f>
        <v>2285087.5835419903</v>
      </c>
      <c r="U10" s="158">
        <f>('Income Statement'!U9/365)*'BS Assumptions'!U8</f>
        <v>2397653.2347933697</v>
      </c>
      <c r="V10" s="87"/>
      <c r="W10" s="87"/>
      <c r="X10" s="87"/>
      <c r="Y10" s="87"/>
      <c r="Z10" s="87"/>
      <c r="AA10" s="87"/>
      <c r="AB10" s="87"/>
    </row>
    <row r="11" spans="1:28" ht="13.8">
      <c r="A11" s="143" t="s">
        <v>167</v>
      </c>
      <c r="B11" s="143"/>
      <c r="C11" s="147">
        <v>43568</v>
      </c>
      <c r="D11" s="147">
        <v>32740</v>
      </c>
      <c r="E11" s="147">
        <v>35585</v>
      </c>
      <c r="F11" s="147">
        <v>49714</v>
      </c>
      <c r="G11" s="147">
        <v>53895</v>
      </c>
      <c r="H11" s="147">
        <v>50276</v>
      </c>
      <c r="I11" s="148">
        <v>106747</v>
      </c>
      <c r="J11" s="158">
        <f>('Income Statement'!J15/365)*'BS Assumptions'!J9</f>
        <v>145933.51172821681</v>
      </c>
      <c r="K11" s="158">
        <f>('Income Statement'!K15/365)*'BS Assumptions'!K9</f>
        <v>155749.14969911077</v>
      </c>
      <c r="L11" s="158">
        <f>('Income Statement'!L15/365)*'BS Assumptions'!L9</f>
        <v>168617.58377507425</v>
      </c>
      <c r="M11" s="158">
        <f>('Income Statement'!M15/365)*'BS Assumptions'!M9</f>
        <v>181065.35027049461</v>
      </c>
      <c r="N11" s="158">
        <f>('Income Statement'!N15/365)*'BS Assumptions'!N9</f>
        <v>191549.51104212968</v>
      </c>
      <c r="O11" s="158">
        <f>('Income Statement'!O15/365)*'BS Assumptions'!O9</f>
        <v>198330.130042009</v>
      </c>
      <c r="P11" s="158">
        <f>('Income Statement'!P15/365)*'BS Assumptions'!P9</f>
        <v>205152.52862302063</v>
      </c>
      <c r="Q11" s="158">
        <f>('Income Statement'!Q15/365)*'BS Assumptions'!Q9</f>
        <v>208757.59879030343</v>
      </c>
      <c r="R11" s="158">
        <f>('Income Statement'!R15/365)*'BS Assumptions'!R9</f>
        <v>208874.63069511688</v>
      </c>
      <c r="S11" s="158">
        <f>('Income Statement'!S15/365)*'BS Assumptions'!S9</f>
        <v>217543.14956452005</v>
      </c>
      <c r="T11" s="158">
        <f>('Income Statement'!T15/365)*'BS Assumptions'!T9</f>
        <v>227007.96227201534</v>
      </c>
      <c r="U11" s="158">
        <f>('Income Statement'!U15/365)*'BS Assumptions'!U9</f>
        <v>237251.85033158746</v>
      </c>
      <c r="V11" s="87"/>
      <c r="W11" s="87"/>
      <c r="X11" s="87"/>
      <c r="Y11" s="87"/>
      <c r="Z11" s="87"/>
      <c r="AA11" s="87"/>
      <c r="AB11" s="87"/>
    </row>
    <row r="12" spans="1:28" ht="13.8">
      <c r="A12" s="143" t="s">
        <v>168</v>
      </c>
      <c r="B12" s="143"/>
      <c r="C12" s="147">
        <f>4981+2636</f>
        <v>7617</v>
      </c>
      <c r="D12" s="147">
        <f>11367+3007</f>
        <v>14374</v>
      </c>
      <c r="E12" s="147">
        <v>16562</v>
      </c>
      <c r="F12" s="147">
        <f>25943+1854</f>
        <v>27797</v>
      </c>
      <c r="G12" s="147">
        <v>27078</v>
      </c>
      <c r="H12" s="147">
        <f>105795-'Content Assets'!G12</f>
        <v>86629</v>
      </c>
      <c r="I12" s="148">
        <f>135383-'Content Assets'!H12</f>
        <v>95877</v>
      </c>
      <c r="J12" s="158">
        <f>'Income Statement'!J9*'BS Assumptions'!J10</f>
        <v>118911.51246534615</v>
      </c>
      <c r="K12" s="158">
        <f>'Income Statement'!K9*'BS Assumptions'!K10</f>
        <v>136545.45296793856</v>
      </c>
      <c r="L12" s="158">
        <f>'Income Statement'!L9*'BS Assumptions'!L10</f>
        <v>157159.52903311499</v>
      </c>
      <c r="M12" s="158">
        <f>'Income Statement'!M9*'BS Assumptions'!M10</f>
        <v>179531.64527695352</v>
      </c>
      <c r="N12" s="158">
        <f>'Income Statement'!N9*'BS Assumptions'!N10</f>
        <v>202031.5793551727</v>
      </c>
      <c r="O12" s="158">
        <f>'Income Statement'!O9*'BS Assumptions'!O10</f>
        <v>222704.83581541266</v>
      </c>
      <c r="P12" s="158">
        <f>'Income Statement'!P9*'BS Assumptions'!P10</f>
        <v>239108.13246145091</v>
      </c>
      <c r="Q12" s="158">
        <f>'Income Statement'!Q9*'BS Assumptions'!Q10</f>
        <v>252246.70134369747</v>
      </c>
      <c r="R12" s="158">
        <f>'Income Statement'!R9*'BS Assumptions'!R10</f>
        <v>264478.87320545956</v>
      </c>
      <c r="S12" s="158">
        <f>'Income Statement'!S9*'BS Assumptions'!S10</f>
        <v>277156.23317396839</v>
      </c>
      <c r="T12" s="158">
        <f>'Income Statement'!T9*'BS Assumptions'!T10</f>
        <v>290645.98195582558</v>
      </c>
      <c r="U12" s="158">
        <f>'Income Statement'!U9*'BS Assumptions'!U10</f>
        <v>304963.48754208488</v>
      </c>
      <c r="V12" s="87"/>
      <c r="W12" s="87"/>
      <c r="X12" s="87"/>
      <c r="Y12" s="87"/>
      <c r="Z12" s="87"/>
      <c r="AA12" s="87"/>
      <c r="AB12" s="87"/>
    </row>
    <row r="13" spans="1:28" ht="13.8">
      <c r="A13" s="143" t="s">
        <v>169</v>
      </c>
      <c r="B13" s="143"/>
      <c r="C13" s="195">
        <f t="shared" ref="C13:E13" si="0">SUM(C8:C12)</f>
        <v>165220</v>
      </c>
      <c r="D13" s="195">
        <f t="shared" si="0"/>
        <v>344917</v>
      </c>
      <c r="E13" s="195">
        <f t="shared" si="0"/>
        <v>432935</v>
      </c>
      <c r="F13" s="195">
        <v>925663</v>
      </c>
      <c r="G13" s="195">
        <v>1697640</v>
      </c>
      <c r="H13" s="195">
        <v>3054507</v>
      </c>
      <c r="I13" s="163">
        <f t="shared" ref="I13:U13" si="1">SUM(I8:I12)</f>
        <v>2925373</v>
      </c>
      <c r="J13" s="163">
        <f t="shared" si="1"/>
        <v>2926293.3148849509</v>
      </c>
      <c r="K13" s="163">
        <f t="shared" si="1"/>
        <v>3347291.5447521298</v>
      </c>
      <c r="L13" s="163">
        <f t="shared" si="1"/>
        <v>3841982.6705899797</v>
      </c>
      <c r="M13" s="163">
        <f t="shared" si="1"/>
        <v>4377344.645558021</v>
      </c>
      <c r="N13" s="163">
        <f t="shared" si="1"/>
        <v>4913730.5623800438</v>
      </c>
      <c r="O13" s="163">
        <f t="shared" si="1"/>
        <v>5403717.1249139924</v>
      </c>
      <c r="P13" s="163">
        <f t="shared" si="1"/>
        <v>5793941.6473046821</v>
      </c>
      <c r="Q13" s="163">
        <f t="shared" si="1"/>
        <v>6104640.7926431112</v>
      </c>
      <c r="R13" s="163">
        <f t="shared" si="1"/>
        <v>6390666.2472147327</v>
      </c>
      <c r="S13" s="163">
        <f t="shared" si="1"/>
        <v>6695648.7839983338</v>
      </c>
      <c r="T13" s="163">
        <f t="shared" si="1"/>
        <v>7020415.9681881014</v>
      </c>
      <c r="U13" s="163">
        <f t="shared" si="1"/>
        <v>7365309.7847274188</v>
      </c>
      <c r="V13" s="87"/>
      <c r="W13" s="87"/>
      <c r="X13" s="87"/>
      <c r="Y13" s="87"/>
      <c r="Z13" s="87"/>
      <c r="AA13" s="87"/>
      <c r="AB13" s="87"/>
    </row>
    <row r="14" spans="1:28" ht="13.8">
      <c r="A14" s="143" t="s">
        <v>170</v>
      </c>
      <c r="B14" s="143"/>
      <c r="C14" s="147">
        <v>9528</v>
      </c>
      <c r="D14" s="147">
        <v>14736</v>
      </c>
      <c r="E14" s="147">
        <v>25264</v>
      </c>
      <c r="F14" s="147">
        <v>103262</v>
      </c>
      <c r="G14" s="147">
        <v>155197</v>
      </c>
      <c r="H14" s="147">
        <v>177567</v>
      </c>
      <c r="I14" s="148">
        <v>335031</v>
      </c>
      <c r="J14" s="158">
        <f>'BS Assumptions'!J22</f>
        <v>327972.52038781013</v>
      </c>
      <c r="K14" s="158">
        <f>'BS Assumptions'!K22</f>
        <v>377349.65266201843</v>
      </c>
      <c r="L14" s="158">
        <f>'BS Assumptions'!L22</f>
        <v>434317.60197168327</v>
      </c>
      <c r="M14" s="158">
        <f>'BS Assumptions'!M22</f>
        <v>496143.97634321958</v>
      </c>
      <c r="N14" s="158">
        <f>'BS Assumptions'!N22</f>
        <v>558323.58119119552</v>
      </c>
      <c r="O14" s="158">
        <f>'BS Assumptions'!O22</f>
        <v>615455.07825024519</v>
      </c>
      <c r="P14" s="158">
        <f>'BS Assumptions'!P22</f>
        <v>660786.34456013818</v>
      </c>
      <c r="Q14" s="158">
        <f>'BS Assumptions'!Q22</f>
        <v>697095.38522336597</v>
      </c>
      <c r="R14" s="158">
        <f>'BS Assumptions'!R22</f>
        <v>730899.55594461167</v>
      </c>
      <c r="S14" s="158">
        <f>'BS Assumptions'!S22</f>
        <v>765934.02451758902</v>
      </c>
      <c r="T14" s="158">
        <f>'BS Assumptions'!T22</f>
        <v>803213.56701928575</v>
      </c>
      <c r="U14" s="158">
        <f>'BS Assumptions'!U22</f>
        <v>842780.65360129031</v>
      </c>
      <c r="V14" s="87"/>
      <c r="W14" s="87"/>
      <c r="X14" s="87"/>
      <c r="Y14" s="87"/>
      <c r="Z14" s="87"/>
      <c r="AA14" s="87"/>
      <c r="AB14" s="87"/>
    </row>
    <row r="15" spans="1:28" ht="13.8">
      <c r="A15" s="143" t="s">
        <v>171</v>
      </c>
      <c r="B15" s="143"/>
      <c r="C15" s="147">
        <v>0</v>
      </c>
      <c r="D15" s="147">
        <v>0</v>
      </c>
      <c r="E15" s="147">
        <v>0</v>
      </c>
      <c r="F15" s="147">
        <v>283291</v>
      </c>
      <c r="G15" s="147">
        <v>266197</v>
      </c>
      <c r="H15" s="147">
        <v>345660</v>
      </c>
      <c r="I15" s="148">
        <v>521695</v>
      </c>
      <c r="J15" s="158">
        <f>'BS Assumptions'!J32</f>
        <v>663780.86088376248</v>
      </c>
      <c r="K15" s="158">
        <f>'BS Assumptions'!K32</f>
        <v>781852.52909271733</v>
      </c>
      <c r="L15" s="158">
        <f>'BS Assumptions'!L32</f>
        <v>745833.63925628108</v>
      </c>
      <c r="M15" s="158">
        <f>'BS Assumptions'!M32</f>
        <v>848132.47691515705</v>
      </c>
      <c r="N15" s="158">
        <f>'BS Assumptions'!N32</f>
        <v>950067.19033949729</v>
      </c>
      <c r="O15" s="158">
        <f>'BS Assumptions'!O32</f>
        <v>1042480.521832653</v>
      </c>
      <c r="P15" s="158">
        <f>'BS Assumptions'!P32</f>
        <v>1114106.3934623434</v>
      </c>
      <c r="Q15" s="158">
        <f>'BS Assumptions'!Q32</f>
        <v>1173510.7963798016</v>
      </c>
      <c r="R15" s="158">
        <f>'BS Assumptions'!R32</f>
        <v>1228516.0002795362</v>
      </c>
      <c r="S15" s="158">
        <f>'BS Assumptions'!S32</f>
        <v>1285410.0112630432</v>
      </c>
      <c r="T15" s="158">
        <f>'BS Assumptions'!T32</f>
        <v>1345883.6087376974</v>
      </c>
      <c r="U15" s="158">
        <f>'BS Assumptions'!U32</f>
        <v>1409990.3218151419</v>
      </c>
      <c r="V15" s="87"/>
      <c r="W15" s="87"/>
      <c r="X15" s="87"/>
      <c r="Y15" s="87"/>
      <c r="Z15" s="87"/>
      <c r="AA15" s="87"/>
      <c r="AB15" s="87"/>
    </row>
    <row r="16" spans="1:28" ht="13.8">
      <c r="A16" s="143" t="s">
        <v>172</v>
      </c>
      <c r="B16" s="143"/>
      <c r="C16" s="147">
        <v>0</v>
      </c>
      <c r="D16" s="147">
        <v>0</v>
      </c>
      <c r="E16" s="147">
        <v>0</v>
      </c>
      <c r="F16" s="147">
        <v>1700</v>
      </c>
      <c r="G16" s="147">
        <v>7907</v>
      </c>
      <c r="H16" s="147">
        <f>'Content Assets'!G13+'Content Assets'!G12</f>
        <v>242879</v>
      </c>
      <c r="I16" s="148">
        <f>'Content Assets'!H13+'Content Assets'!H12</f>
        <v>332272</v>
      </c>
      <c r="J16" s="158">
        <f>'BS Assumptions'!J48</f>
        <v>453971.71651047235</v>
      </c>
      <c r="K16" s="158">
        <f>'BS Assumptions'!K48</f>
        <v>597329.3707898506</v>
      </c>
      <c r="L16" s="158">
        <f>'BS Assumptions'!L48</f>
        <v>752464.43532058073</v>
      </c>
      <c r="M16" s="158">
        <f>'BS Assumptions'!M48</f>
        <v>931222.28845082701</v>
      </c>
      <c r="N16" s="158">
        <f>'BS Assumptions'!N48</f>
        <v>1117225.1919332379</v>
      </c>
      <c r="O16" s="158">
        <f>'BS Assumptions'!O48</f>
        <v>1316804.6483289853</v>
      </c>
      <c r="P16" s="158">
        <f>'BS Assumptions'!P48</f>
        <v>1506432.4275755598</v>
      </c>
      <c r="Q16" s="158">
        <f>'BS Assumptions'!Q48</f>
        <v>1702947.58060158</v>
      </c>
      <c r="R16" s="158">
        <f>'BS Assumptions'!R48</f>
        <v>1908827.5255747382</v>
      </c>
      <c r="S16" s="158">
        <f>'BS Assumptions'!S48</f>
        <v>2128244.0769298812</v>
      </c>
      <c r="T16" s="158">
        <f>'BS Assumptions'!T48</f>
        <v>2362087.2665366251</v>
      </c>
      <c r="U16" s="158">
        <f>'BS Assumptions'!U48</f>
        <v>2611305.6458600122</v>
      </c>
      <c r="V16" s="87"/>
      <c r="W16" s="87"/>
      <c r="X16" s="87"/>
      <c r="Y16" s="87"/>
      <c r="Z16" s="87"/>
      <c r="AA16" s="87"/>
      <c r="AB16" s="87"/>
    </row>
    <row r="17" spans="1:28" ht="13.8">
      <c r="A17" s="143" t="s">
        <v>173</v>
      </c>
      <c r="B17" s="143"/>
      <c r="C17" s="147">
        <v>0</v>
      </c>
      <c r="D17" s="147">
        <v>2030</v>
      </c>
      <c r="E17" s="147">
        <v>1477</v>
      </c>
      <c r="F17" s="147">
        <v>76668</v>
      </c>
      <c r="G17" s="147">
        <v>62181</v>
      </c>
      <c r="H17" s="147">
        <v>84126</v>
      </c>
      <c r="I17" s="148">
        <v>58881</v>
      </c>
      <c r="J17" s="158">
        <f>'BS Assumptions'!J26</f>
        <v>41815</v>
      </c>
      <c r="K17" s="158">
        <f>'BS Assumptions'!K26</f>
        <v>27540</v>
      </c>
      <c r="L17" s="158">
        <f>'BS Assumptions'!L26</f>
        <v>14969</v>
      </c>
      <c r="M17" s="158">
        <f>'BS Assumptions'!M26</f>
        <v>10895</v>
      </c>
      <c r="N17" s="158">
        <f>'BS Assumptions'!N26</f>
        <v>8158</v>
      </c>
      <c r="O17" s="158">
        <f>'BS Assumptions'!O26</f>
        <v>0</v>
      </c>
      <c r="P17" s="158">
        <f>'BS Assumptions'!P26</f>
        <v>0</v>
      </c>
      <c r="Q17" s="158">
        <f>'BS Assumptions'!Q26</f>
        <v>0</v>
      </c>
      <c r="R17" s="158">
        <f>'BS Assumptions'!R26</f>
        <v>0</v>
      </c>
      <c r="S17" s="158">
        <f>'BS Assumptions'!S26</f>
        <v>0</v>
      </c>
      <c r="T17" s="158">
        <f>'BS Assumptions'!T26</f>
        <v>0</v>
      </c>
      <c r="U17" s="158">
        <f>'BS Assumptions'!U26</f>
        <v>0</v>
      </c>
      <c r="V17" s="87"/>
      <c r="W17" s="87"/>
      <c r="X17" s="87"/>
      <c r="Y17" s="87"/>
      <c r="Z17" s="87"/>
      <c r="AA17" s="87"/>
      <c r="AB17" s="87"/>
    </row>
    <row r="18" spans="1:28" ht="13.8">
      <c r="A18" s="143" t="s">
        <v>174</v>
      </c>
      <c r="B18" s="143"/>
      <c r="C18" s="147">
        <v>0</v>
      </c>
      <c r="D18" s="147">
        <v>1382</v>
      </c>
      <c r="E18" s="147">
        <v>1382</v>
      </c>
      <c r="F18" s="147">
        <v>74116</v>
      </c>
      <c r="G18" s="147">
        <v>73058</v>
      </c>
      <c r="H18" s="147">
        <v>161519</v>
      </c>
      <c r="I18" s="148">
        <v>161519</v>
      </c>
      <c r="J18" s="158">
        <f>'BS Assumptions'!J27</f>
        <v>161519</v>
      </c>
      <c r="K18" s="158">
        <f>'BS Assumptions'!K27</f>
        <v>161519</v>
      </c>
      <c r="L18" s="158">
        <f>'BS Assumptions'!L27</f>
        <v>161519</v>
      </c>
      <c r="M18" s="158">
        <f>'BS Assumptions'!M27</f>
        <v>161519</v>
      </c>
      <c r="N18" s="158">
        <f>'BS Assumptions'!N27</f>
        <v>161519</v>
      </c>
      <c r="O18" s="158">
        <f>'BS Assumptions'!O27</f>
        <v>161519</v>
      </c>
      <c r="P18" s="158">
        <f>'BS Assumptions'!P27</f>
        <v>161519</v>
      </c>
      <c r="Q18" s="158">
        <f>'BS Assumptions'!Q27</f>
        <v>161519</v>
      </c>
      <c r="R18" s="158">
        <f>'BS Assumptions'!R27</f>
        <v>161519</v>
      </c>
      <c r="S18" s="158">
        <f>'BS Assumptions'!S27</f>
        <v>161519</v>
      </c>
      <c r="T18" s="158">
        <f>'BS Assumptions'!T27</f>
        <v>161519</v>
      </c>
      <c r="U18" s="158">
        <f>'BS Assumptions'!U27</f>
        <v>161519</v>
      </c>
      <c r="V18" s="87"/>
      <c r="W18" s="87"/>
      <c r="X18" s="87"/>
      <c r="Y18" s="87"/>
      <c r="Z18" s="87"/>
      <c r="AA18" s="87"/>
      <c r="AB18" s="87"/>
    </row>
    <row r="19" spans="1:28" ht="13.8">
      <c r="A19" s="143" t="s">
        <v>175</v>
      </c>
      <c r="B19" s="143"/>
      <c r="C19" s="159">
        <f>515+3815</f>
        <v>4330</v>
      </c>
      <c r="D19" s="159">
        <f>3429+5403</f>
        <v>8832</v>
      </c>
      <c r="E19" s="159">
        <v>3939</v>
      </c>
      <c r="F19" s="159">
        <v>5534</v>
      </c>
      <c r="G19" s="159">
        <v>8362</v>
      </c>
      <c r="H19" s="159">
        <v>35053</v>
      </c>
      <c r="I19" s="160">
        <f>77830</f>
        <v>77830</v>
      </c>
      <c r="J19" s="161">
        <f>'Income Statement'!J9*'BS Assumptions'!J28</f>
        <v>96942.146373564203</v>
      </c>
      <c r="K19" s="161">
        <f>'Income Statement'!K9*'BS Assumptions'!K28</f>
        <v>89054.518028236344</v>
      </c>
      <c r="L19" s="161">
        <f>'Income Statement'!L9*'BS Assumptions'!L28</f>
        <v>76874.215548987937</v>
      </c>
      <c r="M19" s="161">
        <f>'Income Statement'!M9*'BS Assumptions'!M28</f>
        <v>58544.989208499908</v>
      </c>
      <c r="N19" s="161">
        <f>'Income Statement'!N9*'BS Assumptions'!N28</f>
        <v>32941.091290280543</v>
      </c>
      <c r="O19" s="161">
        <f>'Income Statement'!O9*'BS Assumptions'!O28</f>
        <v>36311.84961676447</v>
      </c>
      <c r="P19" s="161">
        <f>'Income Statement'!P9*'BS Assumptions'!P28</f>
        <v>38986.394329048155</v>
      </c>
      <c r="Q19" s="161">
        <f>'Income Statement'!Q9*'BS Assumptions'!Q28</f>
        <v>41128.627728178595</v>
      </c>
      <c r="R19" s="161">
        <f>'Income Statement'!R9*'BS Assumptions'!R28</f>
        <v>43123.073800732091</v>
      </c>
      <c r="S19" s="161">
        <f>'Income Statement'!S9*'BS Assumptions'!S28</f>
        <v>45190.107446537753</v>
      </c>
      <c r="T19" s="161">
        <f>'Income Statement'!T9*'BS Assumptions'!T28</f>
        <v>47389.600454137864</v>
      </c>
      <c r="U19" s="161">
        <f>'Income Statement'!U9*'BS Assumptions'!U28</f>
        <v>49724.05856247613</v>
      </c>
      <c r="V19" s="87"/>
      <c r="W19" s="87"/>
      <c r="X19" s="87"/>
      <c r="Y19" s="87"/>
      <c r="Z19" s="87"/>
      <c r="AA19" s="87"/>
      <c r="AB19" s="87"/>
    </row>
    <row r="20" spans="1:28" ht="13.8">
      <c r="A20" s="143" t="s">
        <v>176</v>
      </c>
      <c r="B20" s="143"/>
      <c r="C20" s="196">
        <f t="shared" ref="C20:E20" si="2">C13+SUM(C14:C19)</f>
        <v>179078</v>
      </c>
      <c r="D20" s="196">
        <f t="shared" si="2"/>
        <v>371897</v>
      </c>
      <c r="E20" s="196">
        <f t="shared" si="2"/>
        <v>464997</v>
      </c>
      <c r="F20" s="196">
        <v>1470234</v>
      </c>
      <c r="G20" s="196">
        <v>2270542</v>
      </c>
      <c r="H20" s="196">
        <v>4082145</v>
      </c>
      <c r="I20" s="185">
        <f t="shared" ref="I20:U20" si="3">I13+SUM(I14:I19)</f>
        <v>4412601</v>
      </c>
      <c r="J20" s="185">
        <f t="shared" si="3"/>
        <v>4672294.5590405595</v>
      </c>
      <c r="K20" s="185">
        <f t="shared" si="3"/>
        <v>5381936.6153249526</v>
      </c>
      <c r="L20" s="185">
        <f t="shared" si="3"/>
        <v>6027960.5626875125</v>
      </c>
      <c r="M20" s="185">
        <f t="shared" si="3"/>
        <v>6883802.3764757244</v>
      </c>
      <c r="N20" s="185">
        <f t="shared" si="3"/>
        <v>7741964.6171342554</v>
      </c>
      <c r="O20" s="185">
        <f t="shared" si="3"/>
        <v>8576288.222942641</v>
      </c>
      <c r="P20" s="185">
        <f t="shared" si="3"/>
        <v>9275772.2072317712</v>
      </c>
      <c r="Q20" s="185">
        <f t="shared" si="3"/>
        <v>9880842.1825760379</v>
      </c>
      <c r="R20" s="185">
        <f t="shared" si="3"/>
        <v>10463551.402814351</v>
      </c>
      <c r="S20" s="185">
        <f t="shared" si="3"/>
        <v>11081946.004155384</v>
      </c>
      <c r="T20" s="185">
        <f t="shared" si="3"/>
        <v>11740509.010935847</v>
      </c>
      <c r="U20" s="185">
        <f t="shared" si="3"/>
        <v>12440629.464566339</v>
      </c>
      <c r="V20" s="87"/>
      <c r="W20" s="87"/>
      <c r="X20" s="87"/>
      <c r="Y20" s="87"/>
      <c r="Z20" s="87"/>
      <c r="AA20" s="87"/>
      <c r="AB20" s="87"/>
    </row>
    <row r="21" spans="1:28" ht="13.8">
      <c r="A21" s="169"/>
      <c r="B21" s="143"/>
      <c r="C21" s="148"/>
      <c r="D21" s="148"/>
      <c r="E21" s="148"/>
      <c r="F21" s="148"/>
      <c r="G21" s="148"/>
      <c r="H21" s="148"/>
      <c r="I21" s="148"/>
      <c r="J21" s="143"/>
      <c r="K21" s="87"/>
      <c r="L21" s="87"/>
      <c r="M21" s="87"/>
      <c r="N21" s="87"/>
      <c r="O21" s="87"/>
      <c r="P21" s="87"/>
      <c r="Q21" s="87"/>
      <c r="R21" s="87"/>
      <c r="S21" s="87"/>
      <c r="T21" s="87"/>
      <c r="U21" s="87"/>
      <c r="V21" s="87"/>
      <c r="W21" s="87"/>
      <c r="X21" s="87"/>
      <c r="Y21" s="87"/>
      <c r="Z21" s="87"/>
      <c r="AA21" s="87"/>
      <c r="AB21" s="87"/>
    </row>
    <row r="22" spans="1:28" ht="13.8">
      <c r="A22" s="169" t="s">
        <v>177</v>
      </c>
      <c r="B22" s="143"/>
      <c r="C22" s="148"/>
      <c r="D22" s="148"/>
      <c r="E22" s="148"/>
      <c r="F22" s="148"/>
      <c r="G22" s="148"/>
      <c r="H22" s="148"/>
      <c r="I22" s="148"/>
      <c r="J22" s="143"/>
      <c r="K22" s="87"/>
      <c r="L22" s="87"/>
      <c r="M22" s="87"/>
      <c r="N22" s="87"/>
      <c r="O22" s="87"/>
      <c r="P22" s="87"/>
      <c r="Q22" s="87"/>
      <c r="R22" s="87"/>
      <c r="S22" s="87"/>
      <c r="T22" s="87"/>
      <c r="U22" s="87"/>
      <c r="V22" s="87"/>
      <c r="W22" s="87"/>
      <c r="X22" s="87"/>
      <c r="Y22" s="87"/>
      <c r="Z22" s="87"/>
      <c r="AA22" s="87"/>
      <c r="AB22" s="87"/>
    </row>
    <row r="23" spans="1:28" ht="13.8">
      <c r="A23" s="143" t="s">
        <v>178</v>
      </c>
      <c r="B23" s="143"/>
      <c r="C23" s="148"/>
      <c r="D23" s="148"/>
      <c r="E23" s="148"/>
      <c r="F23" s="148"/>
      <c r="G23" s="148"/>
      <c r="H23" s="148"/>
      <c r="I23" s="148"/>
      <c r="J23" s="143"/>
      <c r="K23" s="87"/>
      <c r="L23" s="87"/>
      <c r="M23" s="87"/>
      <c r="N23" s="87"/>
      <c r="O23" s="87"/>
      <c r="P23" s="87"/>
      <c r="Q23" s="87"/>
      <c r="R23" s="87"/>
      <c r="S23" s="87"/>
      <c r="T23" s="87"/>
      <c r="U23" s="87"/>
      <c r="V23" s="87"/>
      <c r="W23" s="87"/>
      <c r="X23" s="87"/>
      <c r="Y23" s="87"/>
      <c r="Z23" s="87"/>
      <c r="AA23" s="87"/>
      <c r="AB23" s="87"/>
    </row>
    <row r="24" spans="1:28" ht="13.8">
      <c r="A24" s="143" t="s">
        <v>179</v>
      </c>
      <c r="B24" s="143"/>
      <c r="C24" s="147">
        <v>31397</v>
      </c>
      <c r="D24" s="147">
        <v>56413</v>
      </c>
      <c r="E24" s="147">
        <v>56576</v>
      </c>
      <c r="F24" s="147">
        <v>115227</v>
      </c>
      <c r="G24" s="147">
        <v>112314</v>
      </c>
      <c r="H24" s="147">
        <v>124921</v>
      </c>
      <c r="I24" s="148">
        <v>164800</v>
      </c>
      <c r="J24" s="158">
        <f>(('Income Statement'!J15+J11-I11)/365)*'BS Assumptions'!J13</f>
        <v>195935.38808039011</v>
      </c>
      <c r="K24" s="158">
        <f>(('Income Statement'!K15+K11-J11)/365)*'BS Assumptions'!K13</f>
        <v>205976.71391860119</v>
      </c>
      <c r="L24" s="158">
        <f>(('Income Statement'!L15+L11-K11)/365)*'BS Assumptions'!L13</f>
        <v>223204.5304646969</v>
      </c>
      <c r="M24" s="158">
        <f>(('Income Statement'!M15+M11-L11)/365)*'BS Assumptions'!M13</f>
        <v>239553.98794444406</v>
      </c>
      <c r="N24" s="158">
        <f>(('Income Statement'!N15+N11-M11)/365)*'BS Assumptions'!N13</f>
        <v>253174.00911173297</v>
      </c>
      <c r="O24" s="158">
        <f>(('Income Statement'!O15+O11-N11)/365)*'BS Assumptions'!O13</f>
        <v>261755.38567328171</v>
      </c>
      <c r="P24" s="158">
        <f>(('Income Statement'!P15+P11-O11)/365)*'BS Assumptions'!P13</f>
        <v>270741.67469288519</v>
      </c>
      <c r="Q24" s="158">
        <f>(('Income Statement'!Q15+Q11-P11)/365)*'BS Assumptions'!Q13</f>
        <v>275187.54062141577</v>
      </c>
      <c r="R24" s="158">
        <f>(('Income Statement'!R15+R11-Q11)/365)*'BS Assumptions'!R13</f>
        <v>275015.75631827203</v>
      </c>
      <c r="S24" s="158">
        <f>(('Income Statement'!S15+S11-R11)/365)*'BS Assumptions'!S13</f>
        <v>287227.66808431456</v>
      </c>
      <c r="T24" s="158">
        <f>(('Income Statement'!T15+T11-S11)/365)*'BS Assumptions'!T13</f>
        <v>299763.45590033021</v>
      </c>
      <c r="U24" s="158">
        <f>(('Income Statement'!U15+U11-T11)/365)*'BS Assumptions'!U13</f>
        <v>313323.36749853881</v>
      </c>
      <c r="V24" s="87"/>
      <c r="W24" s="87"/>
      <c r="X24" s="87"/>
      <c r="Y24" s="87"/>
      <c r="Z24" s="87"/>
      <c r="AA24" s="87"/>
      <c r="AB24" s="87"/>
    </row>
    <row r="25" spans="1:28" ht="13.8">
      <c r="A25" s="143" t="s">
        <v>180</v>
      </c>
      <c r="B25" s="143"/>
      <c r="C25" s="147">
        <v>46156</v>
      </c>
      <c r="D25" s="147">
        <v>72344</v>
      </c>
      <c r="E25" s="147">
        <v>91986</v>
      </c>
      <c r="F25" s="147">
        <f>198347-F26</f>
        <v>180451</v>
      </c>
      <c r="G25" s="147">
        <f>347668-G26</f>
        <v>312021</v>
      </c>
      <c r="H25" s="147">
        <f>549055-H26</f>
        <v>511939</v>
      </c>
      <c r="I25" s="148">
        <f>750810-I26</f>
        <v>696121</v>
      </c>
      <c r="J25" s="158">
        <f>'Income Statement'!J9*'BS Assumptions'!J14</f>
        <v>892478.60729403421</v>
      </c>
      <c r="K25" s="158">
        <f>'Income Statement'!K9*'BS Assumptions'!K14</f>
        <v>1136146.5528814399</v>
      </c>
      <c r="L25" s="158">
        <f>'Income Statement'!L9*'BS Assumptions'!L14</f>
        <v>1399110.7229915806</v>
      </c>
      <c r="M25" s="158">
        <f>'Income Statement'!M9*'BS Assumptions'!M14</f>
        <v>1598278.2053920478</v>
      </c>
      <c r="N25" s="158">
        <f>'Income Statement'!N9*'BS Assumptions'!N14</f>
        <v>1798583.5844493175</v>
      </c>
      <c r="O25" s="158">
        <f>'Income Statement'!O9*'BS Assumptions'!O14</f>
        <v>1982626.9890753401</v>
      </c>
      <c r="P25" s="158">
        <f>'Income Statement'!P9*'BS Assumptions'!P14</f>
        <v>2128657.1303660292</v>
      </c>
      <c r="Q25" s="158">
        <f>'Income Statement'!Q9*'BS Assumptions'!Q14</f>
        <v>2245623.0739585515</v>
      </c>
      <c r="R25" s="158">
        <f>'Income Statement'!R9*'BS Assumptions'!R14</f>
        <v>2354519.8295199727</v>
      </c>
      <c r="S25" s="158">
        <f>'Income Statement'!S9*'BS Assumptions'!S14</f>
        <v>2467379.8665809617</v>
      </c>
      <c r="T25" s="158">
        <f>'Income Statement'!T9*'BS Assumptions'!T14</f>
        <v>2587472.1847959277</v>
      </c>
      <c r="U25" s="158">
        <f>'Income Statement'!U9*'BS Assumptions'!U14</f>
        <v>2714933.597511197</v>
      </c>
      <c r="V25" s="87"/>
      <c r="W25" s="87"/>
      <c r="X25" s="87"/>
      <c r="Y25" s="87"/>
      <c r="Z25" s="87"/>
      <c r="AA25" s="87"/>
      <c r="AB25" s="87"/>
    </row>
    <row r="26" spans="1:28" ht="13.8">
      <c r="A26" s="197" t="s">
        <v>181</v>
      </c>
      <c r="B26" s="197"/>
      <c r="C26" s="130">
        <v>0</v>
      </c>
      <c r="D26" s="130">
        <v>0</v>
      </c>
      <c r="E26" s="130">
        <v>0</v>
      </c>
      <c r="F26" s="198">
        <v>17896</v>
      </c>
      <c r="G26" s="198">
        <v>35647</v>
      </c>
      <c r="H26" s="130">
        <f>'BS Assumptions'!H36</f>
        <v>37116</v>
      </c>
      <c r="I26" s="130">
        <f>'BS Assumptions'!I36</f>
        <v>54689</v>
      </c>
      <c r="J26" s="199">
        <f>'BS Assumptions'!J36</f>
        <v>67202.624036003574</v>
      </c>
      <c r="K26" s="199">
        <f>'BS Assumptions'!K36</f>
        <v>77356.787501973682</v>
      </c>
      <c r="L26" s="199">
        <f>'BS Assumptions'!L36</f>
        <v>74259.16297604017</v>
      </c>
      <c r="M26" s="199">
        <f>'BS Assumptions'!M36</f>
        <v>83056.8630147035</v>
      </c>
      <c r="N26" s="199">
        <f>'BS Assumptions'!N36</f>
        <v>91823.248369196765</v>
      </c>
      <c r="O26" s="199">
        <f>'BS Assumptions'!O36</f>
        <v>99770.794877608132</v>
      </c>
      <c r="P26" s="199">
        <f>'BS Assumptions'!P36</f>
        <v>105930.61983776151</v>
      </c>
      <c r="Q26" s="199">
        <f>'BS Assumptions'!Q36</f>
        <v>111039.3984886629</v>
      </c>
      <c r="R26" s="199">
        <f>'BS Assumptions'!R36</f>
        <v>115769.84602404009</v>
      </c>
      <c r="S26" s="199">
        <f>'BS Assumptions'!S36</f>
        <v>120662.73096862168</v>
      </c>
      <c r="T26" s="199">
        <f>'BS Assumptions'!T36</f>
        <v>125863.46035144194</v>
      </c>
      <c r="U26" s="199">
        <f>'BS Assumptions'!U36</f>
        <v>131376.63767610217</v>
      </c>
      <c r="V26" s="87"/>
      <c r="W26" s="87"/>
      <c r="X26" s="87"/>
      <c r="Y26" s="87"/>
      <c r="Z26" s="87"/>
      <c r="AA26" s="87"/>
      <c r="AB26" s="87"/>
    </row>
    <row r="27" spans="1:28" ht="13.8">
      <c r="A27" s="171" t="s">
        <v>182</v>
      </c>
      <c r="B27" s="171"/>
      <c r="C27" s="172">
        <v>15000</v>
      </c>
      <c r="D27" s="172">
        <v>0</v>
      </c>
      <c r="E27" s="173">
        <v>0</v>
      </c>
      <c r="F27" s="173">
        <v>4866</v>
      </c>
      <c r="G27" s="173">
        <v>4874</v>
      </c>
      <c r="H27" s="173">
        <v>9883</v>
      </c>
      <c r="I27" s="194">
        <v>79985</v>
      </c>
      <c r="J27" s="200">
        <f>'BS Assumptions'!J64</f>
        <v>79985</v>
      </c>
      <c r="K27" s="200">
        <f>'BS Assumptions'!K64</f>
        <v>79985</v>
      </c>
      <c r="L27" s="200">
        <f>'BS Assumptions'!L64</f>
        <v>79985</v>
      </c>
      <c r="M27" s="200">
        <f>'BS Assumptions'!M64</f>
        <v>79985</v>
      </c>
      <c r="N27" s="200">
        <f>'BS Assumptions'!N64</f>
        <v>79985</v>
      </c>
      <c r="O27" s="200">
        <f>'BS Assumptions'!O64</f>
        <v>79985</v>
      </c>
      <c r="P27" s="200">
        <f>'BS Assumptions'!P64</f>
        <v>79985</v>
      </c>
      <c r="Q27" s="200">
        <f>'BS Assumptions'!Q64</f>
        <v>79985</v>
      </c>
      <c r="R27" s="158">
        <f>'BS Assumptions'!R64</f>
        <v>79985</v>
      </c>
      <c r="S27" s="158">
        <f>'BS Assumptions'!S64</f>
        <v>79985</v>
      </c>
      <c r="T27" s="158">
        <f>'BS Assumptions'!T64</f>
        <v>79985</v>
      </c>
      <c r="U27" s="158">
        <f>'BS Assumptions'!U64</f>
        <v>79985</v>
      </c>
      <c r="V27" s="87"/>
      <c r="W27" s="87"/>
      <c r="X27" s="87"/>
      <c r="Y27" s="87"/>
      <c r="Z27" s="87"/>
      <c r="AA27" s="87"/>
      <c r="AB27" s="87"/>
    </row>
    <row r="28" spans="1:28" ht="13.8">
      <c r="A28" s="143" t="s">
        <v>183</v>
      </c>
      <c r="B28" s="143"/>
      <c r="C28" s="159">
        <v>23952</v>
      </c>
      <c r="D28" s="159">
        <v>34501</v>
      </c>
      <c r="E28" s="159">
        <v>45442</v>
      </c>
      <c r="F28" s="159">
        <v>39861</v>
      </c>
      <c r="G28" s="159">
        <v>55465</v>
      </c>
      <c r="H28" s="159">
        <v>45760</v>
      </c>
      <c r="I28" s="160">
        <v>87678</v>
      </c>
      <c r="J28" s="161">
        <f>'Income Statement'!J9*'BS Assumptions'!J15</f>
        <v>116330.57564827702</v>
      </c>
      <c r="K28" s="161">
        <f>'Income Statement'!K9*'BS Assumptions'!K15</f>
        <v>133581.77704235452</v>
      </c>
      <c r="L28" s="161">
        <f>'Income Statement'!L9*'BS Assumptions'!L15</f>
        <v>153748.43109797587</v>
      </c>
      <c r="M28" s="161">
        <f>'Income Statement'!M9*'BS Assumptions'!M15</f>
        <v>175634.96762549973</v>
      </c>
      <c r="N28" s="161">
        <f>'Income Statement'!N9*'BS Assumptions'!N15</f>
        <v>197646.54774168323</v>
      </c>
      <c r="O28" s="161">
        <f>'Income Statement'!O9*'BS Assumptions'!O15</f>
        <v>217871.0977005868</v>
      </c>
      <c r="P28" s="161">
        <f>'Income Statement'!P9*'BS Assumptions'!P15</f>
        <v>233918.3659742889</v>
      </c>
      <c r="Q28" s="161">
        <f>'Income Statement'!Q9*'BS Assumptions'!Q15</f>
        <v>246771.76636907156</v>
      </c>
      <c r="R28" s="161">
        <f>'Income Statement'!R9*'BS Assumptions'!R15</f>
        <v>258738.44280439254</v>
      </c>
      <c r="S28" s="161">
        <f>'Income Statement'!S9*'BS Assumptions'!S15</f>
        <v>271140.64467922651</v>
      </c>
      <c r="T28" s="161">
        <f>'Income Statement'!T9*'BS Assumptions'!T15</f>
        <v>284337.60272482719</v>
      </c>
      <c r="U28" s="161">
        <f>'Income Statement'!U9*'BS Assumptions'!U15</f>
        <v>298344.35137485678</v>
      </c>
      <c r="V28" s="87"/>
      <c r="W28" s="87"/>
      <c r="X28" s="87"/>
      <c r="Y28" s="87"/>
      <c r="Z28" s="87"/>
      <c r="AA28" s="87"/>
      <c r="AB28" s="87"/>
    </row>
    <row r="29" spans="1:28" ht="13.8">
      <c r="A29" s="143" t="s">
        <v>184</v>
      </c>
      <c r="B29" s="143"/>
      <c r="C29" s="195">
        <f t="shared" ref="C29:E29" si="4">SUM(C24:C28)</f>
        <v>116505</v>
      </c>
      <c r="D29" s="195">
        <f t="shared" si="4"/>
        <v>163258</v>
      </c>
      <c r="E29" s="195">
        <f t="shared" si="4"/>
        <v>194004</v>
      </c>
      <c r="F29" s="195">
        <v>358301</v>
      </c>
      <c r="G29" s="195">
        <v>520321</v>
      </c>
      <c r="H29" s="195">
        <v>729619</v>
      </c>
      <c r="I29" s="163">
        <f t="shared" ref="I29:U29" si="5">SUM(I24:I28)</f>
        <v>1083273</v>
      </c>
      <c r="J29" s="163">
        <f t="shared" si="5"/>
        <v>1351932.1950587051</v>
      </c>
      <c r="K29" s="163">
        <f t="shared" si="5"/>
        <v>1633046.8313443693</v>
      </c>
      <c r="L29" s="163">
        <f t="shared" si="5"/>
        <v>1930307.8475302937</v>
      </c>
      <c r="M29" s="163">
        <f t="shared" si="5"/>
        <v>2176509.0239766953</v>
      </c>
      <c r="N29" s="163">
        <f t="shared" si="5"/>
        <v>2421212.3896719306</v>
      </c>
      <c r="O29" s="163">
        <f t="shared" si="5"/>
        <v>2642009.2673268169</v>
      </c>
      <c r="P29" s="163">
        <f t="shared" si="5"/>
        <v>2819232.7908709645</v>
      </c>
      <c r="Q29" s="163">
        <f t="shared" si="5"/>
        <v>2958606.7794377021</v>
      </c>
      <c r="R29" s="163">
        <f t="shared" si="5"/>
        <v>3084028.8746666773</v>
      </c>
      <c r="S29" s="163">
        <f t="shared" si="5"/>
        <v>3226395.9103131243</v>
      </c>
      <c r="T29" s="163">
        <f t="shared" si="5"/>
        <v>3377421.7037725272</v>
      </c>
      <c r="U29" s="163">
        <f t="shared" si="5"/>
        <v>3537962.9540606947</v>
      </c>
      <c r="V29" s="87"/>
      <c r="W29" s="87"/>
      <c r="X29" s="87"/>
      <c r="Y29" s="87"/>
      <c r="Z29" s="87"/>
      <c r="AA29" s="87"/>
      <c r="AB29" s="87"/>
    </row>
    <row r="30" spans="1:28" ht="13.8">
      <c r="A30" s="201"/>
      <c r="B30" s="201"/>
      <c r="C30" s="202"/>
      <c r="D30" s="202"/>
      <c r="E30" s="202"/>
      <c r="F30" s="202"/>
      <c r="G30" s="202"/>
      <c r="H30" s="202"/>
      <c r="I30" s="203"/>
      <c r="J30" s="143"/>
      <c r="K30" s="87"/>
      <c r="L30" s="87"/>
      <c r="M30" s="87"/>
      <c r="N30" s="87"/>
      <c r="O30" s="87"/>
      <c r="P30" s="87"/>
      <c r="Q30" s="87"/>
      <c r="R30" s="87"/>
      <c r="S30" s="87"/>
      <c r="T30" s="87"/>
      <c r="U30" s="87"/>
      <c r="V30" s="87"/>
      <c r="W30" s="87"/>
      <c r="X30" s="87"/>
      <c r="Y30" s="87"/>
      <c r="Z30" s="87"/>
      <c r="AA30" s="87"/>
      <c r="AB30" s="87"/>
    </row>
    <row r="31" spans="1:28" ht="13.8">
      <c r="A31" s="169" t="s">
        <v>185</v>
      </c>
      <c r="B31" s="201"/>
      <c r="C31" s="202"/>
      <c r="D31" s="202"/>
      <c r="E31" s="202"/>
      <c r="F31" s="202"/>
      <c r="G31" s="202"/>
      <c r="H31" s="202"/>
      <c r="I31" s="203"/>
      <c r="J31" s="143"/>
      <c r="K31" s="87"/>
      <c r="L31" s="87"/>
      <c r="M31" s="87"/>
      <c r="N31" s="87"/>
      <c r="O31" s="87"/>
      <c r="P31" s="87"/>
      <c r="Q31" s="87"/>
      <c r="R31" s="87"/>
      <c r="S31" s="87"/>
      <c r="T31" s="87"/>
      <c r="U31" s="87"/>
      <c r="V31" s="87"/>
      <c r="W31" s="87"/>
      <c r="X31" s="87"/>
      <c r="Y31" s="87"/>
      <c r="Z31" s="87"/>
      <c r="AA31" s="87"/>
      <c r="AB31" s="87"/>
    </row>
    <row r="32" spans="1:28" ht="13.8">
      <c r="A32" s="171" t="s">
        <v>186</v>
      </c>
      <c r="B32" s="171"/>
      <c r="C32" s="172">
        <v>0</v>
      </c>
      <c r="D32" s="172">
        <v>0</v>
      </c>
      <c r="E32" s="173">
        <v>0</v>
      </c>
      <c r="F32" s="173">
        <v>94742</v>
      </c>
      <c r="G32" s="173">
        <v>89868</v>
      </c>
      <c r="H32" s="173">
        <v>79985</v>
      </c>
      <c r="I32" s="174">
        <v>0</v>
      </c>
      <c r="J32" s="176">
        <f>'BS Assumptions'!J65</f>
        <v>0</v>
      </c>
      <c r="K32" s="176">
        <f>'BS Assumptions'!K65</f>
        <v>0</v>
      </c>
      <c r="L32" s="176">
        <f>'BS Assumptions'!L65</f>
        <v>0</v>
      </c>
      <c r="M32" s="176">
        <f>'BS Assumptions'!M65</f>
        <v>0</v>
      </c>
      <c r="N32" s="176">
        <f>'BS Assumptions'!N65</f>
        <v>0</v>
      </c>
      <c r="O32" s="176">
        <f>'BS Assumptions'!O65</f>
        <v>0</v>
      </c>
      <c r="P32" s="176">
        <f>'BS Assumptions'!P65</f>
        <v>0</v>
      </c>
      <c r="Q32" s="176">
        <f>'BS Assumptions'!Q65</f>
        <v>0</v>
      </c>
      <c r="R32" s="176">
        <f>'BS Assumptions'!R65</f>
        <v>0</v>
      </c>
      <c r="S32" s="176">
        <f>'BS Assumptions'!S65</f>
        <v>0</v>
      </c>
      <c r="T32" s="176">
        <f>'BS Assumptions'!T65</f>
        <v>0</v>
      </c>
      <c r="U32" s="176">
        <f>'BS Assumptions'!U65</f>
        <v>0</v>
      </c>
      <c r="V32" s="87"/>
      <c r="W32" s="87"/>
      <c r="X32" s="87"/>
      <c r="Y32" s="87"/>
      <c r="Z32" s="87"/>
      <c r="AA32" s="87"/>
      <c r="AB32" s="87"/>
    </row>
    <row r="33" spans="1:28" ht="13.8">
      <c r="A33" s="143" t="s">
        <v>187</v>
      </c>
      <c r="B33" s="143"/>
      <c r="C33" s="147">
        <v>29084</v>
      </c>
      <c r="D33" s="147">
        <v>48511</v>
      </c>
      <c r="E33" s="147">
        <v>19594</v>
      </c>
      <c r="F33" s="147">
        <v>15370</v>
      </c>
      <c r="G33" s="147">
        <v>21283</v>
      </c>
      <c r="H33" s="147">
        <v>28726</v>
      </c>
      <c r="I33" s="148">
        <v>28210</v>
      </c>
      <c r="J33" s="158">
        <f>'Income Statement'!J9*'BS Assumptions'!J53</f>
        <v>34899.17269448311</v>
      </c>
      <c r="K33" s="158">
        <f>'Income Statement'!K9*'BS Assumptions'!K53</f>
        <v>40074.533112706355</v>
      </c>
      <c r="L33" s="158">
        <f>'Income Statement'!L9*'BS Assumptions'!L53</f>
        <v>46124.529329392761</v>
      </c>
      <c r="M33" s="158">
        <f>'Income Statement'!M9*'BS Assumptions'!M53</f>
        <v>52690.490287649918</v>
      </c>
      <c r="N33" s="158">
        <f>'Income Statement'!N9*'BS Assumptions'!N53</f>
        <v>59293.964322504966</v>
      </c>
      <c r="O33" s="158">
        <f>'Income Statement'!O9*'BS Assumptions'!O53</f>
        <v>65361.329310176036</v>
      </c>
      <c r="P33" s="158">
        <f>'Income Statement'!P9*'BS Assumptions'!P53</f>
        <v>70175.50979228667</v>
      </c>
      <c r="Q33" s="158">
        <f>'Income Statement'!Q9*'BS Assumptions'!Q53</f>
        <v>74031.529910721467</v>
      </c>
      <c r="R33" s="158">
        <f>'Income Statement'!R9*'BS Assumptions'!R53</f>
        <v>77621.532841317763</v>
      </c>
      <c r="S33" s="158">
        <f>'Income Statement'!S9*'BS Assumptions'!S53</f>
        <v>81342.193403767946</v>
      </c>
      <c r="T33" s="158">
        <f>'Income Statement'!T9*'BS Assumptions'!T53</f>
        <v>85301.280817448147</v>
      </c>
      <c r="U33" s="158">
        <f>'Income Statement'!U9*'BS Assumptions'!U53</f>
        <v>89503.305412457034</v>
      </c>
      <c r="V33" s="87"/>
      <c r="W33" s="87"/>
      <c r="X33" s="87"/>
      <c r="Y33" s="87"/>
      <c r="Z33" s="87"/>
      <c r="AA33" s="87"/>
      <c r="AB33" s="87"/>
    </row>
    <row r="34" spans="1:28" ht="13.8">
      <c r="A34" s="143" t="s">
        <v>188</v>
      </c>
      <c r="B34" s="143"/>
      <c r="C34" s="147">
        <v>0</v>
      </c>
      <c r="D34" s="147">
        <v>0</v>
      </c>
      <c r="E34" s="147">
        <v>0</v>
      </c>
      <c r="F34" s="147">
        <v>301694</v>
      </c>
      <c r="G34" s="147">
        <v>307936</v>
      </c>
      <c r="H34" s="147">
        <v>394724</v>
      </c>
      <c r="I34" s="148">
        <v>584651</v>
      </c>
      <c r="J34" s="158">
        <f>'BS Assumptions'!J37</f>
        <v>714223.23684775888</v>
      </c>
      <c r="K34" s="158">
        <f>'BS Assumptions'!K37</f>
        <v>822140.74159074365</v>
      </c>
      <c r="L34" s="158">
        <f>'BS Assumptions'!L37</f>
        <v>789219.47628024092</v>
      </c>
      <c r="M34" s="158">
        <f>'BS Assumptions'!M37</f>
        <v>882720.61390045355</v>
      </c>
      <c r="N34" s="158">
        <f>'BS Assumptions'!N37</f>
        <v>975888.94197030051</v>
      </c>
      <c r="O34" s="158">
        <f>'BS Assumptions'!O37</f>
        <v>1060354.7269550448</v>
      </c>
      <c r="P34" s="158">
        <f>'BS Assumptions'!P37</f>
        <v>1125820.7736245818</v>
      </c>
      <c r="Q34" s="158">
        <f>'BS Assumptions'!Q37</f>
        <v>1180116.3978911384</v>
      </c>
      <c r="R34" s="158">
        <f>'BS Assumptions'!R37</f>
        <v>1230391.1542554959</v>
      </c>
      <c r="S34" s="158">
        <f>'BS Assumptions'!S37</f>
        <v>1282392.2802944211</v>
      </c>
      <c r="T34" s="158">
        <f>'BS Assumptions'!T37</f>
        <v>1337665.1483862551</v>
      </c>
      <c r="U34" s="158">
        <f>'BS Assumptions'!U37</f>
        <v>1396258.6841390396</v>
      </c>
      <c r="V34" s="87"/>
      <c r="W34" s="87"/>
      <c r="X34" s="87"/>
      <c r="Y34" s="87"/>
      <c r="Z34" s="87"/>
      <c r="AA34" s="87"/>
      <c r="AB34" s="87"/>
    </row>
    <row r="35" spans="1:28" ht="13.8">
      <c r="A35" s="143" t="s">
        <v>189</v>
      </c>
      <c r="B35" s="143"/>
      <c r="C35" s="159">
        <f>4143+9990</f>
        <v>14133</v>
      </c>
      <c r="D35" s="159">
        <v>7849</v>
      </c>
      <c r="E35" s="159">
        <v>6748</v>
      </c>
      <c r="F35" s="159">
        <v>1701</v>
      </c>
      <c r="G35" s="159">
        <v>3119</v>
      </c>
      <c r="H35" s="159">
        <v>82485</v>
      </c>
      <c r="I35" s="160">
        <v>69911</v>
      </c>
      <c r="J35" s="161">
        <f>'Income Statement'!J9*'BS Assumptions'!J54</f>
        <v>85309.088808736487</v>
      </c>
      <c r="K35" s="161">
        <f>'Income Statement'!K9*'BS Assumptions'!K54</f>
        <v>97959.969831059978</v>
      </c>
      <c r="L35" s="161">
        <f>'Income Statement'!L9*'BS Assumptions'!L54</f>
        <v>112748.84947184897</v>
      </c>
      <c r="M35" s="161">
        <f>'Income Statement'!M9*'BS Assumptions'!M54</f>
        <v>128798.9762586998</v>
      </c>
      <c r="N35" s="161">
        <f>'Income Statement'!N9*'BS Assumptions'!N54</f>
        <v>144940.80167723435</v>
      </c>
      <c r="O35" s="161">
        <f>'Income Statement'!O9*'BS Assumptions'!O54</f>
        <v>159772.13831376366</v>
      </c>
      <c r="P35" s="161">
        <f>'Income Statement'!P9*'BS Assumptions'!P54</f>
        <v>171540.13504781187</v>
      </c>
      <c r="Q35" s="161">
        <f>'Income Statement'!Q9*'BS Assumptions'!Q54</f>
        <v>180965.9620039858</v>
      </c>
      <c r="R35" s="161">
        <f>'Income Statement'!R9*'BS Assumptions'!R54</f>
        <v>189741.5247232212</v>
      </c>
      <c r="S35" s="161">
        <f>'Income Statement'!S9*'BS Assumptions'!S54</f>
        <v>198836.47276476611</v>
      </c>
      <c r="T35" s="161">
        <f>'Income Statement'!T9*'BS Assumptions'!T54</f>
        <v>208514.24199820659</v>
      </c>
      <c r="U35" s="161">
        <f>'Income Statement'!U9*'BS Assumptions'!U54</f>
        <v>218785.85767489497</v>
      </c>
      <c r="V35" s="87"/>
      <c r="W35" s="87"/>
      <c r="X35" s="87"/>
      <c r="Y35" s="87"/>
      <c r="Z35" s="87"/>
      <c r="AA35" s="87"/>
      <c r="AB35" s="87"/>
    </row>
    <row r="36" spans="1:28" ht="13.8">
      <c r="A36" s="143" t="s">
        <v>190</v>
      </c>
      <c r="B36" s="143"/>
      <c r="C36" s="195">
        <f t="shared" ref="C36:E36" si="6">C29+SUM(C32:C35)</f>
        <v>159722</v>
      </c>
      <c r="D36" s="195">
        <f t="shared" si="6"/>
        <v>219618</v>
      </c>
      <c r="E36" s="195">
        <f t="shared" si="6"/>
        <v>220346</v>
      </c>
      <c r="F36" s="195">
        <v>771808</v>
      </c>
      <c r="G36" s="195">
        <v>942527</v>
      </c>
      <c r="H36" s="195">
        <v>1315539</v>
      </c>
      <c r="I36" s="163">
        <f t="shared" ref="I36:U36" si="7">SUM(I29:I35)</f>
        <v>1766045</v>
      </c>
      <c r="J36" s="163">
        <f t="shared" si="7"/>
        <v>2186363.6934096832</v>
      </c>
      <c r="K36" s="163">
        <f t="shared" si="7"/>
        <v>2593222.0758788795</v>
      </c>
      <c r="L36" s="163">
        <f t="shared" si="7"/>
        <v>2878400.7026117765</v>
      </c>
      <c r="M36" s="163">
        <f t="shared" si="7"/>
        <v>3240719.1044234987</v>
      </c>
      <c r="N36" s="163">
        <f t="shared" si="7"/>
        <v>3601336.0976419705</v>
      </c>
      <c r="O36" s="163">
        <f t="shared" si="7"/>
        <v>3927497.4619058017</v>
      </c>
      <c r="P36" s="163">
        <f t="shared" si="7"/>
        <v>4186769.2093356452</v>
      </c>
      <c r="Q36" s="163">
        <f t="shared" si="7"/>
        <v>4393720.6692435471</v>
      </c>
      <c r="R36" s="163">
        <f t="shared" si="7"/>
        <v>4581783.086486713</v>
      </c>
      <c r="S36" s="163">
        <f t="shared" si="7"/>
        <v>4788966.8567760792</v>
      </c>
      <c r="T36" s="163">
        <f t="shared" si="7"/>
        <v>5008902.3749744371</v>
      </c>
      <c r="U36" s="163">
        <f t="shared" si="7"/>
        <v>5242510.8012870857</v>
      </c>
      <c r="V36" s="87"/>
      <c r="W36" s="87"/>
      <c r="X36" s="87"/>
      <c r="Y36" s="87"/>
      <c r="Z36" s="87"/>
      <c r="AA36" s="87"/>
      <c r="AB36" s="87"/>
    </row>
    <row r="37" spans="1:28" ht="13.8">
      <c r="A37" s="143"/>
      <c r="B37" s="143"/>
      <c r="C37" s="143"/>
      <c r="D37" s="143"/>
      <c r="E37" s="143"/>
      <c r="F37" s="148"/>
      <c r="G37" s="87"/>
      <c r="H37" s="87"/>
      <c r="I37" s="143"/>
      <c r="J37" s="143"/>
      <c r="K37" s="87"/>
      <c r="L37" s="87"/>
      <c r="M37" s="87"/>
      <c r="N37" s="87"/>
      <c r="O37" s="87"/>
      <c r="P37" s="87"/>
      <c r="Q37" s="87"/>
      <c r="R37" s="87"/>
      <c r="S37" s="87"/>
      <c r="T37" s="87"/>
      <c r="U37" s="87"/>
      <c r="V37" s="87"/>
      <c r="W37" s="87"/>
      <c r="X37" s="87"/>
      <c r="Y37" s="87"/>
      <c r="Z37" s="87"/>
      <c r="AA37" s="87"/>
      <c r="AB37" s="87"/>
    </row>
    <row r="38" spans="1:28" ht="13.8">
      <c r="A38" s="169"/>
      <c r="B38" s="143"/>
      <c r="C38" s="143"/>
      <c r="D38" s="143"/>
      <c r="E38" s="143"/>
      <c r="F38" s="148"/>
      <c r="G38" s="87"/>
      <c r="H38" s="87"/>
      <c r="I38" s="143"/>
      <c r="J38" s="143"/>
      <c r="K38" s="87"/>
      <c r="L38" s="87"/>
      <c r="M38" s="87"/>
      <c r="N38" s="87"/>
      <c r="O38" s="87"/>
      <c r="P38" s="87"/>
      <c r="Q38" s="87"/>
      <c r="R38" s="87"/>
      <c r="S38" s="87"/>
      <c r="T38" s="87"/>
      <c r="U38" s="87"/>
      <c r="V38" s="87"/>
      <c r="W38" s="87"/>
      <c r="X38" s="87"/>
      <c r="Y38" s="87"/>
      <c r="Z38" s="87"/>
      <c r="AA38" s="87"/>
      <c r="AB38" s="87"/>
    </row>
    <row r="39" spans="1:28" ht="13.8">
      <c r="A39" s="169" t="s">
        <v>191</v>
      </c>
      <c r="B39" s="143"/>
      <c r="C39" s="143"/>
      <c r="D39" s="143"/>
      <c r="E39" s="143"/>
      <c r="F39" s="148"/>
      <c r="G39" s="87"/>
      <c r="H39" s="87"/>
      <c r="I39" s="143"/>
      <c r="J39" s="143"/>
      <c r="K39" s="87"/>
      <c r="L39" s="87"/>
      <c r="M39" s="87"/>
      <c r="N39" s="87"/>
      <c r="O39" s="87"/>
      <c r="P39" s="87"/>
      <c r="Q39" s="87"/>
      <c r="R39" s="87"/>
      <c r="S39" s="87"/>
      <c r="T39" s="87"/>
      <c r="U39" s="87"/>
      <c r="V39" s="87"/>
      <c r="W39" s="87"/>
      <c r="X39" s="87"/>
      <c r="Y39" s="87"/>
      <c r="Z39" s="87"/>
      <c r="AA39" s="87"/>
      <c r="AB39" s="87"/>
    </row>
    <row r="40" spans="1:28" ht="13.8">
      <c r="A40" s="143" t="s">
        <v>192</v>
      </c>
      <c r="B40" s="143"/>
      <c r="C40" s="195">
        <f t="shared" ref="C40:U40" si="8">C20-C36</f>
        <v>19356</v>
      </c>
      <c r="D40" s="195">
        <f t="shared" si="8"/>
        <v>152279</v>
      </c>
      <c r="E40" s="195">
        <f t="shared" si="8"/>
        <v>244651</v>
      </c>
      <c r="F40" s="195">
        <f t="shared" si="8"/>
        <v>698426</v>
      </c>
      <c r="G40" s="195">
        <f t="shared" si="8"/>
        <v>1328015</v>
      </c>
      <c r="H40" s="195">
        <f t="shared" si="8"/>
        <v>2766606</v>
      </c>
      <c r="I40" s="195">
        <f t="shared" si="8"/>
        <v>2646556</v>
      </c>
      <c r="J40" s="195">
        <f t="shared" si="8"/>
        <v>2485930.8656308763</v>
      </c>
      <c r="K40" s="195">
        <f t="shared" si="8"/>
        <v>2788714.5394460731</v>
      </c>
      <c r="L40" s="195">
        <f t="shared" si="8"/>
        <v>3149559.860075736</v>
      </c>
      <c r="M40" s="195">
        <f t="shared" si="8"/>
        <v>3643083.2720522257</v>
      </c>
      <c r="N40" s="195">
        <f t="shared" si="8"/>
        <v>4140628.5194922849</v>
      </c>
      <c r="O40" s="195">
        <f t="shared" si="8"/>
        <v>4648790.7610368393</v>
      </c>
      <c r="P40" s="195">
        <f t="shared" si="8"/>
        <v>5089002.9978961255</v>
      </c>
      <c r="Q40" s="195">
        <f t="shared" si="8"/>
        <v>5487121.5133324908</v>
      </c>
      <c r="R40" s="195">
        <f t="shared" si="8"/>
        <v>5881768.316327638</v>
      </c>
      <c r="S40" s="195">
        <f t="shared" si="8"/>
        <v>6292979.1473793052</v>
      </c>
      <c r="T40" s="195">
        <f t="shared" si="8"/>
        <v>6731606.6359614097</v>
      </c>
      <c r="U40" s="195">
        <f t="shared" si="8"/>
        <v>7198118.6632792531</v>
      </c>
      <c r="V40" s="87"/>
      <c r="W40" s="87"/>
      <c r="X40" s="87"/>
      <c r="Y40" s="87"/>
      <c r="Z40" s="87"/>
      <c r="AA40" s="87"/>
      <c r="AB40" s="87"/>
    </row>
    <row r="41" spans="1:28" ht="13.8">
      <c r="A41" s="143" t="s">
        <v>193</v>
      </c>
      <c r="B41" s="143"/>
      <c r="C41" s="196">
        <f t="shared" ref="C41:E41" si="9">C36+C40</f>
        <v>179078</v>
      </c>
      <c r="D41" s="196">
        <f t="shared" si="9"/>
        <v>371897</v>
      </c>
      <c r="E41" s="196">
        <f t="shared" si="9"/>
        <v>464997</v>
      </c>
      <c r="F41" s="196">
        <v>1470234</v>
      </c>
      <c r="G41" s="196">
        <v>2270542</v>
      </c>
      <c r="H41" s="196">
        <v>4082145</v>
      </c>
      <c r="I41" s="204">
        <f t="shared" ref="I41:U41" si="10">I36+I40</f>
        <v>4412601</v>
      </c>
      <c r="J41" s="204">
        <f t="shared" si="10"/>
        <v>4672294.5590405595</v>
      </c>
      <c r="K41" s="204">
        <f t="shared" si="10"/>
        <v>5381936.6153249526</v>
      </c>
      <c r="L41" s="204">
        <f t="shared" si="10"/>
        <v>6027960.5626875125</v>
      </c>
      <c r="M41" s="204">
        <f t="shared" si="10"/>
        <v>6883802.3764757244</v>
      </c>
      <c r="N41" s="204">
        <f t="shared" si="10"/>
        <v>7741964.6171342554</v>
      </c>
      <c r="O41" s="204">
        <f t="shared" si="10"/>
        <v>8576288.222942641</v>
      </c>
      <c r="P41" s="204">
        <f t="shared" si="10"/>
        <v>9275772.2072317712</v>
      </c>
      <c r="Q41" s="204">
        <f t="shared" si="10"/>
        <v>9880842.1825760379</v>
      </c>
      <c r="R41" s="204">
        <f t="shared" si="10"/>
        <v>10463551.402814351</v>
      </c>
      <c r="S41" s="204">
        <f t="shared" si="10"/>
        <v>11081946.004155384</v>
      </c>
      <c r="T41" s="204">
        <f t="shared" si="10"/>
        <v>11740509.010935847</v>
      </c>
      <c r="U41" s="204">
        <f t="shared" si="10"/>
        <v>12440629.464566339</v>
      </c>
      <c r="V41" s="87"/>
      <c r="W41" s="87"/>
      <c r="X41" s="87"/>
      <c r="Y41" s="87"/>
      <c r="Z41" s="87"/>
      <c r="AA41" s="87"/>
      <c r="AB41" s="87"/>
    </row>
    <row r="42" spans="1:28" ht="13.8">
      <c r="A42" s="143"/>
      <c r="B42" s="143"/>
      <c r="C42" s="143"/>
      <c r="D42" s="143"/>
      <c r="E42" s="143"/>
      <c r="F42" s="143"/>
      <c r="G42" s="143"/>
      <c r="H42" s="87"/>
      <c r="I42" s="143"/>
      <c r="J42" s="143"/>
      <c r="K42" s="87"/>
      <c r="L42" s="87"/>
      <c r="M42" s="87"/>
      <c r="N42" s="87"/>
      <c r="O42" s="87"/>
      <c r="P42" s="87"/>
      <c r="Q42" s="87"/>
      <c r="R42" s="87"/>
      <c r="S42" s="87"/>
      <c r="T42" s="87"/>
      <c r="U42" s="87"/>
      <c r="V42" s="87"/>
      <c r="W42" s="87"/>
      <c r="X42" s="87"/>
      <c r="Y42" s="87"/>
      <c r="Z42" s="87"/>
      <c r="AA42" s="87"/>
      <c r="AB42" s="87"/>
    </row>
    <row r="43" spans="1:28" ht="13.8">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row>
    <row r="44" spans="1:28" ht="13.8">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row>
    <row r="45" spans="1:28" ht="13.8">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row>
    <row r="46" spans="1:28" ht="13.8">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row>
    <row r="47" spans="1:28" ht="13.8">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row>
    <row r="48" spans="1:28" ht="13.8">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row>
    <row r="49" spans="1:28" ht="13.8">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row>
    <row r="50" spans="1:28" ht="13.8">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row>
    <row r="51" spans="1:28" ht="13.8">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row>
    <row r="52" spans="1:28" ht="13.8">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row>
    <row r="53" spans="1:28" ht="13.8">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row>
    <row r="54" spans="1:28" ht="13.8">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row>
    <row r="55" spans="1:28" ht="13.8">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row>
    <row r="56" spans="1:28" ht="13.8">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row>
    <row r="57" spans="1:28" ht="13.8">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row>
    <row r="58" spans="1:28" ht="13.8">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row>
    <row r="59" spans="1:28" ht="13.8">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row>
    <row r="60" spans="1:28" ht="13.8">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row>
    <row r="61" spans="1:28" ht="13.8">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row>
    <row r="62" spans="1:28" ht="13.8">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row>
    <row r="63" spans="1:28" ht="13.8">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row>
    <row r="64" spans="1:28" ht="13.8">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row>
    <row r="65" spans="1:28" ht="13.8">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row>
    <row r="66" spans="1:28" ht="13.8">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row>
    <row r="67" spans="1:28" ht="13.8">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row>
    <row r="68" spans="1:28" ht="13.8">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row>
    <row r="69" spans="1:28" ht="13.8">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row>
    <row r="70" spans="1:28" ht="13.8">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row>
    <row r="71" spans="1:28" ht="13.8">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row>
    <row r="72" spans="1:28" ht="13.8">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row>
    <row r="73" spans="1:28" ht="13.8">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row>
    <row r="74" spans="1:28" ht="13.8">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row>
    <row r="75" spans="1:28" ht="13.8">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row>
    <row r="76" spans="1:28" ht="13.8">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row>
    <row r="77" spans="1:28" ht="13.8">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row>
    <row r="78" spans="1:28" ht="13.8">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row>
    <row r="79" spans="1:28" ht="13.8">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row>
    <row r="80" spans="1:28" ht="13.8">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row>
    <row r="81" spans="1:28" ht="13.8">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row>
    <row r="82" spans="1:28" ht="13.8">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row>
    <row r="83" spans="1:28" ht="13.8">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row>
    <row r="84" spans="1:28" ht="13.8">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row>
    <row r="85" spans="1:28" ht="13.8">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row>
    <row r="86" spans="1:28" ht="13.8">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row>
    <row r="87" spans="1:28" ht="13.8">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row>
    <row r="88" spans="1:28" ht="13.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row>
    <row r="89" spans="1:28" ht="13.8">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row>
    <row r="90" spans="1:28" ht="13.8">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row>
    <row r="91" spans="1:28" ht="13.8">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row>
    <row r="92" spans="1:28" ht="13.8">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row>
    <row r="93" spans="1:28" ht="13.8">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row>
    <row r="94" spans="1:28" ht="13.8">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row>
    <row r="95" spans="1:28" ht="13.8">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row>
    <row r="96" spans="1:28" ht="13.8">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row>
    <row r="97" spans="1:28" ht="13.8">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row>
    <row r="98" spans="1:28" ht="13.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row>
    <row r="99" spans="1:28" ht="13.8">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row>
    <row r="100" spans="1:28" ht="13.8">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row>
    <row r="101" spans="1:28" ht="13.8">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row>
    <row r="102" spans="1:28" ht="13.8">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row>
    <row r="103" spans="1:28" ht="13.8">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row>
    <row r="104" spans="1:28" ht="13.8">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row>
    <row r="105" spans="1:28" ht="13.8">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row>
    <row r="106" spans="1:28" ht="13.8">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row>
    <row r="107" spans="1:28" ht="13.8">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row>
    <row r="108" spans="1:28" ht="13.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row>
    <row r="109" spans="1:28" ht="13.8">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row>
    <row r="110" spans="1:28" ht="13.8">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row>
    <row r="111" spans="1:28" ht="13.8">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row>
    <row r="112" spans="1:28" ht="13.8">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row>
    <row r="113" spans="1:28" ht="13.8">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row>
    <row r="114" spans="1:28" ht="13.8">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row>
    <row r="115" spans="1:28" ht="13.8">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row>
    <row r="116" spans="1:28" ht="13.8">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row>
    <row r="117" spans="1:28" ht="13.8">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row>
    <row r="118" spans="1:28" ht="13.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row>
    <row r="119" spans="1:28" ht="13.8">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row>
    <row r="120" spans="1:28" ht="13.8">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row>
    <row r="121" spans="1:28" ht="13.8">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row>
    <row r="122" spans="1:28" ht="13.8">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row>
    <row r="123" spans="1:28" ht="13.8">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row>
    <row r="124" spans="1:28" ht="13.8">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row>
    <row r="125" spans="1:28" ht="13.8">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row>
    <row r="126" spans="1:28" ht="13.8">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row>
    <row r="127" spans="1:28" ht="13.8">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row>
    <row r="128" spans="1:28" ht="13.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row>
    <row r="129" spans="1:28" ht="13.8">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row>
    <row r="130" spans="1:28" ht="13.8">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row>
    <row r="131" spans="1:28" ht="13.8">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row>
    <row r="132" spans="1:28" ht="13.8">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row>
    <row r="133" spans="1:28" ht="13.8">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row>
    <row r="134" spans="1:28" ht="13.8">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row>
    <row r="135" spans="1:28" ht="13.8">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row>
    <row r="136" spans="1:28" ht="13.8">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row>
    <row r="137" spans="1:28" ht="13.8">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row>
    <row r="138" spans="1:28" ht="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row>
    <row r="139" spans="1:28" ht="13.8">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row>
    <row r="140" spans="1:28" ht="13.8">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row>
    <row r="141" spans="1:28" ht="13.8">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row>
    <row r="142" spans="1:28" ht="13.8">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row>
    <row r="143" spans="1:28" ht="13.8">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row>
    <row r="144" spans="1:28" ht="13.8">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row>
    <row r="145" spans="1:28" ht="13.8">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row>
    <row r="146" spans="1:28" ht="13.8">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row>
    <row r="147" spans="1:28" ht="13.8">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row>
    <row r="148" spans="1:28" ht="13.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row>
    <row r="149" spans="1:28" ht="13.8">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row>
    <row r="150" spans="1:28" ht="13.8">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row>
    <row r="151" spans="1:28" ht="13.8">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row>
    <row r="152" spans="1:28" ht="13.8">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row>
    <row r="153" spans="1:28" ht="13.8">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row>
    <row r="154" spans="1:28" ht="13.8">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row>
    <row r="155" spans="1:28" ht="13.8">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row>
    <row r="156" spans="1:28" ht="13.8">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row>
    <row r="157" spans="1:28" ht="13.8">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row>
    <row r="158" spans="1:28" ht="13.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row>
    <row r="159" spans="1:28" ht="13.8">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row>
    <row r="160" spans="1:28" ht="13.8">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row>
    <row r="161" spans="1:28" ht="13.8">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row>
    <row r="162" spans="1:28" ht="13.8">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row>
    <row r="163" spans="1:28" ht="13.8">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row>
    <row r="164" spans="1:28" ht="13.8">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row>
    <row r="165" spans="1:28" ht="13.8">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row>
    <row r="166" spans="1:28" ht="13.8">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row>
    <row r="167" spans="1:28" ht="13.8">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row>
    <row r="168" spans="1:28" ht="13.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row>
    <row r="169" spans="1:28" ht="13.8">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row>
    <row r="170" spans="1:28" ht="13.8">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row>
    <row r="171" spans="1:28" ht="13.8">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row>
    <row r="172" spans="1:28" ht="13.8">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row>
    <row r="173" spans="1:28" ht="13.8">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row>
    <row r="174" spans="1:28" ht="13.8">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row>
    <row r="175" spans="1:28" ht="13.8">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row>
    <row r="176" spans="1:28" ht="13.8">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row>
    <row r="177" spans="1:28" ht="13.8">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row>
    <row r="178" spans="1:28" ht="13.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row>
    <row r="179" spans="1:28" ht="13.8">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row>
    <row r="180" spans="1:28" ht="13.8">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row>
    <row r="181" spans="1:28" ht="13.8">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row>
    <row r="182" spans="1:28" ht="13.8">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row>
    <row r="183" spans="1:28" ht="13.8">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row>
    <row r="184" spans="1:28" ht="13.8">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row>
    <row r="185" spans="1:28" ht="13.8">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row>
    <row r="186" spans="1:28" ht="13.8">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row>
    <row r="187" spans="1:28" ht="13.8">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row>
    <row r="188" spans="1:28" ht="13.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row>
    <row r="189" spans="1:28" ht="13.8">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row>
    <row r="190" spans="1:28" ht="13.8">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row>
    <row r="191" spans="1:28" ht="13.8">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row>
    <row r="192" spans="1:28" ht="13.8">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row>
    <row r="193" spans="1:28" ht="13.8">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row>
    <row r="194" spans="1:28" ht="13.8">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row>
    <row r="195" spans="1:28" ht="13.8">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row>
    <row r="196" spans="1:28" ht="13.8">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row>
    <row r="197" spans="1:28" ht="13.8">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row>
    <row r="198" spans="1:28" ht="13.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row>
    <row r="199" spans="1:28" ht="13.8">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row>
    <row r="200" spans="1:28" ht="13.8">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row>
    <row r="201" spans="1:28" ht="13.8">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row>
    <row r="202" spans="1:28" ht="13.8">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row>
    <row r="203" spans="1:28" ht="13.8">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row>
    <row r="204" spans="1:28" ht="13.8">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row>
    <row r="205" spans="1:28" ht="13.8">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row>
    <row r="206" spans="1:28" ht="13.8">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row>
    <row r="207" spans="1:28" ht="13.8">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row>
    <row r="208" spans="1:28" ht="13.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row>
    <row r="209" spans="1:28" ht="13.8">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row>
    <row r="210" spans="1:28" ht="13.8">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row>
    <row r="211" spans="1:28" ht="13.8">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row>
    <row r="212" spans="1:28" ht="13.8">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row>
    <row r="213" spans="1:28" ht="13.8">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row>
    <row r="214" spans="1:28" ht="13.8">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row>
    <row r="215" spans="1:28" ht="13.8">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row>
    <row r="216" spans="1:28" ht="13.8">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row>
    <row r="217" spans="1:28" ht="13.8">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row>
    <row r="218" spans="1:28" ht="13.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row>
    <row r="219" spans="1:28" ht="13.8">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row>
    <row r="220" spans="1:28" ht="13.8">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row>
    <row r="221" spans="1:28" ht="13.8">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row>
    <row r="222" spans="1:28" ht="13.8">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row>
    <row r="223" spans="1:28" ht="13.8">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row>
    <row r="224" spans="1:28" ht="13.8">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row>
    <row r="225" spans="1:28" ht="13.8">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row>
    <row r="226" spans="1:28" ht="13.8">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row>
    <row r="227" spans="1:28" ht="13.8">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row>
    <row r="228" spans="1:28" ht="13.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row>
    <row r="229" spans="1:28" ht="13.8">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row>
    <row r="230" spans="1:28" ht="13.8">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row>
    <row r="231" spans="1:28" ht="13.8">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row>
    <row r="232" spans="1:28" ht="13.8">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row>
    <row r="233" spans="1:28" ht="13.8">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row>
    <row r="234" spans="1:28" ht="13.8">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row>
    <row r="235" spans="1:28" ht="13.8">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row>
    <row r="236" spans="1:28" ht="13.8">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row>
    <row r="237" spans="1:28" ht="13.8">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row>
    <row r="238" spans="1:28" ht="1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row>
    <row r="239" spans="1:28" ht="13.8">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row>
    <row r="240" spans="1:28" ht="13.8">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row>
    <row r="241" spans="1:28" ht="13.8">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row>
    <row r="242" spans="1:28" ht="13.8">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row>
    <row r="243" spans="1:28" ht="13.8">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row>
    <row r="244" spans="1:28" ht="13.8">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row>
    <row r="245" spans="1:28" ht="13.8">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row>
    <row r="246" spans="1:28" ht="13.8">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row>
    <row r="247" spans="1:28" ht="13.8">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row>
    <row r="248" spans="1:28" ht="13.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row>
    <row r="249" spans="1:28" ht="13.8">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row>
    <row r="250" spans="1:28" ht="13.8">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row>
    <row r="251" spans="1:28" ht="13.8">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row>
    <row r="252" spans="1:28" ht="13.8">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row>
    <row r="253" spans="1:28" ht="13.8">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row>
    <row r="254" spans="1:28" ht="13.8">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row>
    <row r="255" spans="1:28" ht="13.8">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row>
    <row r="256" spans="1:28" ht="13.8">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row>
    <row r="257" spans="1:28" ht="13.8">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row>
    <row r="258" spans="1:28" ht="13.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row>
    <row r="259" spans="1:28" ht="13.8">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row>
    <row r="260" spans="1:28" ht="13.8">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row>
    <row r="261" spans="1:28" ht="13.8">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row>
    <row r="262" spans="1:28" ht="13.8">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row>
    <row r="263" spans="1:28" ht="13.8">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row>
    <row r="264" spans="1:28" ht="13.8">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row>
    <row r="265" spans="1:28" ht="13.8">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row>
    <row r="266" spans="1:28" ht="13.8">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row>
    <row r="267" spans="1:28" ht="13.8">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row>
    <row r="268" spans="1:28" ht="13.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row>
    <row r="269" spans="1:28" ht="13.8">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row>
    <row r="270" spans="1:28" ht="13.8">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row>
    <row r="271" spans="1:28" ht="13.8">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row>
    <row r="272" spans="1:28" ht="13.8">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row>
    <row r="273" spans="1:28" ht="13.8">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row>
    <row r="274" spans="1:28" ht="13.8">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row>
    <row r="275" spans="1:28" ht="13.8">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row>
    <row r="276" spans="1:28" ht="13.8">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row>
    <row r="277" spans="1:28" ht="13.8">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row>
    <row r="278" spans="1:28" ht="13.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row>
    <row r="279" spans="1:28" ht="13.8">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row>
    <row r="280" spans="1:28" ht="13.8">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row>
    <row r="281" spans="1:28" ht="13.8">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row>
    <row r="282" spans="1:28" ht="13.8">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row>
    <row r="283" spans="1:28" ht="13.8">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row>
    <row r="284" spans="1:28" ht="13.8">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row>
    <row r="285" spans="1:28" ht="13.8">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row>
    <row r="286" spans="1:28" ht="13.8">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row>
    <row r="287" spans="1:28" ht="13.8">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row>
    <row r="288" spans="1:28" ht="13.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row>
    <row r="289" spans="1:28" ht="13.8">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row>
    <row r="290" spans="1:28" ht="13.8">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row>
    <row r="291" spans="1:28" ht="13.8">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row>
    <row r="292" spans="1:28" ht="13.8">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row>
    <row r="293" spans="1:28" ht="13.8">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row>
    <row r="294" spans="1:28" ht="13.8">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row>
    <row r="295" spans="1:28" ht="13.8">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row>
    <row r="296" spans="1:28" ht="13.8">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row>
    <row r="297" spans="1:28" ht="13.8">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row>
    <row r="298" spans="1:28" ht="13.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row>
    <row r="299" spans="1:28" ht="13.8">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row>
    <row r="300" spans="1:28" ht="13.8">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row>
    <row r="301" spans="1:28" ht="13.8">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row>
    <row r="302" spans="1:28" ht="13.8">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row>
    <row r="303" spans="1:28" ht="13.8">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row>
    <row r="304" spans="1:28" ht="13.8">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row>
    <row r="305" spans="1:28" ht="13.8">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row>
    <row r="306" spans="1:28" ht="13.8">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row>
    <row r="307" spans="1:28" ht="13.8">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row>
    <row r="308" spans="1:28" ht="13.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row>
    <row r="309" spans="1:28" ht="13.8">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row>
    <row r="310" spans="1:28" ht="13.8">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row>
    <row r="311" spans="1:28" ht="13.8">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row>
    <row r="312" spans="1:28" ht="13.8">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row>
    <row r="313" spans="1:28" ht="13.8">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row>
    <row r="314" spans="1:28" ht="13.8">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row>
    <row r="315" spans="1:28" ht="13.8">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row>
    <row r="316" spans="1:28" ht="13.8">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row>
    <row r="317" spans="1:28" ht="13.8">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row>
    <row r="318" spans="1:28" ht="13.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row>
    <row r="319" spans="1:28" ht="13.8">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row>
    <row r="320" spans="1:28" ht="13.8">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row>
    <row r="321" spans="1:28" ht="13.8">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row>
    <row r="322" spans="1:28" ht="13.8">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row>
    <row r="323" spans="1:28" ht="13.8">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row>
    <row r="324" spans="1:28" ht="13.8">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row>
    <row r="325" spans="1:28" ht="13.8">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row>
    <row r="326" spans="1:28" ht="13.8">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row>
    <row r="327" spans="1:28" ht="13.8">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row>
    <row r="328" spans="1:28" ht="13.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row>
    <row r="329" spans="1:28" ht="13.8">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row>
    <row r="330" spans="1:28" ht="13.8">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row>
    <row r="331" spans="1:28" ht="13.8">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row>
    <row r="332" spans="1:28" ht="13.8">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row>
    <row r="333" spans="1:28" ht="13.8">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row>
    <row r="334" spans="1:28" ht="13.8">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row>
    <row r="335" spans="1:28" ht="13.8">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row>
    <row r="336" spans="1:28" ht="13.8">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row>
    <row r="337" spans="1:28" ht="13.8">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row>
    <row r="338" spans="1:28" ht="1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row>
    <row r="339" spans="1:28" ht="13.8">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row>
    <row r="340" spans="1:28" ht="13.8">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row>
    <row r="341" spans="1:28" ht="13.8">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row>
    <row r="342" spans="1:28" ht="13.8">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row>
    <row r="343" spans="1:28" ht="13.8">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row>
    <row r="344" spans="1:28" ht="13.8">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row>
    <row r="345" spans="1:28" ht="13.8">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row>
    <row r="346" spans="1:28" ht="13.8">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row>
    <row r="347" spans="1:28" ht="13.8">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row>
    <row r="348" spans="1:28" ht="13.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row>
    <row r="349" spans="1:28" ht="13.8">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row>
    <row r="350" spans="1:28" ht="13.8">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row>
    <row r="351" spans="1:28" ht="13.8">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row>
    <row r="352" spans="1:28" ht="13.8">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row>
    <row r="353" spans="1:28" ht="13.8">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row>
    <row r="354" spans="1:28" ht="13.8">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row>
    <row r="355" spans="1:28" ht="13.8">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row>
    <row r="356" spans="1:28" ht="13.8">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row>
    <row r="357" spans="1:28" ht="13.8">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row>
    <row r="358" spans="1:28" ht="13.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row>
    <row r="359" spans="1:28" ht="13.8">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row>
    <row r="360" spans="1:28" ht="13.8">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row>
    <row r="361" spans="1:28" ht="13.8">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row>
    <row r="362" spans="1:28" ht="13.8">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row>
    <row r="363" spans="1:28" ht="13.8">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row>
    <row r="364" spans="1:28" ht="13.8">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row>
    <row r="365" spans="1:28" ht="13.8">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row>
    <row r="366" spans="1:28" ht="13.8">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row>
    <row r="367" spans="1:28" ht="13.8">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row>
    <row r="368" spans="1:28" ht="13.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row>
    <row r="369" spans="1:28" ht="13.8">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row>
    <row r="370" spans="1:28" ht="13.8">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row>
    <row r="371" spans="1:28" ht="13.8">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row>
    <row r="372" spans="1:28" ht="13.8">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row>
    <row r="373" spans="1:28" ht="13.8">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row>
    <row r="374" spans="1:28" ht="13.8">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row>
    <row r="375" spans="1:28" ht="13.8">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row>
    <row r="376" spans="1:28" ht="13.8">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row>
    <row r="377" spans="1:28" ht="13.8">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row>
    <row r="378" spans="1:28" ht="13.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row>
    <row r="379" spans="1:28" ht="13.8">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row>
    <row r="380" spans="1:28" ht="13.8">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row>
    <row r="381" spans="1:28" ht="13.8">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row>
    <row r="382" spans="1:28" ht="13.8">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row>
    <row r="383" spans="1:28" ht="13.8">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row>
    <row r="384" spans="1:28" ht="13.8">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row>
    <row r="385" spans="1:28" ht="13.8">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row>
    <row r="386" spans="1:28" ht="13.8">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row>
    <row r="387" spans="1:28" ht="13.8">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row>
    <row r="388" spans="1:28" ht="13.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row>
    <row r="389" spans="1:28" ht="13.8">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row>
    <row r="390" spans="1:28" ht="13.8">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row>
    <row r="391" spans="1:28" ht="13.8">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row>
    <row r="392" spans="1:28" ht="13.8">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row>
    <row r="393" spans="1:28" ht="13.8">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row>
    <row r="394" spans="1:28" ht="13.8">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row>
    <row r="395" spans="1:28" ht="13.8">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row>
    <row r="396" spans="1:28" ht="13.8">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row>
    <row r="397" spans="1:28" ht="13.8">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row>
    <row r="398" spans="1:28" ht="13.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row>
    <row r="399" spans="1:28" ht="13.8">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row>
    <row r="400" spans="1:28" ht="13.8">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row>
    <row r="401" spans="1:28" ht="13.8">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row>
    <row r="402" spans="1:28" ht="13.8">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row>
    <row r="403" spans="1:28" ht="13.8">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row>
    <row r="404" spans="1:28" ht="13.8">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row>
    <row r="405" spans="1:28" ht="13.8">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row>
    <row r="406" spans="1:28" ht="13.8">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row>
    <row r="407" spans="1:28" ht="13.8">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row>
    <row r="408" spans="1:28" ht="13.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row>
    <row r="409" spans="1:28" ht="13.8">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row>
    <row r="410" spans="1:28" ht="13.8">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row>
    <row r="411" spans="1:28" ht="13.8">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row>
    <row r="412" spans="1:28" ht="13.8">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row>
    <row r="413" spans="1:28" ht="13.8">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row>
    <row r="414" spans="1:28" ht="13.8">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row>
    <row r="415" spans="1:28" ht="13.8">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row>
    <row r="416" spans="1:28" ht="13.8">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row>
    <row r="417" spans="1:28" ht="13.8">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row>
    <row r="418" spans="1:28" ht="13.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row>
    <row r="419" spans="1:28" ht="13.8">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row>
    <row r="420" spans="1:28" ht="13.8">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row>
    <row r="421" spans="1:28" ht="13.8">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row>
    <row r="422" spans="1:28" ht="13.8">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row>
    <row r="423" spans="1:28" ht="13.8">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row>
    <row r="424" spans="1:28" ht="13.8">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row>
    <row r="425" spans="1:28" ht="13.8">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row>
    <row r="426" spans="1:28" ht="13.8">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row>
    <row r="427" spans="1:28" ht="13.8">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row>
    <row r="428" spans="1:28" ht="13.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row>
    <row r="429" spans="1:28" ht="13.8">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row>
    <row r="430" spans="1:28" ht="13.8">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row>
    <row r="431" spans="1:28" ht="13.8">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row>
    <row r="432" spans="1:28" ht="13.8">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row>
    <row r="433" spans="1:28" ht="13.8">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row>
    <row r="434" spans="1:28" ht="13.8">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row>
    <row r="435" spans="1:28" ht="13.8">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row>
    <row r="436" spans="1:28" ht="13.8">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row>
    <row r="437" spans="1:28" ht="13.8">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row>
    <row r="438" spans="1:28" ht="1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row>
    <row r="439" spans="1:28" ht="13.8">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row>
    <row r="440" spans="1:28" ht="13.8">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row>
    <row r="441" spans="1:28" ht="13.8">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row>
    <row r="442" spans="1:28" ht="13.8">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row>
    <row r="443" spans="1:28" ht="13.8">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row>
    <row r="444" spans="1:28" ht="13.8">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row>
    <row r="445" spans="1:28" ht="13.8">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row>
    <row r="446" spans="1:28" ht="13.8">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row>
    <row r="447" spans="1:28" ht="13.8">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row>
    <row r="448" spans="1:28" ht="13.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row>
    <row r="449" spans="1:28" ht="13.8">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row>
    <row r="450" spans="1:28" ht="13.8">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row>
    <row r="451" spans="1:28" ht="13.8">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row>
    <row r="452" spans="1:28" ht="13.8">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row>
    <row r="453" spans="1:28" ht="13.8">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row>
    <row r="454" spans="1:28" ht="13.8">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row>
    <row r="455" spans="1:28" ht="13.8">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row>
    <row r="456" spans="1:28" ht="13.8">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row>
    <row r="457" spans="1:28" ht="13.8">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row>
    <row r="458" spans="1:28" ht="13.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row>
    <row r="459" spans="1:28" ht="13.8">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row>
    <row r="460" spans="1:28" ht="13.8">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row>
    <row r="461" spans="1:28" ht="13.8">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row>
    <row r="462" spans="1:28" ht="13.8">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row>
    <row r="463" spans="1:28" ht="13.8">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row>
    <row r="464" spans="1:28" ht="13.8">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row>
    <row r="465" spans="1:28" ht="13.8">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row>
    <row r="466" spans="1:28" ht="13.8">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row>
    <row r="467" spans="1:28" ht="13.8">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row>
    <row r="468" spans="1:28" ht="13.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row>
    <row r="469" spans="1:28" ht="13.8">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row>
    <row r="470" spans="1:28" ht="13.8">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row>
    <row r="471" spans="1:28" ht="13.8">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row>
    <row r="472" spans="1:28" ht="13.8">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row>
    <row r="473" spans="1:28" ht="13.8">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row>
    <row r="474" spans="1:28" ht="13.8">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row>
    <row r="475" spans="1:28" ht="13.8">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row>
    <row r="476" spans="1:28" ht="13.8">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row>
    <row r="477" spans="1:28" ht="13.8">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row>
    <row r="478" spans="1:28" ht="13.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row>
    <row r="479" spans="1:28" ht="13.8">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row>
    <row r="480" spans="1:28" ht="13.8">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row>
    <row r="481" spans="1:28" ht="13.8">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row>
    <row r="482" spans="1:28" ht="13.8">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row>
    <row r="483" spans="1:28" ht="13.8">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row>
    <row r="484" spans="1:28" ht="13.8">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row>
    <row r="485" spans="1:28" ht="13.8">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row>
    <row r="486" spans="1:28" ht="13.8">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row>
    <row r="487" spans="1:28" ht="13.8">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row>
    <row r="488" spans="1:28" ht="13.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row>
    <row r="489" spans="1:28" ht="13.8">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row>
    <row r="490" spans="1:28" ht="13.8">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row>
    <row r="491" spans="1:28" ht="13.8">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row>
    <row r="492" spans="1:28" ht="13.8">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row>
    <row r="493" spans="1:28" ht="13.8">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row>
    <row r="494" spans="1:28" ht="13.8">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row>
    <row r="495" spans="1:28" ht="13.8">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row>
    <row r="496" spans="1:28" ht="13.8">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row>
    <row r="497" spans="1:28" ht="13.8">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row>
    <row r="498" spans="1:28" ht="13.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row>
    <row r="499" spans="1:28" ht="13.8">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row>
    <row r="500" spans="1:28" ht="13.8">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row>
    <row r="501" spans="1:28" ht="13.8">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row>
    <row r="502" spans="1:28" ht="13.8">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row>
    <row r="503" spans="1:28" ht="13.8">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row>
    <row r="504" spans="1:28" ht="13.8">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row>
    <row r="505" spans="1:28" ht="13.8">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row>
    <row r="506" spans="1:28" ht="13.8">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row>
    <row r="507" spans="1:28" ht="13.8">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row>
    <row r="508" spans="1:28" ht="13.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row>
    <row r="509" spans="1:28" ht="13.8">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row>
    <row r="510" spans="1:28" ht="13.8">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row>
    <row r="511" spans="1:28" ht="13.8">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row>
    <row r="512" spans="1:28" ht="13.8">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row>
    <row r="513" spans="1:28" ht="13.8">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row>
    <row r="514" spans="1:28" ht="13.8">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row>
    <row r="515" spans="1:28" ht="13.8">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row>
    <row r="516" spans="1:28" ht="13.8">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row>
    <row r="517" spans="1:28" ht="13.8">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row>
    <row r="518" spans="1:28" ht="13.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row>
    <row r="519" spans="1:28" ht="13.8">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row>
    <row r="520" spans="1:28" ht="13.8">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row>
    <row r="521" spans="1:28" ht="13.8">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row>
    <row r="522" spans="1:28" ht="13.8">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row>
    <row r="523" spans="1:28" ht="13.8">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row>
    <row r="524" spans="1:28" ht="13.8">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row>
    <row r="525" spans="1:28" ht="13.8">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row>
    <row r="526" spans="1:28" ht="13.8">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row>
    <row r="527" spans="1:28" ht="13.8">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row>
    <row r="528" spans="1:28" ht="13.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row>
    <row r="529" spans="1:28" ht="13.8">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row>
    <row r="530" spans="1:28" ht="13.8">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row>
    <row r="531" spans="1:28" ht="13.8">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row>
    <row r="532" spans="1:28" ht="13.8">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row>
    <row r="533" spans="1:28" ht="13.8">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row>
    <row r="534" spans="1:28" ht="13.8">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row>
    <row r="535" spans="1:28" ht="13.8">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row>
    <row r="536" spans="1:28" ht="13.8">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row>
    <row r="537" spans="1:28" ht="13.8">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row>
    <row r="538" spans="1:28" ht="1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row>
    <row r="539" spans="1:28" ht="13.8">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row>
    <row r="540" spans="1:28" ht="13.8">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row>
    <row r="541" spans="1:28" ht="13.8">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row>
    <row r="542" spans="1:28" ht="13.8">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row>
    <row r="543" spans="1:28" ht="13.8">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row>
    <row r="544" spans="1:28" ht="13.8">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row>
    <row r="545" spans="1:28" ht="13.8">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row>
    <row r="546" spans="1:28" ht="13.8">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row>
    <row r="547" spans="1:28" ht="13.8">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row>
    <row r="548" spans="1:28" ht="13.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row>
    <row r="549" spans="1:28" ht="13.8">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row>
    <row r="550" spans="1:28" ht="13.8">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row>
    <row r="551" spans="1:28" ht="13.8">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row>
    <row r="552" spans="1:28" ht="13.8">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row>
    <row r="553" spans="1:28" ht="13.8">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row>
    <row r="554" spans="1:28" ht="13.8">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row>
    <row r="555" spans="1:28" ht="13.8">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row>
    <row r="556" spans="1:28" ht="13.8">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row>
    <row r="557" spans="1:28" ht="13.8">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row>
    <row r="558" spans="1:28" ht="13.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row>
    <row r="559" spans="1:28" ht="13.8">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row>
    <row r="560" spans="1:28" ht="13.8">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row>
    <row r="561" spans="1:28" ht="13.8">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row>
    <row r="562" spans="1:28" ht="13.8">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row>
    <row r="563" spans="1:28" ht="13.8">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row>
    <row r="564" spans="1:28" ht="13.8">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row>
    <row r="565" spans="1:28" ht="13.8">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row>
    <row r="566" spans="1:28" ht="13.8">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row>
    <row r="567" spans="1:28" ht="13.8">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row>
    <row r="568" spans="1:28" ht="13.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row>
    <row r="569" spans="1:28" ht="13.8">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row>
    <row r="570" spans="1:28" ht="13.8">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row>
    <row r="571" spans="1:28" ht="13.8">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row>
    <row r="572" spans="1:28" ht="13.8">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row>
    <row r="573" spans="1:28" ht="13.8">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row>
    <row r="574" spans="1:28" ht="13.8">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row>
    <row r="575" spans="1:28" ht="13.8">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row>
    <row r="576" spans="1:28" ht="13.8">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row>
    <row r="577" spans="1:28" ht="13.8">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row>
    <row r="578" spans="1:28" ht="13.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row>
    <row r="579" spans="1:28" ht="13.8">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row>
    <row r="580" spans="1:28" ht="13.8">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row>
    <row r="581" spans="1:28" ht="13.8">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row>
    <row r="582" spans="1:28" ht="13.8">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row>
    <row r="583" spans="1:28" ht="13.8">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row>
    <row r="584" spans="1:28" ht="13.8">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row>
    <row r="585" spans="1:28" ht="13.8">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row>
    <row r="586" spans="1:28" ht="13.8">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row>
    <row r="587" spans="1:28" ht="13.8">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row>
    <row r="588" spans="1:28" ht="13.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row>
    <row r="589" spans="1:28" ht="13.8">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row>
    <row r="590" spans="1:28" ht="13.8">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row>
    <row r="591" spans="1:28" ht="13.8">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row>
    <row r="592" spans="1:28" ht="13.8">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row>
    <row r="593" spans="1:28" ht="13.8">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row>
    <row r="594" spans="1:28" ht="13.8">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row>
    <row r="595" spans="1:28" ht="13.8">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row>
    <row r="596" spans="1:28" ht="13.8">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row>
    <row r="597" spans="1:28" ht="13.8">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row>
    <row r="598" spans="1:28" ht="13.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row>
    <row r="599" spans="1:28" ht="13.8">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row>
    <row r="600" spans="1:28" ht="13.8">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row>
    <row r="601" spans="1:28" ht="13.8">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row>
    <row r="602" spans="1:28" ht="13.8">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row>
    <row r="603" spans="1:28" ht="13.8">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row>
    <row r="604" spans="1:28" ht="13.8">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row>
    <row r="605" spans="1:28" ht="13.8">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row>
    <row r="606" spans="1:28" ht="13.8">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row>
    <row r="607" spans="1:28" ht="13.8">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row>
    <row r="608" spans="1:28" ht="13.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row>
    <row r="609" spans="1:28" ht="13.8">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row>
    <row r="610" spans="1:28" ht="13.8">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row>
    <row r="611" spans="1:28" ht="13.8">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row>
    <row r="612" spans="1:28" ht="13.8">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row>
    <row r="613" spans="1:28" ht="13.8">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row>
    <row r="614" spans="1:28" ht="13.8">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row>
    <row r="615" spans="1:28" ht="13.8">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row>
    <row r="616" spans="1:28" ht="13.8">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row>
    <row r="617" spans="1:28" ht="13.8">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row>
    <row r="618" spans="1:28" ht="13.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row>
    <row r="619" spans="1:28" ht="13.8">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row>
    <row r="620" spans="1:28" ht="13.8">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row>
    <row r="621" spans="1:28" ht="13.8">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row>
    <row r="622" spans="1:28" ht="13.8">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row>
    <row r="623" spans="1:28" ht="13.8">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row>
    <row r="624" spans="1:28" ht="13.8">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row>
    <row r="625" spans="1:28" ht="13.8">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row>
    <row r="626" spans="1:28" ht="13.8">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row>
    <row r="627" spans="1:28" ht="13.8">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row>
    <row r="628" spans="1:28" ht="13.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row>
    <row r="629" spans="1:28" ht="13.8">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row>
    <row r="630" spans="1:28" ht="13.8">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row>
    <row r="631" spans="1:28" ht="13.8">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row>
    <row r="632" spans="1:28" ht="13.8">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row>
    <row r="633" spans="1:28" ht="13.8">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row>
    <row r="634" spans="1:28" ht="13.8">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row>
    <row r="635" spans="1:28" ht="13.8">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row>
    <row r="636" spans="1:28" ht="13.8">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row>
    <row r="637" spans="1:28" ht="13.8">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row>
    <row r="638" spans="1:28" ht="1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row>
    <row r="639" spans="1:28" ht="13.8">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row>
    <row r="640" spans="1:28" ht="13.8">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row>
    <row r="641" spans="1:28" ht="13.8">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row>
    <row r="642" spans="1:28" ht="13.8">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row>
    <row r="643" spans="1:28" ht="13.8">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row>
    <row r="644" spans="1:28" ht="13.8">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row>
    <row r="645" spans="1:28" ht="13.8">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row>
    <row r="646" spans="1:28" ht="13.8">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row>
    <row r="647" spans="1:28" ht="13.8">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row>
    <row r="648" spans="1:28" ht="13.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row>
    <row r="649" spans="1:28" ht="13.8">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row>
    <row r="650" spans="1:28" ht="13.8">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row>
    <row r="651" spans="1:28" ht="13.8">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row>
    <row r="652" spans="1:28" ht="13.8">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row>
    <row r="653" spans="1:28" ht="13.8">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row>
    <row r="654" spans="1:28" ht="13.8">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row>
    <row r="655" spans="1:28" ht="13.8">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row>
    <row r="656" spans="1:28" ht="13.8">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row>
    <row r="657" spans="1:28" ht="13.8">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row>
    <row r="658" spans="1:28" ht="13.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row>
    <row r="659" spans="1:28" ht="13.8">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row>
    <row r="660" spans="1:28" ht="13.8">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row>
    <row r="661" spans="1:28" ht="13.8">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row>
    <row r="662" spans="1:28" ht="13.8">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row>
    <row r="663" spans="1:28" ht="13.8">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row>
    <row r="664" spans="1:28" ht="13.8">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row>
    <row r="665" spans="1:28" ht="13.8">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row>
    <row r="666" spans="1:28" ht="13.8">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row>
    <row r="667" spans="1:28" ht="13.8">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row>
    <row r="668" spans="1:28" ht="13.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row>
    <row r="669" spans="1:28" ht="13.8">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row>
    <row r="670" spans="1:28" ht="13.8">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row>
    <row r="671" spans="1:28" ht="13.8">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row>
    <row r="672" spans="1:28" ht="13.8">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row>
    <row r="673" spans="1:28" ht="13.8">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row>
    <row r="674" spans="1:28" ht="13.8">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row>
    <row r="675" spans="1:28" ht="13.8">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row>
    <row r="676" spans="1:28" ht="13.8">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row>
    <row r="677" spans="1:28" ht="13.8">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row>
    <row r="678" spans="1:28" ht="13.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row>
    <row r="679" spans="1:28" ht="13.8">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row>
    <row r="680" spans="1:28" ht="13.8">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row>
    <row r="681" spans="1:28" ht="13.8">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row>
    <row r="682" spans="1:28" ht="13.8">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row>
    <row r="683" spans="1:28" ht="13.8">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row>
    <row r="684" spans="1:28" ht="13.8">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row>
    <row r="685" spans="1:28" ht="13.8">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row>
    <row r="686" spans="1:28" ht="13.8">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row>
    <row r="687" spans="1:28" ht="13.8">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row>
    <row r="688" spans="1:28" ht="13.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row>
    <row r="689" spans="1:28" ht="13.8">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row>
    <row r="690" spans="1:28" ht="13.8">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row>
    <row r="691" spans="1:28" ht="13.8">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row>
    <row r="692" spans="1:28" ht="13.8">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row>
    <row r="693" spans="1:28" ht="13.8">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row>
    <row r="694" spans="1:28" ht="13.8">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row>
    <row r="695" spans="1:28" ht="13.8">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row>
    <row r="696" spans="1:28" ht="13.8">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row>
    <row r="697" spans="1:28" ht="13.8">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row>
    <row r="698" spans="1:28" ht="13.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row>
    <row r="699" spans="1:28" ht="13.8">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row>
    <row r="700" spans="1:28" ht="13.8">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row>
    <row r="701" spans="1:28" ht="13.8">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row>
    <row r="702" spans="1:28" ht="13.8">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row>
    <row r="703" spans="1:28" ht="13.8">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row>
    <row r="704" spans="1:28" ht="13.8">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row>
    <row r="705" spans="1:28" ht="13.8">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row>
    <row r="706" spans="1:28" ht="13.8">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row>
    <row r="707" spans="1:28" ht="13.8">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row>
    <row r="708" spans="1:28" ht="13.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row>
    <row r="709" spans="1:28" ht="13.8">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row>
    <row r="710" spans="1:28" ht="13.8">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row>
    <row r="711" spans="1:28" ht="13.8">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row>
    <row r="712" spans="1:28" ht="13.8">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row>
    <row r="713" spans="1:28" ht="13.8">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row>
    <row r="714" spans="1:28" ht="13.8">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row>
    <row r="715" spans="1:28" ht="13.8">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row>
    <row r="716" spans="1:28" ht="13.8">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row>
    <row r="717" spans="1:28" ht="13.8">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row>
    <row r="718" spans="1:28" ht="13.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row>
    <row r="719" spans="1:28" ht="13.8">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row>
    <row r="720" spans="1:28" ht="13.8">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row>
    <row r="721" spans="1:28" ht="13.8">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row>
    <row r="722" spans="1:28" ht="13.8">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row>
    <row r="723" spans="1:28" ht="13.8">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row>
    <row r="724" spans="1:28" ht="13.8">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row>
    <row r="725" spans="1:28" ht="13.8">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row>
    <row r="726" spans="1:28" ht="13.8">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row>
    <row r="727" spans="1:28" ht="13.8">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row>
    <row r="728" spans="1:28" ht="13.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row>
    <row r="729" spans="1:28" ht="13.8">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row>
    <row r="730" spans="1:28" ht="13.8">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row>
    <row r="731" spans="1:28" ht="13.8">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row>
    <row r="732" spans="1:28" ht="13.8">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row>
    <row r="733" spans="1:28" ht="13.8">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row>
    <row r="734" spans="1:28" ht="13.8">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row>
    <row r="735" spans="1:28" ht="13.8">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row>
    <row r="736" spans="1:28" ht="13.8">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row>
    <row r="737" spans="1:28" ht="13.8">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row>
    <row r="738" spans="1:28" ht="1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row>
    <row r="739" spans="1:28" ht="13.8">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row>
    <row r="740" spans="1:28" ht="13.8">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row>
    <row r="741" spans="1:28" ht="13.8">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row>
    <row r="742" spans="1:28" ht="13.8">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row>
    <row r="743" spans="1:28" ht="13.8">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row>
    <row r="744" spans="1:28" ht="13.8">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row>
    <row r="745" spans="1:28" ht="13.8">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row>
    <row r="746" spans="1:28" ht="13.8">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row>
    <row r="747" spans="1:28" ht="13.8">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row>
    <row r="748" spans="1:28" ht="13.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row>
    <row r="749" spans="1:28" ht="13.8">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row>
    <row r="750" spans="1:28" ht="13.8">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row>
    <row r="751" spans="1:28" ht="13.8">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row>
    <row r="752" spans="1:28" ht="13.8">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row>
    <row r="753" spans="1:28" ht="13.8">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row>
    <row r="754" spans="1:28" ht="13.8">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row>
    <row r="755" spans="1:28" ht="13.8">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row>
    <row r="756" spans="1:28" ht="13.8">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row>
    <row r="757" spans="1:28" ht="13.8">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row>
    <row r="758" spans="1:28" ht="13.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row>
    <row r="759" spans="1:28" ht="13.8">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row>
    <row r="760" spans="1:28" ht="13.8">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row>
    <row r="761" spans="1:28" ht="13.8">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row>
    <row r="762" spans="1:28" ht="13.8">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row>
    <row r="763" spans="1:28" ht="13.8">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row>
    <row r="764" spans="1:28" ht="13.8">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row>
    <row r="765" spans="1:28" ht="13.8">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row>
    <row r="766" spans="1:28" ht="13.8">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row>
    <row r="767" spans="1:28" ht="13.8">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row>
    <row r="768" spans="1:28" ht="13.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row>
    <row r="769" spans="1:28" ht="13.8">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row>
    <row r="770" spans="1:28" ht="13.8">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row>
    <row r="771" spans="1:28" ht="13.8">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row>
    <row r="772" spans="1:28" ht="13.8">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row>
    <row r="773" spans="1:28" ht="13.8">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row>
    <row r="774" spans="1:28" ht="13.8">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row>
    <row r="775" spans="1:28" ht="13.8">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row>
    <row r="776" spans="1:28" ht="13.8">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row>
    <row r="777" spans="1:28" ht="13.8">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row>
    <row r="778" spans="1:28" ht="13.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row>
    <row r="779" spans="1:28" ht="13.8">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row>
    <row r="780" spans="1:28" ht="13.8">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row>
    <row r="781" spans="1:28" ht="13.8">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row>
    <row r="782" spans="1:28" ht="13.8">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row>
    <row r="783" spans="1:28" ht="13.8">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row>
    <row r="784" spans="1:28" ht="13.8">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row>
    <row r="785" spans="1:28" ht="13.8">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row>
    <row r="786" spans="1:28" ht="13.8">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row>
    <row r="787" spans="1:28" ht="13.8">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row>
    <row r="788" spans="1:28" ht="13.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row>
    <row r="789" spans="1:28" ht="13.8">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row>
    <row r="790" spans="1:28" ht="13.8">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row>
    <row r="791" spans="1:28" ht="13.8">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row>
    <row r="792" spans="1:28" ht="13.8">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row>
    <row r="793" spans="1:28" ht="13.8">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row>
    <row r="794" spans="1:28" ht="13.8">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row>
    <row r="795" spans="1:28" ht="13.8">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row>
    <row r="796" spans="1:28" ht="13.8">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row>
    <row r="797" spans="1:28" ht="13.8">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row>
    <row r="798" spans="1:28" ht="13.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row>
    <row r="799" spans="1:28" ht="13.8">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row>
    <row r="800" spans="1:28" ht="13.8">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row>
    <row r="801" spans="1:28" ht="13.8">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row>
    <row r="802" spans="1:28" ht="13.8">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row>
    <row r="803" spans="1:28" ht="13.8">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row>
    <row r="804" spans="1:28" ht="13.8">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row>
    <row r="805" spans="1:28" ht="13.8">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row>
    <row r="806" spans="1:28" ht="13.8">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row>
    <row r="807" spans="1:28" ht="13.8">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row>
    <row r="808" spans="1:28" ht="13.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row>
    <row r="809" spans="1:28" ht="13.8">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row>
    <row r="810" spans="1:28" ht="13.8">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row>
    <row r="811" spans="1:28" ht="13.8">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row>
    <row r="812" spans="1:28" ht="13.8">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row>
    <row r="813" spans="1:28" ht="13.8">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row>
    <row r="814" spans="1:28" ht="13.8">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row>
    <row r="815" spans="1:28" ht="13.8">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row>
    <row r="816" spans="1:28" ht="13.8">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row>
    <row r="817" spans="1:28" ht="13.8">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row>
    <row r="818" spans="1:28" ht="13.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row>
    <row r="819" spans="1:28" ht="13.8">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row>
    <row r="820" spans="1:28" ht="13.8">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row>
    <row r="821" spans="1:28" ht="13.8">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row>
    <row r="822" spans="1:28" ht="13.8">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row>
    <row r="823" spans="1:28" ht="13.8">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row>
    <row r="824" spans="1:28" ht="13.8">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row>
    <row r="825" spans="1:28" ht="13.8">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row>
    <row r="826" spans="1:28" ht="13.8">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row>
    <row r="827" spans="1:28" ht="13.8">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row>
    <row r="828" spans="1:28" ht="13.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row>
    <row r="829" spans="1:28" ht="13.8">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row>
    <row r="830" spans="1:28" ht="13.8">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row>
    <row r="831" spans="1:28" ht="13.8">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row>
    <row r="832" spans="1:28" ht="13.8">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row>
    <row r="833" spans="1:28" ht="13.8">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row>
    <row r="834" spans="1:28" ht="13.8">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row>
    <row r="835" spans="1:28" ht="13.8">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row>
    <row r="836" spans="1:28" ht="13.8">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row>
    <row r="837" spans="1:28" ht="13.8">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row>
    <row r="838" spans="1:28" ht="1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row>
    <row r="839" spans="1:28" ht="13.8">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row>
    <row r="840" spans="1:28" ht="13.8">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row>
    <row r="841" spans="1:28" ht="13.8">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row>
    <row r="842" spans="1:28" ht="13.8">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row>
    <row r="843" spans="1:28" ht="13.8">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row>
    <row r="844" spans="1:28" ht="13.8">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row>
    <row r="845" spans="1:28" ht="13.8">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row>
    <row r="846" spans="1:28" ht="13.8">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row>
    <row r="847" spans="1:28" ht="13.8">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row>
    <row r="848" spans="1:28" ht="13.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row>
    <row r="849" spans="1:28" ht="13.8">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row>
    <row r="850" spans="1:28" ht="13.8">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row>
    <row r="851" spans="1:28" ht="13.8">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row>
    <row r="852" spans="1:28" ht="13.8">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row>
    <row r="853" spans="1:28" ht="13.8">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row>
    <row r="854" spans="1:28" ht="13.8">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row>
    <row r="855" spans="1:28" ht="13.8">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row>
    <row r="856" spans="1:28" ht="13.8">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row>
    <row r="857" spans="1:28" ht="13.8">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row>
    <row r="858" spans="1:28" ht="13.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row>
    <row r="859" spans="1:28" ht="13.8">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row>
    <row r="860" spans="1:28" ht="13.8">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row>
    <row r="861" spans="1:28" ht="13.8">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row>
    <row r="862" spans="1:28" ht="13.8">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row>
    <row r="863" spans="1:28" ht="13.8">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row>
    <row r="864" spans="1:28" ht="13.8">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row>
    <row r="865" spans="1:28" ht="13.8">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row>
    <row r="866" spans="1:28" ht="13.8">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row>
    <row r="867" spans="1:28" ht="13.8">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row>
    <row r="868" spans="1:28" ht="13.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row>
    <row r="869" spans="1:28" ht="13.8">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row>
    <row r="870" spans="1:28" ht="13.8">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row>
    <row r="871" spans="1:28" ht="13.8">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row>
    <row r="872" spans="1:28" ht="13.8">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row>
    <row r="873" spans="1:28" ht="13.8">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row>
    <row r="874" spans="1:28" ht="13.8">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row>
    <row r="875" spans="1:28" ht="13.8">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row>
    <row r="876" spans="1:28" ht="13.8">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row>
    <row r="877" spans="1:28" ht="13.8">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row>
    <row r="878" spans="1:28" ht="13.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row>
    <row r="879" spans="1:28" ht="13.8">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row>
    <row r="880" spans="1:28" ht="13.8">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row>
    <row r="881" spans="1:28" ht="13.8">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row>
    <row r="882" spans="1:28" ht="13.8">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row>
    <row r="883" spans="1:28" ht="13.8">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row>
    <row r="884" spans="1:28" ht="13.8">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row>
    <row r="885" spans="1:28" ht="13.8">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row>
    <row r="886" spans="1:28" ht="13.8">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row>
    <row r="887" spans="1:28" ht="13.8">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row>
    <row r="888" spans="1:28" ht="13.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row>
    <row r="889" spans="1:28" ht="13.8">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row>
    <row r="890" spans="1:28" ht="13.8">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row>
    <row r="891" spans="1:28" ht="13.8">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row>
    <row r="892" spans="1:28" ht="13.8">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row>
    <row r="893" spans="1:28" ht="13.8">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row>
    <row r="894" spans="1:28" ht="13.8">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row>
    <row r="895" spans="1:28" ht="13.8">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row>
    <row r="896" spans="1:28" ht="13.8">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row>
    <row r="897" spans="1:28" ht="13.8">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row>
    <row r="898" spans="1:28" ht="13.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row>
    <row r="899" spans="1:28" ht="13.8">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row>
    <row r="900" spans="1:28" ht="13.8">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row>
    <row r="901" spans="1:28" ht="13.8">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row>
    <row r="902" spans="1:28" ht="13.8">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row>
    <row r="903" spans="1:28" ht="13.8">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row>
    <row r="904" spans="1:28" ht="13.8">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row>
    <row r="905" spans="1:28" ht="13.8">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row>
    <row r="906" spans="1:28" ht="13.8">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row>
    <row r="907" spans="1:28" ht="13.8">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row>
    <row r="908" spans="1:28" ht="13.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row>
    <row r="909" spans="1:28" ht="13.8">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row>
    <row r="910" spans="1:28" ht="13.8">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row>
    <row r="911" spans="1:28" ht="13.8">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row>
    <row r="912" spans="1:28" ht="13.8">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row>
    <row r="913" spans="1:28" ht="13.8">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row>
    <row r="914" spans="1:28" ht="13.8">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row>
    <row r="915" spans="1:28" ht="13.8">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row>
    <row r="916" spans="1:28" ht="13.8">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row>
    <row r="917" spans="1:28" ht="13.8">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row>
    <row r="918" spans="1:28" ht="13.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row>
    <row r="919" spans="1:28" ht="13.8">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row>
    <row r="920" spans="1:28" ht="13.8">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row>
    <row r="921" spans="1:28" ht="13.8">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row>
    <row r="922" spans="1:28" ht="13.8">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row>
    <row r="923" spans="1:28" ht="13.8">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row>
    <row r="924" spans="1:28" ht="13.8">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row>
    <row r="925" spans="1:28" ht="13.8">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row>
    <row r="926" spans="1:28" ht="13.8">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row>
    <row r="927" spans="1:28" ht="13.8">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row>
    <row r="928" spans="1:28" ht="13.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row>
    <row r="929" spans="1:28" ht="13.8">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row>
    <row r="930" spans="1:28" ht="13.8">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row>
    <row r="931" spans="1:28" ht="13.8">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row>
    <row r="932" spans="1:28" ht="13.8">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row>
    <row r="933" spans="1:28" ht="13.8">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row>
    <row r="934" spans="1:28" ht="13.8">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row>
    <row r="935" spans="1:28" ht="13.8">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row>
    <row r="936" spans="1:28" ht="13.8">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row>
    <row r="937" spans="1:28" ht="13.8">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row>
    <row r="938" spans="1:28" ht="1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row>
    <row r="939" spans="1:28" ht="13.8">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row>
    <row r="940" spans="1:28" ht="13.8">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row>
    <row r="941" spans="1:28" ht="13.8">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row>
    <row r="942" spans="1:28" ht="13.8">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row>
    <row r="943" spans="1:28" ht="13.8">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row>
    <row r="944" spans="1:28" ht="13.8">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row>
    <row r="945" spans="1:28" ht="13.8">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row>
    <row r="946" spans="1:28" ht="13.8">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row>
    <row r="947" spans="1:28" ht="13.8">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row>
    <row r="948" spans="1:28" ht="13.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row>
    <row r="949" spans="1:28" ht="13.8">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row>
    <row r="950" spans="1:28" ht="13.8">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row>
    <row r="951" spans="1:28" ht="13.8">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row>
    <row r="952" spans="1:28" ht="13.8">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row>
    <row r="953" spans="1:28" ht="13.8">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row>
    <row r="954" spans="1:28" ht="13.8">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row>
    <row r="955" spans="1:28" ht="13.8">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row>
    <row r="956" spans="1:28" ht="13.8">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row>
    <row r="957" spans="1:28" ht="13.8">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row>
    <row r="958" spans="1:28" ht="13.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row>
    <row r="959" spans="1:28" ht="13.8">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row>
    <row r="960" spans="1:28" ht="13.8">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row>
    <row r="961" spans="1:28" ht="13.8">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row>
    <row r="962" spans="1:28" ht="13.8">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row>
    <row r="963" spans="1:28" ht="13.8">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row>
    <row r="964" spans="1:28" ht="13.8">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row>
    <row r="965" spans="1:28" ht="13.8">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row>
    <row r="966" spans="1:28" ht="13.8">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row>
    <row r="967" spans="1:28" ht="13.8">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row>
    <row r="968" spans="1:28" ht="13.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row>
    <row r="969" spans="1:28" ht="13.8">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row>
    <row r="970" spans="1:28" ht="13.8">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row>
    <row r="971" spans="1:28" ht="13.8">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row>
    <row r="972" spans="1:28" ht="13.8">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row>
    <row r="973" spans="1:28" ht="13.8">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row>
    <row r="974" spans="1:28" ht="13.8">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row>
    <row r="975" spans="1:28" ht="13.8">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row>
    <row r="976" spans="1:28" ht="13.8">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row>
    <row r="977" spans="1:28" ht="13.8">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row>
    <row r="978" spans="1:28" ht="13.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row>
    <row r="979" spans="1:28" ht="13.8">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row>
    <row r="980" spans="1:28" ht="13.8">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row>
    <row r="981" spans="1:28" ht="13.8">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row>
    <row r="982" spans="1:28" ht="13.8">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row>
    <row r="983" spans="1:28" ht="13.8">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row>
    <row r="984" spans="1:28" ht="13.8">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row>
    <row r="985" spans="1:28" ht="13.8">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row>
    <row r="986" spans="1:28" ht="13.8">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row>
    <row r="987" spans="1:28" ht="13.8">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row>
    <row r="988" spans="1:28" ht="13.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row>
    <row r="989" spans="1:28" ht="13.8">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row>
    <row r="990" spans="1:28" ht="13.8">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row>
    <row r="991" spans="1:28" ht="13.8">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row>
    <row r="992" spans="1:28" ht="13.8">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row>
    <row r="993" spans="1:28" ht="13.8">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row>
    <row r="994" spans="1:28" ht="13.8">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row>
    <row r="995" spans="1:28" ht="13.8">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row>
    <row r="996" spans="1:28" ht="13.8">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row>
    <row r="997" spans="1:28" ht="13.8">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row>
    <row r="998" spans="1:28" ht="13.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row>
    <row r="999" spans="1:28" ht="13.8">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row>
    <row r="1000" spans="1:28" ht="13.8">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17"/>
  <sheetViews>
    <sheetView topLeftCell="A26" zoomScaleNormal="100" workbookViewId="0">
      <pane xSplit="1" topLeftCell="I1" activePane="topRight" state="frozen"/>
      <selection pane="topRight" activeCell="A57" sqref="A57"/>
    </sheetView>
  </sheetViews>
  <sheetFormatPr defaultColWidth="12.6640625" defaultRowHeight="15.75" customHeight="1"/>
  <cols>
    <col min="1" max="1" width="60" style="86" bestFit="1" customWidth="1"/>
    <col min="2" max="2" width="5.44140625" style="86" hidden="1" customWidth="1"/>
    <col min="3" max="8" width="0" style="86" hidden="1" customWidth="1"/>
    <col min="9" max="9" width="12.6640625" style="86"/>
    <col min="10" max="10" width="12.109375" style="86" bestFit="1" customWidth="1"/>
    <col min="11" max="11" width="11.88671875" style="86" customWidth="1"/>
    <col min="12" max="16384" width="12.6640625" style="86"/>
  </cols>
  <sheetData>
    <row r="1" spans="1:28" ht="15.75" customHeight="1">
      <c r="A1" s="138" t="s">
        <v>4</v>
      </c>
      <c r="B1" s="87"/>
      <c r="C1" s="87"/>
      <c r="D1" s="87"/>
      <c r="E1" s="87"/>
      <c r="F1" s="87"/>
      <c r="G1" s="87"/>
      <c r="H1" s="87"/>
      <c r="I1" s="87"/>
      <c r="J1" s="87"/>
      <c r="K1" s="87"/>
      <c r="L1" s="87"/>
      <c r="M1" s="87"/>
      <c r="N1" s="87"/>
      <c r="O1" s="87"/>
      <c r="P1" s="87"/>
      <c r="Q1" s="87"/>
      <c r="R1" s="87"/>
      <c r="S1" s="87"/>
      <c r="T1" s="87"/>
      <c r="U1" s="87"/>
      <c r="V1" s="87"/>
      <c r="W1" s="87"/>
      <c r="X1" s="87"/>
      <c r="Y1" s="87"/>
      <c r="Z1" s="87"/>
      <c r="AA1" s="87"/>
      <c r="AB1" s="87"/>
    </row>
    <row r="2" spans="1:28" ht="13.8">
      <c r="A2" s="87" t="s">
        <v>194</v>
      </c>
      <c r="B2" s="87"/>
      <c r="C2" s="87"/>
      <c r="D2" s="87"/>
      <c r="E2" s="87"/>
      <c r="F2" s="87"/>
      <c r="G2" s="87"/>
      <c r="H2" s="87"/>
      <c r="I2" s="87"/>
      <c r="J2" s="87"/>
      <c r="K2" s="87"/>
      <c r="L2" s="87"/>
      <c r="M2" s="87"/>
      <c r="N2" s="87"/>
      <c r="O2" s="87"/>
      <c r="P2" s="87"/>
      <c r="Q2" s="87"/>
      <c r="R2" s="87"/>
      <c r="S2" s="87"/>
      <c r="T2" s="87"/>
      <c r="U2" s="87"/>
      <c r="V2" s="87"/>
      <c r="W2" s="87"/>
      <c r="X2" s="87"/>
      <c r="Y2" s="87"/>
      <c r="Z2" s="87"/>
      <c r="AA2" s="87"/>
      <c r="AB2" s="87"/>
    </row>
    <row r="3" spans="1:28" ht="13.8">
      <c r="A3" s="87" t="s">
        <v>195</v>
      </c>
      <c r="B3" s="87"/>
      <c r="C3" s="87"/>
      <c r="D3" s="87"/>
      <c r="E3" s="87"/>
      <c r="F3" s="87"/>
      <c r="G3" s="87"/>
      <c r="H3" s="87"/>
      <c r="I3" s="87"/>
      <c r="J3" s="87"/>
      <c r="K3" s="87"/>
      <c r="L3" s="87"/>
      <c r="M3" s="87"/>
      <c r="N3" s="87"/>
      <c r="O3" s="87"/>
      <c r="P3" s="87"/>
      <c r="Q3" s="87"/>
      <c r="R3" s="87"/>
      <c r="S3" s="87"/>
      <c r="T3" s="87"/>
      <c r="U3" s="87"/>
      <c r="V3" s="87"/>
      <c r="W3" s="87"/>
      <c r="X3" s="87"/>
      <c r="Y3" s="87"/>
      <c r="Z3" s="87"/>
      <c r="AA3" s="87"/>
      <c r="AB3" s="87"/>
    </row>
    <row r="4" spans="1:28" ht="13.8">
      <c r="A4" s="87" t="s">
        <v>129</v>
      </c>
      <c r="B4" s="87"/>
      <c r="C4" s="87"/>
      <c r="D4" s="87"/>
      <c r="E4" s="156"/>
      <c r="F4" s="156"/>
      <c r="G4" s="156"/>
      <c r="H4" s="156"/>
      <c r="I4" s="156"/>
      <c r="J4" s="156" t="s">
        <v>130</v>
      </c>
      <c r="K4" s="156"/>
      <c r="L4" s="156"/>
      <c r="M4" s="156"/>
      <c r="N4" s="156"/>
      <c r="O4" s="156"/>
      <c r="P4" s="156"/>
      <c r="Q4" s="156"/>
      <c r="R4" s="87"/>
      <c r="S4" s="87"/>
      <c r="T4" s="87"/>
      <c r="U4" s="87"/>
      <c r="V4" s="87"/>
      <c r="W4" s="87"/>
      <c r="X4" s="87"/>
      <c r="Y4" s="87"/>
      <c r="Z4" s="87"/>
      <c r="AA4" s="87"/>
      <c r="AB4" s="87"/>
    </row>
    <row r="5" spans="1:28" ht="13.8">
      <c r="A5" s="87" t="s">
        <v>129</v>
      </c>
      <c r="B5" s="87"/>
      <c r="C5" s="157">
        <v>2016</v>
      </c>
      <c r="D5" s="157">
        <v>2017</v>
      </c>
      <c r="E5" s="102">
        <v>2018</v>
      </c>
      <c r="F5" s="102">
        <v>2019</v>
      </c>
      <c r="G5" s="102">
        <v>2020</v>
      </c>
      <c r="H5" s="102">
        <v>2021</v>
      </c>
      <c r="I5" s="102">
        <v>2022</v>
      </c>
      <c r="J5" s="102">
        <v>2023</v>
      </c>
      <c r="K5" s="102">
        <v>2024</v>
      </c>
      <c r="L5" s="102">
        <v>2025</v>
      </c>
      <c r="M5" s="102">
        <v>2026</v>
      </c>
      <c r="N5" s="102">
        <v>2027</v>
      </c>
      <c r="O5" s="102">
        <v>2028</v>
      </c>
      <c r="P5" s="102">
        <v>2029</v>
      </c>
      <c r="Q5" s="102">
        <v>2030</v>
      </c>
      <c r="R5" s="157">
        <v>2031</v>
      </c>
      <c r="S5" s="157">
        <v>2032</v>
      </c>
      <c r="T5" s="157">
        <v>2033</v>
      </c>
      <c r="U5" s="157">
        <v>2034</v>
      </c>
      <c r="V5" s="87"/>
      <c r="W5" s="87"/>
      <c r="X5" s="87"/>
      <c r="Y5" s="87"/>
      <c r="Z5" s="87"/>
      <c r="AA5" s="87"/>
      <c r="AB5" s="87"/>
    </row>
    <row r="6" spans="1:28" ht="13.8">
      <c r="A6" s="169" t="s">
        <v>196</v>
      </c>
      <c r="B6" s="143"/>
      <c r="C6" s="143"/>
      <c r="D6" s="143"/>
      <c r="E6" s="143"/>
      <c r="F6" s="143"/>
      <c r="G6" s="143"/>
      <c r="H6" s="143"/>
      <c r="I6" s="143"/>
      <c r="J6" s="143"/>
      <c r="K6" s="143"/>
      <c r="L6" s="143"/>
      <c r="M6" s="143"/>
      <c r="N6" s="143"/>
      <c r="O6" s="143"/>
      <c r="P6" s="143"/>
      <c r="Q6" s="143"/>
      <c r="R6" s="143"/>
      <c r="S6" s="143"/>
      <c r="T6" s="143"/>
      <c r="U6" s="87"/>
      <c r="V6" s="87"/>
      <c r="W6" s="87"/>
      <c r="X6" s="87"/>
      <c r="Y6" s="87"/>
      <c r="Z6" s="87"/>
      <c r="AA6" s="87"/>
      <c r="AB6" s="87"/>
    </row>
    <row r="7" spans="1:28" ht="13.8">
      <c r="A7" s="143" t="s">
        <v>197</v>
      </c>
      <c r="B7" s="143"/>
      <c r="C7" s="147">
        <v>-42758</v>
      </c>
      <c r="D7" s="147">
        <v>-63509</v>
      </c>
      <c r="E7" s="147">
        <v>-8857</v>
      </c>
      <c r="F7" s="147">
        <v>-59937</v>
      </c>
      <c r="G7" s="147">
        <v>-17507</v>
      </c>
      <c r="H7" s="147">
        <v>242385</v>
      </c>
      <c r="I7" s="148">
        <v>-498005</v>
      </c>
      <c r="J7" s="158">
        <f>'Income Statement'!J43</f>
        <v>-692382.72238493245</v>
      </c>
      <c r="K7" s="158">
        <f>'Income Statement'!K43</f>
        <v>-767873.39310244587</v>
      </c>
      <c r="L7" s="158">
        <f>'Income Statement'!L43</f>
        <v>-166872.07895292394</v>
      </c>
      <c r="M7" s="158">
        <f>'Income Statement'!M43</f>
        <v>69761.413110481517</v>
      </c>
      <c r="N7" s="158">
        <f>'Income Statement'!N43</f>
        <v>360427.50226552336</v>
      </c>
      <c r="O7" s="158">
        <f>'Income Statement'!O43</f>
        <v>699174.61211830482</v>
      </c>
      <c r="P7" s="158">
        <f>'Income Statement'!P43</f>
        <v>951638.7596216182</v>
      </c>
      <c r="Q7" s="158">
        <f>'Income Statement'!Q43</f>
        <v>1117245.4846455636</v>
      </c>
      <c r="R7" s="158">
        <f>'Income Statement'!R43</f>
        <v>1122152.4022175379</v>
      </c>
      <c r="S7" s="158">
        <f>'Income Statement'!S43</f>
        <v>1109295.8100988492</v>
      </c>
      <c r="T7" s="158">
        <f>'Income Statement'!T43</f>
        <v>1179693.9438721321</v>
      </c>
      <c r="U7" s="158">
        <f>'Income Statement'!U43</f>
        <v>1252349.019064381</v>
      </c>
      <c r="V7" s="87"/>
      <c r="W7" s="87"/>
      <c r="X7" s="87"/>
      <c r="Y7" s="87"/>
      <c r="Z7" s="87"/>
      <c r="AA7" s="87"/>
      <c r="AB7" s="87"/>
    </row>
    <row r="8" spans="1:28" ht="27.6">
      <c r="A8" s="126" t="s">
        <v>198</v>
      </c>
      <c r="B8" s="143"/>
      <c r="C8" s="148"/>
      <c r="D8" s="148"/>
      <c r="E8" s="148"/>
      <c r="F8" s="148"/>
      <c r="G8" s="148"/>
      <c r="H8" s="148"/>
      <c r="I8" s="148"/>
      <c r="J8" s="143"/>
      <c r="K8" s="143"/>
      <c r="L8" s="143"/>
      <c r="M8" s="143"/>
      <c r="N8" s="143"/>
      <c r="O8" s="143"/>
      <c r="P8" s="143"/>
      <c r="Q8" s="143"/>
      <c r="R8" s="143"/>
      <c r="S8" s="143"/>
      <c r="T8" s="143"/>
      <c r="U8" s="143"/>
      <c r="V8" s="87"/>
      <c r="W8" s="87"/>
      <c r="X8" s="87"/>
      <c r="Y8" s="87"/>
      <c r="Z8" s="87"/>
      <c r="AA8" s="87"/>
      <c r="AB8" s="87"/>
    </row>
    <row r="9" spans="1:28" ht="13.8">
      <c r="A9" s="143" t="s">
        <v>199</v>
      </c>
      <c r="B9" s="143"/>
      <c r="C9" s="147">
        <v>5302</v>
      </c>
      <c r="D9" s="147">
        <f>5336-D10</f>
        <v>5136</v>
      </c>
      <c r="E9" s="147">
        <f>8389-E10</f>
        <v>7789</v>
      </c>
      <c r="F9" s="147">
        <f>15669-F10</f>
        <v>12869</v>
      </c>
      <c r="G9" s="147">
        <f>36206-G10</f>
        <v>21706</v>
      </c>
      <c r="H9" s="147">
        <f>42621-H10</f>
        <v>25321</v>
      </c>
      <c r="I9" s="148">
        <f>48651-I10</f>
        <v>30951</v>
      </c>
      <c r="J9" s="158">
        <f>'BS Assumptions'!J23</f>
        <v>54390.25</v>
      </c>
      <c r="K9" s="158">
        <f>'BS Assumptions'!K23</f>
        <v>60306.721298476266</v>
      </c>
      <c r="L9" s="158">
        <f>'BS Assumptions'!L23</f>
        <v>74017.202995061845</v>
      </c>
      <c r="M9" s="158">
        <f>'BS Assumptions'!M23</f>
        <v>90390.347033152677</v>
      </c>
      <c r="N9" s="158">
        <f>'BS Assumptions'!N23</f>
        <v>109417.43720873879</v>
      </c>
      <c r="O9" s="158">
        <f>'BS Assumptions'!O23</f>
        <v>130867.06746582814</v>
      </c>
      <c r="P9" s="158">
        <f>'BS Assumptions'!P23</f>
        <v>154366.88803143788</v>
      </c>
      <c r="Q9" s="158">
        <f>'BS Assumptions'!Q23</f>
        <v>179329.15732410422</v>
      </c>
      <c r="R9" s="158">
        <f>'BS Assumptions'!R23</f>
        <v>206283.93207252072</v>
      </c>
      <c r="S9" s="158">
        <f>'BS Assumptions'!S23</f>
        <v>236294.94492174155</v>
      </c>
      <c r="T9" s="158">
        <f>'BS Assumptions'!T23</f>
        <v>270211.12160858139</v>
      </c>
      <c r="U9" s="158">
        <f>'BS Assumptions'!U23</f>
        <v>308647.45462236617</v>
      </c>
      <c r="V9" s="87"/>
      <c r="W9" s="87"/>
      <c r="X9" s="87"/>
      <c r="Y9" s="87"/>
      <c r="Z9" s="87"/>
      <c r="AA9" s="87"/>
      <c r="AB9" s="87"/>
    </row>
    <row r="10" spans="1:28" ht="13.8">
      <c r="A10" s="143" t="s">
        <v>200</v>
      </c>
      <c r="B10" s="143"/>
      <c r="C10" s="147">
        <v>0</v>
      </c>
      <c r="D10" s="147">
        <v>200</v>
      </c>
      <c r="E10" s="147">
        <v>600</v>
      </c>
      <c r="F10" s="147">
        <v>2800</v>
      </c>
      <c r="G10" s="147">
        <v>14500</v>
      </c>
      <c r="H10" s="147">
        <v>17300</v>
      </c>
      <c r="I10" s="148">
        <v>17700</v>
      </c>
      <c r="J10" s="158">
        <f>'CF Assumptions'!J11</f>
        <v>17066</v>
      </c>
      <c r="K10" s="158">
        <f>'CF Assumptions'!K11</f>
        <v>14275</v>
      </c>
      <c r="L10" s="158">
        <f>'CF Assumptions'!L11</f>
        <v>12571</v>
      </c>
      <c r="M10" s="158">
        <f>'CF Assumptions'!M11</f>
        <v>4074</v>
      </c>
      <c r="N10" s="158">
        <f>'CF Assumptions'!N11</f>
        <v>2737</v>
      </c>
      <c r="O10" s="158">
        <f>'CF Assumptions'!O11</f>
        <v>8158</v>
      </c>
      <c r="P10" s="158">
        <f>'CF Assumptions'!P11</f>
        <v>0</v>
      </c>
      <c r="Q10" s="158">
        <f>'CF Assumptions'!Q11</f>
        <v>0</v>
      </c>
      <c r="R10" s="158">
        <f>'CF Assumptions'!R11</f>
        <v>0</v>
      </c>
      <c r="S10" s="158">
        <f>'CF Assumptions'!S11</f>
        <v>0</v>
      </c>
      <c r="T10" s="158">
        <f>'CF Assumptions'!T11</f>
        <v>0</v>
      </c>
      <c r="U10" s="158">
        <f>'CF Assumptions'!U11</f>
        <v>0</v>
      </c>
      <c r="V10" s="87"/>
      <c r="W10" s="87"/>
      <c r="X10" s="87"/>
      <c r="Y10" s="87"/>
      <c r="Z10" s="87"/>
      <c r="AA10" s="87"/>
      <c r="AB10" s="87"/>
    </row>
    <row r="11" spans="1:28" ht="13.8">
      <c r="A11" s="143" t="s">
        <v>201</v>
      </c>
      <c r="B11" s="143"/>
      <c r="C11" s="147">
        <v>8206</v>
      </c>
      <c r="D11" s="147">
        <v>10953</v>
      </c>
      <c r="E11" s="147">
        <v>37674</v>
      </c>
      <c r="F11" s="147">
        <v>85175</v>
      </c>
      <c r="G11" s="147">
        <v>134076</v>
      </c>
      <c r="H11" s="147">
        <v>187532</v>
      </c>
      <c r="I11" s="148">
        <v>359931</v>
      </c>
      <c r="J11" s="158">
        <f>'CF Assumptions'!J8*('Income Statement'!J24+'Income Statement'!J25)</f>
        <v>230364.13671751626</v>
      </c>
      <c r="K11" s="158">
        <f>'CF Assumptions'!K8*('Income Statement'!K24+'Income Statement'!K25)</f>
        <v>271340.72932601557</v>
      </c>
      <c r="L11" s="158">
        <f>'CF Assumptions'!L8*('Income Statement'!L24+'Income Statement'!L25)</f>
        <v>258840.42847123244</v>
      </c>
      <c r="M11" s="158">
        <f>'CF Assumptions'!M8*('Income Statement'!M24+'Income Statement'!M25)</f>
        <v>294343.08426205529</v>
      </c>
      <c r="N11" s="158">
        <f>'CF Assumptions'!N8*('Income Statement'!N24+'Income Statement'!N25)</f>
        <v>329719.37129190628</v>
      </c>
      <c r="O11" s="158">
        <f>'CF Assumptions'!O8*('Income Statement'!O24+'Income Statement'!O25)</f>
        <v>361791.27722523874</v>
      </c>
      <c r="P11" s="158">
        <f>'CF Assumptions'!P8*('Income Statement'!P24+'Income Statement'!P25)</f>
        <v>386648.92687582521</v>
      </c>
      <c r="Q11" s="158">
        <f>'CF Assumptions'!Q8*('Income Statement'!Q24+'Income Statement'!Q25)</f>
        <v>407265.13442522631</v>
      </c>
      <c r="R11" s="158">
        <f>'CF Assumptions'!R8*('Income Statement'!R24+'Income Statement'!R25)</f>
        <v>426354.60665626172</v>
      </c>
      <c r="S11" s="158">
        <f>'CF Assumptions'!S8*('Income Statement'!S24+'Income Statement'!S25)</f>
        <v>446099.58650874282</v>
      </c>
      <c r="T11" s="158">
        <f>'CF Assumptions'!T8*('Income Statement'!T24+'Income Statement'!T25)</f>
        <v>467086.85640065186</v>
      </c>
      <c r="U11" s="158">
        <f>'CF Assumptions'!U8*('Income Statement'!U24+'Income Statement'!U25)</f>
        <v>489334.99352865067</v>
      </c>
      <c r="V11" s="87"/>
      <c r="W11" s="87"/>
      <c r="X11" s="87"/>
      <c r="Y11" s="87"/>
      <c r="Z11" s="87"/>
      <c r="AA11" s="87"/>
      <c r="AB11" s="87"/>
    </row>
    <row r="12" spans="1:28" ht="13.8">
      <c r="A12" s="143" t="s">
        <v>202</v>
      </c>
      <c r="B12" s="143"/>
      <c r="C12" s="147">
        <v>0</v>
      </c>
      <c r="D12" s="147">
        <v>0</v>
      </c>
      <c r="E12" s="147">
        <v>0</v>
      </c>
      <c r="F12" s="147">
        <v>22328</v>
      </c>
      <c r="G12" s="147">
        <v>28743</v>
      </c>
      <c r="H12" s="147">
        <v>31024</v>
      </c>
      <c r="I12" s="148">
        <v>55507</v>
      </c>
      <c r="J12" s="176">
        <f>'CF Assumptions'!J9</f>
        <v>0</v>
      </c>
      <c r="K12" s="176">
        <f>'CF Assumptions'!K9</f>
        <v>0</v>
      </c>
      <c r="L12" s="176">
        <f>'CF Assumptions'!L9</f>
        <v>0</v>
      </c>
      <c r="M12" s="176">
        <f>'CF Assumptions'!M9</f>
        <v>0</v>
      </c>
      <c r="N12" s="176">
        <f>'CF Assumptions'!N9</f>
        <v>0</v>
      </c>
      <c r="O12" s="176">
        <f>'CF Assumptions'!O9</f>
        <v>0</v>
      </c>
      <c r="P12" s="176">
        <f>'CF Assumptions'!P9</f>
        <v>0</v>
      </c>
      <c r="Q12" s="176">
        <f>'CF Assumptions'!Q9</f>
        <v>0</v>
      </c>
      <c r="R12" s="176">
        <f>'CF Assumptions'!R9</f>
        <v>0</v>
      </c>
      <c r="S12" s="176">
        <f>'CF Assumptions'!S9</f>
        <v>0</v>
      </c>
      <c r="T12" s="176">
        <f>'CF Assumptions'!T9</f>
        <v>0</v>
      </c>
      <c r="U12" s="176">
        <f>'CF Assumptions'!U9</f>
        <v>0</v>
      </c>
      <c r="V12" s="87"/>
      <c r="W12" s="87"/>
      <c r="X12" s="87"/>
      <c r="Y12" s="87"/>
      <c r="Z12" s="87"/>
      <c r="AA12" s="87"/>
      <c r="AB12" s="87"/>
    </row>
    <row r="13" spans="1:28" ht="13.8">
      <c r="A13" s="143" t="s">
        <v>203</v>
      </c>
      <c r="B13" s="143"/>
      <c r="C13" s="147">
        <v>0</v>
      </c>
      <c r="D13" s="147">
        <v>0</v>
      </c>
      <c r="E13" s="147">
        <v>0</v>
      </c>
      <c r="F13" s="147">
        <v>2914</v>
      </c>
      <c r="G13" s="147">
        <v>22392</v>
      </c>
      <c r="H13" s="147">
        <v>95570</v>
      </c>
      <c r="I13" s="148">
        <v>234355</v>
      </c>
      <c r="J13" s="158">
        <f>'BS Assumptions'!J49</f>
        <v>310521.80348952767</v>
      </c>
      <c r="K13" s="158">
        <f>'BS Assumptions'!K49</f>
        <v>418314.2109606216</v>
      </c>
      <c r="L13" s="158">
        <f>'BS Assumptions'!L49</f>
        <v>530666.28292730974</v>
      </c>
      <c r="M13" s="158">
        <f>'BS Assumptions'!M49</f>
        <v>643517.9624719437</v>
      </c>
      <c r="N13" s="158">
        <f>'BS Assumptions'!N49</f>
        <v>759819.85341400804</v>
      </c>
      <c r="O13" s="158">
        <f>'BS Assumptions'!O49</f>
        <v>868017.98045108537</v>
      </c>
      <c r="P13" s="158">
        <f>'BS Assumptions'!P49</f>
        <v>964978.84870327497</v>
      </c>
      <c r="Q13" s="158">
        <f>'BS Assumptions'!Q49</f>
        <v>1040068.5455082688</v>
      </c>
      <c r="R13" s="158">
        <f>'BS Assumptions'!R49</f>
        <v>1112009.1317397607</v>
      </c>
      <c r="S13" s="158">
        <f>'BS Assumptions'!S49</f>
        <v>1185123.7321516501</v>
      </c>
      <c r="T13" s="158">
        <f>'BS Assumptions'!T49</f>
        <v>1263045.617540621</v>
      </c>
      <c r="U13" s="158">
        <f>'BS Assumptions'!U49</f>
        <v>1346090.8668939169</v>
      </c>
      <c r="V13" s="87"/>
      <c r="W13" s="87"/>
      <c r="X13" s="87"/>
      <c r="Y13" s="87"/>
      <c r="Z13" s="87"/>
      <c r="AA13" s="87"/>
      <c r="AB13" s="87"/>
    </row>
    <row r="14" spans="1:28" ht="13.8">
      <c r="A14" s="143" t="s">
        <v>204</v>
      </c>
      <c r="B14" s="143"/>
      <c r="C14" s="147">
        <v>0</v>
      </c>
      <c r="D14" s="147">
        <v>0</v>
      </c>
      <c r="E14" s="147">
        <v>0</v>
      </c>
      <c r="F14" s="147">
        <v>0</v>
      </c>
      <c r="G14" s="147">
        <v>0</v>
      </c>
      <c r="H14" s="147">
        <v>0</v>
      </c>
      <c r="I14" s="148">
        <v>-8230</v>
      </c>
      <c r="J14" s="176">
        <f>'CF Assumptions'!J12</f>
        <v>0</v>
      </c>
      <c r="K14" s="176">
        <f>'CF Assumptions'!K12</f>
        <v>0</v>
      </c>
      <c r="L14" s="176">
        <f>'CF Assumptions'!L12</f>
        <v>0</v>
      </c>
      <c r="M14" s="176">
        <f>'CF Assumptions'!M12</f>
        <v>0</v>
      </c>
      <c r="N14" s="176">
        <f>'CF Assumptions'!N12</f>
        <v>0</v>
      </c>
      <c r="O14" s="176">
        <f>'CF Assumptions'!O12</f>
        <v>0</v>
      </c>
      <c r="P14" s="176">
        <f>'CF Assumptions'!P12</f>
        <v>0</v>
      </c>
      <c r="Q14" s="176">
        <f>'CF Assumptions'!Q12</f>
        <v>0</v>
      </c>
      <c r="R14" s="176">
        <f>'CF Assumptions'!R12</f>
        <v>0</v>
      </c>
      <c r="S14" s="176">
        <f>'CF Assumptions'!S12</f>
        <v>0</v>
      </c>
      <c r="T14" s="176">
        <f>'CF Assumptions'!T12</f>
        <v>0</v>
      </c>
      <c r="U14" s="176">
        <f>'CF Assumptions'!U12</f>
        <v>0</v>
      </c>
      <c r="V14" s="87"/>
      <c r="W14" s="87"/>
      <c r="X14" s="87"/>
      <c r="Y14" s="87"/>
      <c r="Z14" s="87"/>
      <c r="AA14" s="87"/>
      <c r="AB14" s="87"/>
    </row>
    <row r="15" spans="1:28" ht="13.8">
      <c r="A15" s="143" t="s">
        <v>205</v>
      </c>
      <c r="B15" s="143"/>
      <c r="C15" s="147">
        <v>0</v>
      </c>
      <c r="D15" s="147">
        <v>0</v>
      </c>
      <c r="E15" s="147">
        <v>0</v>
      </c>
      <c r="F15" s="147">
        <v>0</v>
      </c>
      <c r="G15" s="147">
        <v>0</v>
      </c>
      <c r="H15" s="147">
        <v>0</v>
      </c>
      <c r="I15" s="148">
        <v>532</v>
      </c>
      <c r="J15" s="176">
        <f>'CF Assumptions'!J13</f>
        <v>0</v>
      </c>
      <c r="K15" s="176">
        <f>'CF Assumptions'!K13</f>
        <v>0</v>
      </c>
      <c r="L15" s="176">
        <f>'CF Assumptions'!L13</f>
        <v>0</v>
      </c>
      <c r="M15" s="176">
        <f>'CF Assumptions'!M13</f>
        <v>0</v>
      </c>
      <c r="N15" s="176">
        <f>'CF Assumptions'!N13</f>
        <v>0</v>
      </c>
      <c r="O15" s="176">
        <f>'CF Assumptions'!O13</f>
        <v>0</v>
      </c>
      <c r="P15" s="176">
        <f>'CF Assumptions'!P13</f>
        <v>0</v>
      </c>
      <c r="Q15" s="176">
        <f>'CF Assumptions'!Q13</f>
        <v>0</v>
      </c>
      <c r="R15" s="176">
        <f>'CF Assumptions'!R13</f>
        <v>0</v>
      </c>
      <c r="S15" s="176">
        <f>'CF Assumptions'!S13</f>
        <v>0</v>
      </c>
      <c r="T15" s="176">
        <f>'CF Assumptions'!T13</f>
        <v>0</v>
      </c>
      <c r="U15" s="176">
        <f>'CF Assumptions'!U13</f>
        <v>0</v>
      </c>
      <c r="V15" s="87"/>
      <c r="W15" s="87"/>
      <c r="X15" s="87"/>
      <c r="Y15" s="87"/>
      <c r="Z15" s="87"/>
      <c r="AA15" s="87"/>
      <c r="AB15" s="87"/>
    </row>
    <row r="16" spans="1:28" ht="13.8">
      <c r="A16" s="143" t="s">
        <v>206</v>
      </c>
      <c r="B16" s="143"/>
      <c r="C16" s="147">
        <v>0</v>
      </c>
      <c r="D16" s="147">
        <v>0</v>
      </c>
      <c r="E16" s="147">
        <v>0</v>
      </c>
      <c r="F16" s="147">
        <v>0</v>
      </c>
      <c r="G16" s="147">
        <v>0</v>
      </c>
      <c r="H16" s="147">
        <v>0</v>
      </c>
      <c r="I16" s="148">
        <v>7500</v>
      </c>
      <c r="J16" s="176">
        <f>'CF Assumptions'!J14</f>
        <v>0</v>
      </c>
      <c r="K16" s="176">
        <f>'CF Assumptions'!K14</f>
        <v>0</v>
      </c>
      <c r="L16" s="176">
        <f>'CF Assumptions'!L14</f>
        <v>0</v>
      </c>
      <c r="M16" s="176">
        <f>'CF Assumptions'!M14</f>
        <v>0</v>
      </c>
      <c r="N16" s="176">
        <f>'CF Assumptions'!N14</f>
        <v>0</v>
      </c>
      <c r="O16" s="176">
        <f>'CF Assumptions'!O14</f>
        <v>0</v>
      </c>
      <c r="P16" s="176">
        <f>'CF Assumptions'!P14</f>
        <v>0</v>
      </c>
      <c r="Q16" s="176">
        <f>'CF Assumptions'!Q14</f>
        <v>0</v>
      </c>
      <c r="R16" s="176">
        <f>'CF Assumptions'!R14</f>
        <v>0</v>
      </c>
      <c r="S16" s="176">
        <f>'CF Assumptions'!S14</f>
        <v>0</v>
      </c>
      <c r="T16" s="176">
        <f>'CF Assumptions'!T14</f>
        <v>0</v>
      </c>
      <c r="U16" s="176">
        <f>'CF Assumptions'!U14</f>
        <v>0</v>
      </c>
      <c r="V16" s="87"/>
      <c r="W16" s="87"/>
      <c r="X16" s="87"/>
      <c r="Y16" s="87"/>
      <c r="Z16" s="87"/>
      <c r="AA16" s="87"/>
      <c r="AB16" s="87"/>
    </row>
    <row r="17" spans="1:28" ht="13.8">
      <c r="A17" s="143" t="s">
        <v>207</v>
      </c>
      <c r="B17" s="143"/>
      <c r="C17" s="147">
        <v>336</v>
      </c>
      <c r="D17" s="147">
        <v>104</v>
      </c>
      <c r="E17" s="147">
        <v>876</v>
      </c>
      <c r="F17" s="147">
        <v>704</v>
      </c>
      <c r="G17" s="147">
        <v>3801</v>
      </c>
      <c r="H17" s="147">
        <v>-904</v>
      </c>
      <c r="I17" s="148">
        <v>2081</v>
      </c>
      <c r="J17" s="176">
        <f>'CF Assumptions'!J15</f>
        <v>0</v>
      </c>
      <c r="K17" s="176">
        <f>'CF Assumptions'!K15</f>
        <v>0</v>
      </c>
      <c r="L17" s="176">
        <f>'CF Assumptions'!L15</f>
        <v>0</v>
      </c>
      <c r="M17" s="176">
        <f>'CF Assumptions'!M15</f>
        <v>0</v>
      </c>
      <c r="N17" s="176">
        <f>'CF Assumptions'!N15</f>
        <v>0</v>
      </c>
      <c r="O17" s="176">
        <f>'CF Assumptions'!O15</f>
        <v>0</v>
      </c>
      <c r="P17" s="176">
        <f>'CF Assumptions'!P15</f>
        <v>0</v>
      </c>
      <c r="Q17" s="176">
        <f>'CF Assumptions'!Q15</f>
        <v>0</v>
      </c>
      <c r="R17" s="176">
        <f>'CF Assumptions'!R15</f>
        <v>0</v>
      </c>
      <c r="S17" s="176">
        <f>'CF Assumptions'!S15</f>
        <v>0</v>
      </c>
      <c r="T17" s="176">
        <f>'CF Assumptions'!T15</f>
        <v>0</v>
      </c>
      <c r="U17" s="176">
        <f>'CF Assumptions'!U15</f>
        <v>0</v>
      </c>
      <c r="V17" s="87"/>
      <c r="W17" s="87"/>
      <c r="X17" s="87"/>
      <c r="Y17" s="87"/>
      <c r="Z17" s="87"/>
      <c r="AA17" s="87"/>
      <c r="AB17" s="87"/>
    </row>
    <row r="18" spans="1:28" ht="13.8">
      <c r="A18" s="143" t="s">
        <v>208</v>
      </c>
      <c r="B18" s="143"/>
      <c r="C18" s="147">
        <v>-888</v>
      </c>
      <c r="D18" s="147">
        <v>40333</v>
      </c>
      <c r="E18" s="147">
        <v>0</v>
      </c>
      <c r="F18" s="147">
        <v>0</v>
      </c>
      <c r="G18" s="147">
        <v>0</v>
      </c>
      <c r="H18" s="147">
        <v>0</v>
      </c>
      <c r="I18" s="148">
        <v>0</v>
      </c>
      <c r="J18" s="176">
        <f>'CF Assumptions'!J16</f>
        <v>0</v>
      </c>
      <c r="K18" s="176">
        <f>'CF Assumptions'!K16</f>
        <v>0</v>
      </c>
      <c r="L18" s="176">
        <f>'CF Assumptions'!L16</f>
        <v>0</v>
      </c>
      <c r="M18" s="176">
        <f>'CF Assumptions'!M16</f>
        <v>0</v>
      </c>
      <c r="N18" s="176">
        <f>'CF Assumptions'!N16</f>
        <v>0</v>
      </c>
      <c r="O18" s="176">
        <f>'CF Assumptions'!O16</f>
        <v>0</v>
      </c>
      <c r="P18" s="176">
        <f>'CF Assumptions'!P16</f>
        <v>0</v>
      </c>
      <c r="Q18" s="176">
        <f>'CF Assumptions'!Q16</f>
        <v>0</v>
      </c>
      <c r="R18" s="176">
        <f>'CF Assumptions'!R16</f>
        <v>0</v>
      </c>
      <c r="S18" s="176">
        <f>'CF Assumptions'!S16</f>
        <v>0</v>
      </c>
      <c r="T18" s="176">
        <f>'CF Assumptions'!T16</f>
        <v>0</v>
      </c>
      <c r="U18" s="176">
        <f>'CF Assumptions'!U16</f>
        <v>0</v>
      </c>
      <c r="V18" s="87"/>
      <c r="W18" s="87"/>
      <c r="X18" s="87"/>
      <c r="Y18" s="87"/>
      <c r="Z18" s="87"/>
      <c r="AA18" s="87"/>
      <c r="AB18" s="87"/>
    </row>
    <row r="19" spans="1:28" ht="13.8">
      <c r="A19" s="143" t="s">
        <v>209</v>
      </c>
      <c r="B19" s="143"/>
      <c r="C19" s="147">
        <f>115+3804+29+594+320</f>
        <v>4862</v>
      </c>
      <c r="D19" s="147">
        <f>784+525+54+2338</f>
        <v>3701</v>
      </c>
      <c r="E19" s="147">
        <v>1465</v>
      </c>
      <c r="F19" s="147">
        <v>1101</v>
      </c>
      <c r="G19" s="147">
        <v>524</v>
      </c>
      <c r="H19" s="147">
        <v>-101</v>
      </c>
      <c r="I19" s="148">
        <v>-190</v>
      </c>
      <c r="J19" s="176">
        <f>'CF Assumptions'!J17</f>
        <v>0</v>
      </c>
      <c r="K19" s="176">
        <f>'CF Assumptions'!K17</f>
        <v>0</v>
      </c>
      <c r="L19" s="176">
        <f>'CF Assumptions'!L17</f>
        <v>0</v>
      </c>
      <c r="M19" s="176">
        <f>'CF Assumptions'!M17</f>
        <v>0</v>
      </c>
      <c r="N19" s="176">
        <f>'CF Assumptions'!N17</f>
        <v>0</v>
      </c>
      <c r="O19" s="176">
        <f>'CF Assumptions'!O17</f>
        <v>0</v>
      </c>
      <c r="P19" s="176">
        <f>'CF Assumptions'!P17</f>
        <v>0</v>
      </c>
      <c r="Q19" s="176">
        <f>'CF Assumptions'!Q17</f>
        <v>0</v>
      </c>
      <c r="R19" s="176">
        <f>'CF Assumptions'!R17</f>
        <v>0</v>
      </c>
      <c r="S19" s="176">
        <f>'CF Assumptions'!S17</f>
        <v>0</v>
      </c>
      <c r="T19" s="176">
        <f>'CF Assumptions'!T17</f>
        <v>0</v>
      </c>
      <c r="U19" s="176">
        <f>'CF Assumptions'!U17</f>
        <v>0</v>
      </c>
      <c r="V19" s="87"/>
      <c r="W19" s="87"/>
      <c r="X19" s="87"/>
      <c r="Y19" s="87"/>
      <c r="Z19" s="87"/>
      <c r="AA19" s="87"/>
      <c r="AB19" s="87"/>
    </row>
    <row r="20" spans="1:28" ht="13.8">
      <c r="A20" s="143"/>
      <c r="B20" s="143"/>
      <c r="C20" s="148"/>
      <c r="D20" s="148"/>
      <c r="E20" s="148"/>
      <c r="F20" s="148"/>
      <c r="G20" s="148"/>
      <c r="H20" s="148"/>
      <c r="I20" s="148"/>
      <c r="J20" s="143"/>
      <c r="K20" s="143"/>
      <c r="L20" s="143"/>
      <c r="M20" s="143"/>
      <c r="N20" s="143"/>
      <c r="O20" s="143"/>
      <c r="P20" s="143"/>
      <c r="Q20" s="143"/>
      <c r="R20" s="143"/>
      <c r="S20" s="143"/>
      <c r="T20" s="143"/>
      <c r="U20" s="143"/>
      <c r="V20" s="87"/>
      <c r="W20" s="87"/>
      <c r="X20" s="87"/>
      <c r="Y20" s="87"/>
      <c r="Z20" s="87"/>
      <c r="AA20" s="87"/>
      <c r="AB20" s="87"/>
    </row>
    <row r="21" spans="1:28" ht="13.8">
      <c r="A21" s="143" t="s">
        <v>210</v>
      </c>
      <c r="B21" s="143"/>
      <c r="C21" s="148"/>
      <c r="D21" s="148"/>
      <c r="E21" s="148"/>
      <c r="F21" s="148"/>
      <c r="G21" s="148"/>
      <c r="H21" s="148"/>
      <c r="I21" s="148"/>
      <c r="J21" s="143"/>
      <c r="K21" s="143"/>
      <c r="L21" s="143"/>
      <c r="M21" s="143"/>
      <c r="N21" s="143"/>
      <c r="O21" s="143"/>
      <c r="P21" s="143"/>
      <c r="Q21" s="143"/>
      <c r="R21" s="143"/>
      <c r="S21" s="143"/>
      <c r="T21" s="143"/>
      <c r="U21" s="143"/>
      <c r="V21" s="87"/>
      <c r="W21" s="87"/>
      <c r="X21" s="87"/>
      <c r="Y21" s="87"/>
      <c r="Z21" s="87"/>
      <c r="AA21" s="87"/>
      <c r="AB21" s="87"/>
    </row>
    <row r="22" spans="1:28" ht="13.8">
      <c r="A22" s="143" t="s">
        <v>211</v>
      </c>
      <c r="B22" s="143"/>
      <c r="C22" s="147">
        <v>-26354</v>
      </c>
      <c r="D22" s="147">
        <v>-41184</v>
      </c>
      <c r="E22" s="147">
        <v>-50673</v>
      </c>
      <c r="F22" s="147">
        <v>-110225</v>
      </c>
      <c r="G22" s="147">
        <v>-196046</v>
      </c>
      <c r="H22" s="147">
        <v>-221768</v>
      </c>
      <c r="I22" s="148">
        <v>-10887</v>
      </c>
      <c r="J22" s="158">
        <f>'Balance Sheet'!I10-'Balance Sheet'!J10</f>
        <v>-174101.1239313588</v>
      </c>
      <c r="K22" s="158">
        <f>'Balance Sheet'!J10-'Balance Sheet'!K10</f>
        <v>-138639.79202546296</v>
      </c>
      <c r="L22" s="158">
        <f>'Balance Sheet'!K10-'Balance Sheet'!L10</f>
        <v>-162069.91387166013</v>
      </c>
      <c r="M22" s="158">
        <f>'Balance Sheet'!L10-'Balance Sheet'!M10</f>
        <v>-175891.8004038448</v>
      </c>
      <c r="N22" s="158">
        <f>'Balance Sheet'!M10-'Balance Sheet'!N10</f>
        <v>-176896.71691544726</v>
      </c>
      <c r="O22" s="158">
        <f>'Balance Sheet'!N10-'Balance Sheet'!O10</f>
        <v>-162535.19601675915</v>
      </c>
      <c r="P22" s="158">
        <f>'Balance Sheet'!O10-'Balance Sheet'!P10</f>
        <v>-128964.3477703915</v>
      </c>
      <c r="Q22" s="158">
        <f>'Balance Sheet'!P10-'Balance Sheet'!Q10</f>
        <v>-103296.73376628989</v>
      </c>
      <c r="R22" s="158">
        <f>'Balance Sheet'!Q10-'Balance Sheet'!R10</f>
        <v>-96170.550347785</v>
      </c>
      <c r="S22" s="158">
        <f>'Balance Sheet'!R10-'Balance Sheet'!S10</f>
        <v>-99670.663468985353</v>
      </c>
      <c r="T22" s="158">
        <f>'Balance Sheet'!S10-'Balance Sheet'!T10</f>
        <v>-106057.74502400542</v>
      </c>
      <c r="U22" s="158">
        <f>'Balance Sheet'!T10-'Balance Sheet'!U10</f>
        <v>-112565.6512513794</v>
      </c>
      <c r="V22" s="87"/>
      <c r="W22" s="87"/>
      <c r="X22" s="87"/>
      <c r="Y22" s="87"/>
      <c r="Z22" s="87"/>
      <c r="AA22" s="87"/>
      <c r="AB22" s="87"/>
    </row>
    <row r="23" spans="1:28" ht="13.8">
      <c r="A23" s="143" t="s">
        <v>212</v>
      </c>
      <c r="B23" s="143"/>
      <c r="C23" s="147">
        <v>-13256</v>
      </c>
      <c r="D23" s="147">
        <v>10828</v>
      </c>
      <c r="E23" s="147">
        <v>-2953</v>
      </c>
      <c r="F23" s="147">
        <v>-14129</v>
      </c>
      <c r="G23" s="147">
        <v>-4181</v>
      </c>
      <c r="H23" s="147">
        <v>3619</v>
      </c>
      <c r="I23" s="148">
        <v>-56471</v>
      </c>
      <c r="J23" s="158">
        <f>'Balance Sheet'!I11-'Balance Sheet'!J11</f>
        <v>-39186.511728216807</v>
      </c>
      <c r="K23" s="158">
        <f>'Balance Sheet'!J11-'Balance Sheet'!K11</f>
        <v>-9815.6379708939639</v>
      </c>
      <c r="L23" s="158">
        <f>'Balance Sheet'!K11-'Balance Sheet'!L11</f>
        <v>-12868.43407596348</v>
      </c>
      <c r="M23" s="158">
        <f>'Balance Sheet'!L11-'Balance Sheet'!M11</f>
        <v>-12447.766495420365</v>
      </c>
      <c r="N23" s="158">
        <f>'Balance Sheet'!M11-'Balance Sheet'!N11</f>
        <v>-10484.16077163507</v>
      </c>
      <c r="O23" s="158">
        <f>'Balance Sheet'!N11-'Balance Sheet'!O11</f>
        <v>-6780.6189998793125</v>
      </c>
      <c r="P23" s="158">
        <f>'Balance Sheet'!O11-'Balance Sheet'!P11</f>
        <v>-6822.3985810116283</v>
      </c>
      <c r="Q23" s="158">
        <f>'Balance Sheet'!P11-'Balance Sheet'!Q11</f>
        <v>-3605.0701672828</v>
      </c>
      <c r="R23" s="158">
        <f>'Balance Sheet'!Q11-'Balance Sheet'!R11</f>
        <v>-117.03190481345518</v>
      </c>
      <c r="S23" s="158">
        <f>'Balance Sheet'!R11-'Balance Sheet'!S11</f>
        <v>-8668.5188694031676</v>
      </c>
      <c r="T23" s="158">
        <f>'Balance Sheet'!S11-'Balance Sheet'!T11</f>
        <v>-9464.8127074952936</v>
      </c>
      <c r="U23" s="158">
        <f>'Balance Sheet'!T11-'Balance Sheet'!U11</f>
        <v>-10243.888059572113</v>
      </c>
      <c r="V23" s="87"/>
      <c r="W23" s="87"/>
      <c r="X23" s="87"/>
      <c r="Y23" s="87"/>
      <c r="Z23" s="87"/>
      <c r="AA23" s="87"/>
      <c r="AB23" s="87"/>
    </row>
    <row r="24" spans="1:28" ht="13.8">
      <c r="A24" s="143" t="s">
        <v>213</v>
      </c>
      <c r="B24" s="143"/>
      <c r="C24" s="147">
        <f>-544-2885</f>
        <v>-3429</v>
      </c>
      <c r="D24" s="147">
        <f>-6514-1959</f>
        <v>-8473</v>
      </c>
      <c r="E24" s="147">
        <f>-306+2261</f>
        <v>1955</v>
      </c>
      <c r="F24" s="147">
        <v>-9934</v>
      </c>
      <c r="G24" s="147">
        <v>-3450</v>
      </c>
      <c r="H24" s="147">
        <v>-48074</v>
      </c>
      <c r="I24" s="148">
        <v>-15941</v>
      </c>
      <c r="J24" s="158">
        <f>'Balance Sheet'!I12-'Balance Sheet'!J12</f>
        <v>-23034.512465346153</v>
      </c>
      <c r="K24" s="158">
        <f>'Balance Sheet'!J12-'Balance Sheet'!K12</f>
        <v>-17633.940502592406</v>
      </c>
      <c r="L24" s="158">
        <f>'Balance Sheet'!K12-'Balance Sheet'!L12</f>
        <v>-20614.076065176429</v>
      </c>
      <c r="M24" s="158">
        <f>'Balance Sheet'!L12-'Balance Sheet'!M12</f>
        <v>-22372.116243838536</v>
      </c>
      <c r="N24" s="158">
        <f>'Balance Sheet'!M12-'Balance Sheet'!N12</f>
        <v>-22499.934078219172</v>
      </c>
      <c r="O24" s="158">
        <f>'Balance Sheet'!N12-'Balance Sheet'!O12</f>
        <v>-20673.256460239965</v>
      </c>
      <c r="P24" s="158">
        <f>'Balance Sheet'!O12-'Balance Sheet'!P12</f>
        <v>-16403.296646038245</v>
      </c>
      <c r="Q24" s="158">
        <f>'Balance Sheet'!P12-'Balance Sheet'!Q12</f>
        <v>-13138.56888224656</v>
      </c>
      <c r="R24" s="158">
        <f>'Balance Sheet'!Q12-'Balance Sheet'!R12</f>
        <v>-12232.171861762094</v>
      </c>
      <c r="S24" s="158">
        <f>'Balance Sheet'!R12-'Balance Sheet'!S12</f>
        <v>-12677.359968508827</v>
      </c>
      <c r="T24" s="158">
        <f>'Balance Sheet'!S12-'Balance Sheet'!T12</f>
        <v>-13489.748781857197</v>
      </c>
      <c r="U24" s="158">
        <f>'Balance Sheet'!T12-'Balance Sheet'!U12</f>
        <v>-14317.5055862593</v>
      </c>
      <c r="V24" s="87"/>
      <c r="W24" s="87"/>
      <c r="X24" s="87"/>
      <c r="Y24" s="87"/>
      <c r="Z24" s="87"/>
      <c r="AA24" s="87"/>
      <c r="AB24" s="87"/>
    </row>
    <row r="25" spans="1:28" ht="13.8">
      <c r="A25" s="143" t="s">
        <v>214</v>
      </c>
      <c r="B25" s="143"/>
      <c r="C25" s="147">
        <v>0</v>
      </c>
      <c r="D25" s="147">
        <v>0</v>
      </c>
      <c r="E25" s="147">
        <v>0</v>
      </c>
      <c r="F25" s="147">
        <v>0</v>
      </c>
      <c r="G25" s="147">
        <v>-22721</v>
      </c>
      <c r="H25" s="147">
        <v>-193440</v>
      </c>
      <c r="I25" s="148">
        <v>-313204</v>
      </c>
      <c r="J25" s="158">
        <f>-'BS Assumptions'!J50</f>
        <v>-432221.51999999996</v>
      </c>
      <c r="K25" s="158">
        <f>-'BS Assumptions'!K50</f>
        <v>-561671.86523999984</v>
      </c>
      <c r="L25" s="158">
        <f>-'BS Assumptions'!L50</f>
        <v>-685801.34745803988</v>
      </c>
      <c r="M25" s="158">
        <f>-'BS Assumptions'!M50</f>
        <v>-822275.81560218986</v>
      </c>
      <c r="N25" s="158">
        <f>-'BS Assumptions'!N50</f>
        <v>-945822.75689641887</v>
      </c>
      <c r="O25" s="158">
        <f>-'BS Assumptions'!O50</f>
        <v>-1067597.4368468327</v>
      </c>
      <c r="P25" s="158">
        <f>-'BS Assumptions'!P50</f>
        <v>-1154606.6279498497</v>
      </c>
      <c r="Q25" s="158">
        <f>-'BS Assumptions'!Q50</f>
        <v>-1236583.6985342891</v>
      </c>
      <c r="R25" s="158">
        <f>-'BS Assumptions'!R50</f>
        <v>-1317889.0767129187</v>
      </c>
      <c r="S25" s="158">
        <f>-'BS Assumptions'!S50</f>
        <v>-1404540.283506793</v>
      </c>
      <c r="T25" s="158">
        <f>-'BS Assumptions'!T50</f>
        <v>-1496888.8071473648</v>
      </c>
      <c r="U25" s="158">
        <f>-'BS Assumptions'!U50</f>
        <v>-1595309.2462173039</v>
      </c>
      <c r="V25" s="87"/>
      <c r="W25" s="87"/>
      <c r="X25" s="87"/>
      <c r="Y25" s="87"/>
      <c r="Z25" s="87"/>
      <c r="AA25" s="87"/>
      <c r="AB25" s="87"/>
    </row>
    <row r="26" spans="1:28" ht="13.8">
      <c r="A26" s="143" t="s">
        <v>215</v>
      </c>
      <c r="B26" s="143"/>
      <c r="C26" s="147">
        <f>448</f>
        <v>448</v>
      </c>
      <c r="D26" s="147">
        <f>-2794</f>
        <v>-2794</v>
      </c>
      <c r="E26" s="147">
        <v>-732</v>
      </c>
      <c r="F26" s="147">
        <v>-3060</v>
      </c>
      <c r="G26" s="147">
        <v>-1128</v>
      </c>
      <c r="H26" s="147">
        <v>-19335</v>
      </c>
      <c r="I26" s="148">
        <v>-7304</v>
      </c>
      <c r="J26" s="158">
        <f>'Balance Sheet'!I19-'Balance Sheet'!J19</f>
        <v>-19112.146373564203</v>
      </c>
      <c r="K26" s="158">
        <f>'Balance Sheet'!J19-'Balance Sheet'!K19</f>
        <v>7887.6283453278593</v>
      </c>
      <c r="L26" s="158">
        <f>'Balance Sheet'!K19-'Balance Sheet'!L19</f>
        <v>12180.302479248407</v>
      </c>
      <c r="M26" s="158">
        <f>'Balance Sheet'!L19-'Balance Sheet'!M19</f>
        <v>18329.226340488029</v>
      </c>
      <c r="N26" s="158">
        <f>'Balance Sheet'!M19-'Balance Sheet'!N19</f>
        <v>25603.897918219365</v>
      </c>
      <c r="O26" s="158">
        <f>'Balance Sheet'!N19-'Balance Sheet'!O19</f>
        <v>-3370.7583264839268</v>
      </c>
      <c r="P26" s="158">
        <f>'Balance Sheet'!O19-'Balance Sheet'!P19</f>
        <v>-2674.5447122836849</v>
      </c>
      <c r="Q26" s="158">
        <f>'Balance Sheet'!P19-'Balance Sheet'!Q19</f>
        <v>-2142.2333991304404</v>
      </c>
      <c r="R26" s="158">
        <f>'Balance Sheet'!Q19-'Balance Sheet'!R19</f>
        <v>-1994.4460725534955</v>
      </c>
      <c r="S26" s="158">
        <f>'Balance Sheet'!R19-'Balance Sheet'!S19</f>
        <v>-2067.0336458056627</v>
      </c>
      <c r="T26" s="158">
        <f>'Balance Sheet'!S19-'Balance Sheet'!T19</f>
        <v>-2199.493007600111</v>
      </c>
      <c r="U26" s="158">
        <f>'Balance Sheet'!T19-'Balance Sheet'!U19</f>
        <v>-2334.4581083382654</v>
      </c>
      <c r="V26" s="87"/>
      <c r="W26" s="87"/>
      <c r="X26" s="87"/>
      <c r="Y26" s="87"/>
      <c r="Z26" s="87"/>
      <c r="AA26" s="87"/>
      <c r="AB26" s="87"/>
    </row>
    <row r="27" spans="1:28" ht="13.8">
      <c r="A27" s="143" t="s">
        <v>216</v>
      </c>
      <c r="B27" s="143"/>
      <c r="C27" s="147">
        <v>-2808</v>
      </c>
      <c r="D27" s="147">
        <v>24315</v>
      </c>
      <c r="E27" s="147">
        <v>-98</v>
      </c>
      <c r="F27" s="147">
        <v>9409</v>
      </c>
      <c r="G27" s="147">
        <v>6410</v>
      </c>
      <c r="H27" s="147">
        <v>8428</v>
      </c>
      <c r="I27" s="148">
        <v>14190</v>
      </c>
      <c r="J27" s="158">
        <f>'Balance Sheet'!J24-'Balance Sheet'!I24</f>
        <v>31135.388080390112</v>
      </c>
      <c r="K27" s="158">
        <f>'Balance Sheet'!K24-'Balance Sheet'!J24</f>
        <v>10041.32583821108</v>
      </c>
      <c r="L27" s="158">
        <f>'Balance Sheet'!L24-'Balance Sheet'!K24</f>
        <v>17227.81654609571</v>
      </c>
      <c r="M27" s="158">
        <f>'Balance Sheet'!M24-'Balance Sheet'!L24</f>
        <v>16349.457479747158</v>
      </c>
      <c r="N27" s="158">
        <f>'Balance Sheet'!N24-'Balance Sheet'!M24</f>
        <v>13620.021167288913</v>
      </c>
      <c r="O27" s="158">
        <f>'Balance Sheet'!O24-'Balance Sheet'!N24</f>
        <v>8581.3765615487355</v>
      </c>
      <c r="P27" s="158">
        <f>'Balance Sheet'!P24-'Balance Sheet'!O24</f>
        <v>8986.2890196034859</v>
      </c>
      <c r="Q27" s="158">
        <f>'Balance Sheet'!Q24-'Balance Sheet'!P24</f>
        <v>4445.8659285305766</v>
      </c>
      <c r="R27" s="158">
        <f>'Balance Sheet'!R24-'Balance Sheet'!Q24</f>
        <v>-171.78430314373691</v>
      </c>
      <c r="S27" s="158">
        <f>'Balance Sheet'!S24-'Balance Sheet'!R24</f>
        <v>12211.911766042525</v>
      </c>
      <c r="T27" s="158">
        <f>'Balance Sheet'!T24-'Balance Sheet'!S24</f>
        <v>12535.787816015654</v>
      </c>
      <c r="U27" s="158">
        <f>'Balance Sheet'!U24-'Balance Sheet'!T24</f>
        <v>13559.911598208593</v>
      </c>
      <c r="V27" s="87"/>
      <c r="W27" s="87"/>
      <c r="X27" s="87"/>
      <c r="Y27" s="87"/>
      <c r="Z27" s="87"/>
      <c r="AA27" s="87"/>
      <c r="AB27" s="87"/>
    </row>
    <row r="28" spans="1:28" ht="13.8">
      <c r="A28" s="143" t="s">
        <v>217</v>
      </c>
      <c r="B28" s="143"/>
      <c r="C28" s="147">
        <v>17796</v>
      </c>
      <c r="D28" s="147">
        <v>24127</v>
      </c>
      <c r="E28" s="147">
        <v>17914</v>
      </c>
      <c r="F28" s="147">
        <v>74512</v>
      </c>
      <c r="G28" s="147">
        <v>127319</v>
      </c>
      <c r="H28" s="147">
        <v>128931</v>
      </c>
      <c r="I28" s="148">
        <v>167526</v>
      </c>
      <c r="J28" s="158">
        <f>'Balance Sheet'!J25-'Balance Sheet'!I25</f>
        <v>196357.60729403421</v>
      </c>
      <c r="K28" s="158">
        <f>'Balance Sheet'!K25-'Balance Sheet'!J25</f>
        <v>243667.9455874057</v>
      </c>
      <c r="L28" s="158">
        <f>'Balance Sheet'!L25-'Balance Sheet'!K25</f>
        <v>262964.17011014069</v>
      </c>
      <c r="M28" s="158">
        <f>'Balance Sheet'!M25-'Balance Sheet'!L25</f>
        <v>199167.48240046715</v>
      </c>
      <c r="N28" s="158">
        <f>'Balance Sheet'!N25-'Balance Sheet'!M25</f>
        <v>200305.37905726978</v>
      </c>
      <c r="O28" s="158">
        <f>'Balance Sheet'!O25-'Balance Sheet'!N25</f>
        <v>184043.40462602256</v>
      </c>
      <c r="P28" s="158">
        <f>'Balance Sheet'!P25-'Balance Sheet'!O25</f>
        <v>146030.14129068912</v>
      </c>
      <c r="Q28" s="158">
        <f>'Balance Sheet'!Q25-'Balance Sheet'!P25</f>
        <v>116965.94359252229</v>
      </c>
      <c r="R28" s="158">
        <f>'Balance Sheet'!R25-'Balance Sheet'!Q25</f>
        <v>108896.75556142116</v>
      </c>
      <c r="S28" s="158">
        <f>'Balance Sheet'!S25-'Balance Sheet'!R25</f>
        <v>112860.03706098907</v>
      </c>
      <c r="T28" s="158">
        <f>'Balance Sheet'!T25-'Balance Sheet'!S25</f>
        <v>120092.31821496598</v>
      </c>
      <c r="U28" s="158">
        <f>'Balance Sheet'!U25-'Balance Sheet'!T25</f>
        <v>127461.41271526925</v>
      </c>
      <c r="V28" s="87"/>
      <c r="W28" s="87"/>
      <c r="X28" s="87"/>
      <c r="Y28" s="87"/>
      <c r="Z28" s="87"/>
      <c r="AA28" s="87"/>
      <c r="AB28" s="87"/>
    </row>
    <row r="29" spans="1:28" ht="13.8">
      <c r="A29" s="143" t="s">
        <v>218</v>
      </c>
      <c r="B29" s="143"/>
      <c r="C29" s="147">
        <v>0</v>
      </c>
      <c r="D29" s="147">
        <v>0</v>
      </c>
      <c r="E29" s="147">
        <v>0</v>
      </c>
      <c r="F29" s="147">
        <v>11658</v>
      </c>
      <c r="G29" s="147">
        <v>12999</v>
      </c>
      <c r="H29" s="147">
        <v>-20083</v>
      </c>
      <c r="I29" s="148">
        <v>-9245</v>
      </c>
      <c r="J29" s="176">
        <v>0</v>
      </c>
      <c r="K29" s="176">
        <v>0</v>
      </c>
      <c r="L29" s="176">
        <v>0</v>
      </c>
      <c r="M29" s="176">
        <v>0</v>
      </c>
      <c r="N29" s="176">
        <v>0</v>
      </c>
      <c r="O29" s="176">
        <v>0</v>
      </c>
      <c r="P29" s="176">
        <v>0</v>
      </c>
      <c r="Q29" s="176">
        <v>0</v>
      </c>
      <c r="R29" s="176">
        <v>0</v>
      </c>
      <c r="S29" s="176">
        <v>0</v>
      </c>
      <c r="T29" s="176">
        <v>0</v>
      </c>
      <c r="U29" s="176">
        <v>0</v>
      </c>
      <c r="V29" s="87"/>
      <c r="W29" s="87"/>
      <c r="X29" s="87"/>
      <c r="Y29" s="87"/>
      <c r="Z29" s="87"/>
      <c r="AA29" s="87"/>
      <c r="AB29" s="87"/>
    </row>
    <row r="30" spans="1:28" ht="13.8">
      <c r="A30" s="143" t="s">
        <v>219</v>
      </c>
      <c r="B30" s="143"/>
      <c r="C30" s="147">
        <v>294</v>
      </c>
      <c r="D30" s="147">
        <v>3579</v>
      </c>
      <c r="E30" s="147">
        <v>-1101</v>
      </c>
      <c r="F30" s="147">
        <v>-3024</v>
      </c>
      <c r="G30" s="147">
        <v>-762</v>
      </c>
      <c r="H30" s="147">
        <v>-1100</v>
      </c>
      <c r="I30" s="148">
        <v>-403</v>
      </c>
      <c r="J30" s="158">
        <f>'Balance Sheet'!J35-'Balance Sheet'!I35</f>
        <v>15398.088808736487</v>
      </c>
      <c r="K30" s="158">
        <f>'Balance Sheet'!K35-'Balance Sheet'!J35</f>
        <v>12650.88102232349</v>
      </c>
      <c r="L30" s="158">
        <f>'Balance Sheet'!L35-'Balance Sheet'!K35</f>
        <v>14788.879640788989</v>
      </c>
      <c r="M30" s="158">
        <f>'Balance Sheet'!M35-'Balance Sheet'!L35</f>
        <v>16050.126786850829</v>
      </c>
      <c r="N30" s="158">
        <f>'Balance Sheet'!N35-'Balance Sheet'!M35</f>
        <v>16141.825418534558</v>
      </c>
      <c r="O30" s="158">
        <f>'Balance Sheet'!O35-'Balance Sheet'!N35</f>
        <v>14831.336636529304</v>
      </c>
      <c r="P30" s="158">
        <f>'Balance Sheet'!P35-'Balance Sheet'!O35</f>
        <v>11767.996734048211</v>
      </c>
      <c r="Q30" s="158">
        <f>'Balance Sheet'!Q35-'Balance Sheet'!P35</f>
        <v>9425.8269561739289</v>
      </c>
      <c r="R30" s="158">
        <f>'Balance Sheet'!R35-'Balance Sheet'!Q35</f>
        <v>8775.5627192354004</v>
      </c>
      <c r="S30" s="158">
        <f>'Balance Sheet'!S35-'Balance Sheet'!R35</f>
        <v>9094.948041544907</v>
      </c>
      <c r="T30" s="158">
        <f>'Balance Sheet'!T35-'Balance Sheet'!S35</f>
        <v>9677.7692334404856</v>
      </c>
      <c r="U30" s="158">
        <f>'Balance Sheet'!U35-'Balance Sheet'!T35</f>
        <v>10271.61567668838</v>
      </c>
      <c r="V30" s="87"/>
      <c r="W30" s="87"/>
      <c r="X30" s="87"/>
      <c r="Y30" s="87"/>
      <c r="Z30" s="87"/>
      <c r="AA30" s="87"/>
      <c r="AB30" s="87"/>
    </row>
    <row r="31" spans="1:28" ht="13.8">
      <c r="A31" s="143" t="s">
        <v>220</v>
      </c>
      <c r="B31" s="143"/>
      <c r="C31" s="147">
        <v>19786</v>
      </c>
      <c r="D31" s="147">
        <v>29976</v>
      </c>
      <c r="E31" s="159">
        <v>10063</v>
      </c>
      <c r="F31" s="159">
        <v>-10597</v>
      </c>
      <c r="G31" s="159">
        <v>21517</v>
      </c>
      <c r="H31" s="159">
        <v>-7224</v>
      </c>
      <c r="I31" s="148">
        <v>41402</v>
      </c>
      <c r="J31" s="158">
        <f>('Balance Sheet'!J28+'Balance Sheet'!J33)-('Balance Sheet'!I28+'Balance Sheet'!I33)</f>
        <v>35341.74834276014</v>
      </c>
      <c r="K31" s="158">
        <f>('Balance Sheet'!K28+'Balance Sheet'!K33)-('Balance Sheet'!J28+'Balance Sheet'!J33)</f>
        <v>22426.56181230073</v>
      </c>
      <c r="L31" s="158">
        <f>('Balance Sheet'!L28+'Balance Sheet'!L33)-('Balance Sheet'!K28+'Balance Sheet'!K33)</f>
        <v>26216.650272307772</v>
      </c>
      <c r="M31" s="158">
        <f>('Balance Sheet'!M28+'Balance Sheet'!M33)-('Balance Sheet'!L28+'Balance Sheet'!L33)</f>
        <v>28452.497485781001</v>
      </c>
      <c r="N31" s="158">
        <f>('Balance Sheet'!N28+'Balance Sheet'!N33)-('Balance Sheet'!M28+'Balance Sheet'!M33)</f>
        <v>28615.054151038552</v>
      </c>
      <c r="O31" s="158">
        <f>('Balance Sheet'!O28+'Balance Sheet'!O33)-('Balance Sheet'!N28+'Balance Sheet'!N33)</f>
        <v>26291.91494657466</v>
      </c>
      <c r="P31" s="158">
        <f>('Balance Sheet'!P28+'Balance Sheet'!P33)-('Balance Sheet'!O28+'Balance Sheet'!O33)</f>
        <v>20861.448755812715</v>
      </c>
      <c r="Q31" s="158">
        <f>('Balance Sheet'!Q28+'Balance Sheet'!Q33)-('Balance Sheet'!P28+'Balance Sheet'!P33)</f>
        <v>16709.420513217454</v>
      </c>
      <c r="R31" s="158">
        <f>('Balance Sheet'!R28+'Balance Sheet'!R33)-('Balance Sheet'!Q28+'Balance Sheet'!Q33)</f>
        <v>15556.679365917284</v>
      </c>
      <c r="S31" s="158">
        <f>('Balance Sheet'!S28+'Balance Sheet'!S33)-('Balance Sheet'!R28+'Balance Sheet'!R33)</f>
        <v>16122.862437284144</v>
      </c>
      <c r="T31" s="158">
        <f>('Balance Sheet'!T28+'Balance Sheet'!T33)-('Balance Sheet'!S28+'Balance Sheet'!S33)</f>
        <v>17156.045459280896</v>
      </c>
      <c r="U31" s="158">
        <f>('Balance Sheet'!U28+'Balance Sheet'!U33)-('Balance Sheet'!T28+'Balance Sheet'!T33)</f>
        <v>18208.773245038465</v>
      </c>
      <c r="V31" s="87"/>
      <c r="W31" s="87"/>
      <c r="X31" s="87"/>
      <c r="Y31" s="87"/>
      <c r="Z31" s="87"/>
      <c r="AA31" s="87"/>
      <c r="AB31" s="87"/>
    </row>
    <row r="32" spans="1:28" ht="13.8">
      <c r="A32" s="169" t="s">
        <v>221</v>
      </c>
      <c r="B32" s="143"/>
      <c r="C32" s="179">
        <f t="shared" ref="C32:U32" si="0">SUM(C7:C31)</f>
        <v>-32463</v>
      </c>
      <c r="D32" s="179">
        <f t="shared" si="0"/>
        <v>37292</v>
      </c>
      <c r="E32" s="179">
        <f t="shared" si="0"/>
        <v>13922</v>
      </c>
      <c r="F32" s="179">
        <f t="shared" si="0"/>
        <v>12564</v>
      </c>
      <c r="G32" s="179">
        <f t="shared" si="0"/>
        <v>148192</v>
      </c>
      <c r="H32" s="179">
        <f t="shared" si="0"/>
        <v>228081</v>
      </c>
      <c r="I32" s="179">
        <f t="shared" si="0"/>
        <v>11795</v>
      </c>
      <c r="J32" s="179">
        <f t="shared" si="0"/>
        <v>-489463.51415045327</v>
      </c>
      <c r="K32" s="179">
        <f t="shared" si="0"/>
        <v>-434723.62465071282</v>
      </c>
      <c r="L32" s="179">
        <f t="shared" si="0"/>
        <v>161246.88301842185</v>
      </c>
      <c r="M32" s="179">
        <f t="shared" si="0"/>
        <v>347448.09862567368</v>
      </c>
      <c r="N32" s="179">
        <f t="shared" si="0"/>
        <v>690703.77323080716</v>
      </c>
      <c r="O32" s="179">
        <f t="shared" si="0"/>
        <v>1040799.7033809375</v>
      </c>
      <c r="P32" s="179">
        <f t="shared" si="0"/>
        <v>1335808.0833727354</v>
      </c>
      <c r="Q32" s="179">
        <f t="shared" si="0"/>
        <v>1532689.0741443681</v>
      </c>
      <c r="R32" s="179">
        <f t="shared" si="0"/>
        <v>1571454.0091296784</v>
      </c>
      <c r="S32" s="179">
        <f t="shared" si="0"/>
        <v>1599479.9735273486</v>
      </c>
      <c r="T32" s="179">
        <f t="shared" si="0"/>
        <v>1711398.8534773665</v>
      </c>
      <c r="U32" s="179">
        <f t="shared" si="0"/>
        <v>1831153.2981216665</v>
      </c>
      <c r="V32" s="87"/>
      <c r="W32" s="87"/>
      <c r="X32" s="87"/>
      <c r="Y32" s="87"/>
      <c r="Z32" s="87"/>
      <c r="AA32" s="87"/>
      <c r="AB32" s="87"/>
    </row>
    <row r="33" spans="1:28" ht="13.8">
      <c r="A33" s="169"/>
      <c r="B33" s="143"/>
      <c r="C33" s="148"/>
      <c r="D33" s="148"/>
      <c r="E33" s="148"/>
      <c r="F33" s="148"/>
      <c r="G33" s="148"/>
      <c r="H33" s="148"/>
      <c r="I33" s="143"/>
      <c r="J33" s="143"/>
      <c r="K33" s="143"/>
      <c r="L33" s="143"/>
      <c r="M33" s="143"/>
      <c r="N33" s="143"/>
      <c r="O33" s="143"/>
      <c r="P33" s="143"/>
      <c r="Q33" s="143"/>
      <c r="R33" s="143"/>
      <c r="S33" s="143"/>
      <c r="T33" s="143"/>
      <c r="U33" s="143"/>
      <c r="V33" s="87"/>
      <c r="W33" s="87"/>
      <c r="X33" s="87"/>
      <c r="Y33" s="87"/>
      <c r="Z33" s="87"/>
      <c r="AA33" s="87"/>
      <c r="AB33" s="87"/>
    </row>
    <row r="34" spans="1:28" ht="13.8">
      <c r="A34" s="169" t="s">
        <v>222</v>
      </c>
      <c r="B34" s="143"/>
      <c r="C34" s="148"/>
      <c r="D34" s="148"/>
      <c r="E34" s="148"/>
      <c r="F34" s="148"/>
      <c r="G34" s="148"/>
      <c r="H34" s="148"/>
      <c r="I34" s="148"/>
      <c r="J34" s="143"/>
      <c r="K34" s="143"/>
      <c r="L34" s="143"/>
      <c r="M34" s="143"/>
      <c r="N34" s="143"/>
      <c r="O34" s="143"/>
      <c r="P34" s="143"/>
      <c r="Q34" s="143"/>
      <c r="R34" s="143"/>
      <c r="S34" s="143"/>
      <c r="T34" s="143"/>
      <c r="U34" s="143"/>
      <c r="V34" s="87"/>
      <c r="W34" s="87"/>
      <c r="X34" s="87"/>
      <c r="Y34" s="87"/>
      <c r="Z34" s="87"/>
      <c r="AA34" s="87"/>
      <c r="AB34" s="87"/>
    </row>
    <row r="35" spans="1:28" ht="13.8">
      <c r="A35" s="143" t="s">
        <v>223</v>
      </c>
      <c r="B35" s="143"/>
      <c r="C35" s="147">
        <v>-8596</v>
      </c>
      <c r="D35" s="147">
        <v>-9229</v>
      </c>
      <c r="E35" s="147">
        <v>-18327</v>
      </c>
      <c r="F35" s="147">
        <v>-77180</v>
      </c>
      <c r="G35" s="147">
        <v>-82382</v>
      </c>
      <c r="H35" s="147">
        <v>-40041</v>
      </c>
      <c r="I35" s="148">
        <v>-161696</v>
      </c>
      <c r="J35" s="158">
        <f>-'BS Assumptions'!J24</f>
        <v>-47331.770387810131</v>
      </c>
      <c r="K35" s="158">
        <f>-'BS Assumptions'!K24</f>
        <v>-109683.85357268463</v>
      </c>
      <c r="L35" s="158">
        <f>-'BS Assumptions'!L24</f>
        <v>-130985.15230472665</v>
      </c>
      <c r="M35" s="158">
        <f>-'BS Assumptions'!M24</f>
        <v>-152216.7214046889</v>
      </c>
      <c r="N35" s="158">
        <f>-'BS Assumptions'!N24</f>
        <v>-171597.04205671477</v>
      </c>
      <c r="O35" s="158">
        <f>-'BS Assumptions'!O24</f>
        <v>-187998.56452487793</v>
      </c>
      <c r="P35" s="158">
        <f>-'BS Assumptions'!P24</f>
        <v>-199698.15434133075</v>
      </c>
      <c r="Q35" s="158">
        <f>-'BS Assumptions'!Q24</f>
        <v>-215638.19798733201</v>
      </c>
      <c r="R35" s="158">
        <f>-'BS Assumptions'!R24</f>
        <v>-240088.10279376665</v>
      </c>
      <c r="S35" s="158">
        <f>-'BS Assumptions'!S24</f>
        <v>-271329.41349471873</v>
      </c>
      <c r="T35" s="158">
        <f>-'BS Assumptions'!T24</f>
        <v>-307490.66411027825</v>
      </c>
      <c r="U35" s="158">
        <f>-'BS Assumptions'!U24</f>
        <v>-348214.54120437056</v>
      </c>
      <c r="V35" s="87"/>
      <c r="W35" s="87"/>
      <c r="X35" s="87"/>
      <c r="Y35" s="87"/>
      <c r="Z35" s="87"/>
      <c r="AA35" s="87"/>
      <c r="AB35" s="87"/>
    </row>
    <row r="36" spans="1:28" ht="13.8">
      <c r="A36" s="143" t="s">
        <v>110</v>
      </c>
      <c r="B36" s="143"/>
      <c r="C36" s="147">
        <v>0</v>
      </c>
      <c r="D36" s="147">
        <v>-2959</v>
      </c>
      <c r="E36" s="147">
        <v>0</v>
      </c>
      <c r="F36" s="147">
        <v>-68132</v>
      </c>
      <c r="G36" s="147">
        <v>0</v>
      </c>
      <c r="H36" s="147">
        <v>-136778</v>
      </c>
      <c r="I36" s="148">
        <v>0</v>
      </c>
      <c r="J36" s="176">
        <f>'CF Assumptions'!J20</f>
        <v>0</v>
      </c>
      <c r="K36" s="176">
        <f>'CF Assumptions'!K20</f>
        <v>0</v>
      </c>
      <c r="L36" s="176">
        <f>'CF Assumptions'!L20</f>
        <v>0</v>
      </c>
      <c r="M36" s="176">
        <f>'CF Assumptions'!M20</f>
        <v>0</v>
      </c>
      <c r="N36" s="176">
        <f>'CF Assumptions'!N20</f>
        <v>0</v>
      </c>
      <c r="O36" s="176">
        <f>'CF Assumptions'!O20</f>
        <v>0</v>
      </c>
      <c r="P36" s="176">
        <f>'CF Assumptions'!P20</f>
        <v>0</v>
      </c>
      <c r="Q36" s="176">
        <f>'CF Assumptions'!Q20</f>
        <v>0</v>
      </c>
      <c r="R36" s="176">
        <f>'CF Assumptions'!R20</f>
        <v>0</v>
      </c>
      <c r="S36" s="176">
        <f>'CF Assumptions'!S20</f>
        <v>0</v>
      </c>
      <c r="T36" s="176">
        <f>'CF Assumptions'!T20</f>
        <v>0</v>
      </c>
      <c r="U36" s="176">
        <f>'CF Assumptions'!U20</f>
        <v>0</v>
      </c>
      <c r="V36" s="87"/>
      <c r="W36" s="87"/>
      <c r="X36" s="87"/>
      <c r="Y36" s="87"/>
      <c r="Z36" s="87"/>
      <c r="AA36" s="87"/>
      <c r="AB36" s="87"/>
    </row>
    <row r="37" spans="1:28" ht="13.8">
      <c r="A37" s="143" t="s">
        <v>111</v>
      </c>
      <c r="B37" s="143"/>
      <c r="C37" s="147">
        <v>0</v>
      </c>
      <c r="D37" s="147">
        <v>0</v>
      </c>
      <c r="E37" s="147">
        <v>0</v>
      </c>
      <c r="F37" s="147">
        <v>0</v>
      </c>
      <c r="G37" s="147">
        <v>0</v>
      </c>
      <c r="H37" s="147">
        <v>0</v>
      </c>
      <c r="I37" s="148">
        <v>-40000</v>
      </c>
      <c r="J37" s="176">
        <f>'CF Assumptions'!J21</f>
        <v>0</v>
      </c>
      <c r="K37" s="176">
        <f>'CF Assumptions'!K21</f>
        <v>0</v>
      </c>
      <c r="L37" s="176">
        <f>'CF Assumptions'!L21</f>
        <v>0</v>
      </c>
      <c r="M37" s="176">
        <f>'CF Assumptions'!M21</f>
        <v>0</v>
      </c>
      <c r="N37" s="176">
        <f>'CF Assumptions'!N21</f>
        <v>0</v>
      </c>
      <c r="O37" s="176">
        <f>'CF Assumptions'!O21</f>
        <v>0</v>
      </c>
      <c r="P37" s="176">
        <f>'CF Assumptions'!P21</f>
        <v>0</v>
      </c>
      <c r="Q37" s="176">
        <f>'CF Assumptions'!Q21</f>
        <v>0</v>
      </c>
      <c r="R37" s="176">
        <f>'CF Assumptions'!R21</f>
        <v>0</v>
      </c>
      <c r="S37" s="176">
        <f>'CF Assumptions'!S21</f>
        <v>0</v>
      </c>
      <c r="T37" s="176">
        <f>'CF Assumptions'!T21</f>
        <v>0</v>
      </c>
      <c r="U37" s="176">
        <f>'CF Assumptions'!U21</f>
        <v>0</v>
      </c>
      <c r="V37" s="87"/>
      <c r="W37" s="87"/>
      <c r="X37" s="87"/>
      <c r="Y37" s="87"/>
      <c r="Z37" s="87"/>
      <c r="AA37" s="87"/>
      <c r="AB37" s="87"/>
    </row>
    <row r="38" spans="1:28" ht="13.8">
      <c r="A38" s="143" t="s">
        <v>112</v>
      </c>
      <c r="B38" s="143"/>
      <c r="C38" s="147">
        <v>0</v>
      </c>
      <c r="D38" s="147">
        <v>0</v>
      </c>
      <c r="E38" s="147">
        <v>0</v>
      </c>
      <c r="F38" s="147">
        <v>0</v>
      </c>
      <c r="G38" s="147">
        <v>1058</v>
      </c>
      <c r="H38" s="147">
        <v>0</v>
      </c>
      <c r="I38" s="148">
        <v>0</v>
      </c>
      <c r="J38" s="176">
        <f>'CF Assumptions'!J22</f>
        <v>0</v>
      </c>
      <c r="K38" s="176">
        <f>'CF Assumptions'!K22</f>
        <v>0</v>
      </c>
      <c r="L38" s="176">
        <f>'CF Assumptions'!L22</f>
        <v>0</v>
      </c>
      <c r="M38" s="176">
        <f>'CF Assumptions'!M22</f>
        <v>0</v>
      </c>
      <c r="N38" s="176">
        <f>'CF Assumptions'!N22</f>
        <v>0</v>
      </c>
      <c r="O38" s="176">
        <f>'CF Assumptions'!O22</f>
        <v>0</v>
      </c>
      <c r="P38" s="176">
        <f>'CF Assumptions'!P22</f>
        <v>0</v>
      </c>
      <c r="Q38" s="176">
        <f>'CF Assumptions'!Q22</f>
        <v>0</v>
      </c>
      <c r="R38" s="176">
        <f>'CF Assumptions'!R22</f>
        <v>0</v>
      </c>
      <c r="S38" s="176">
        <f>'CF Assumptions'!S22</f>
        <v>0</v>
      </c>
      <c r="T38" s="176">
        <f>'CF Assumptions'!T22</f>
        <v>0</v>
      </c>
      <c r="U38" s="176">
        <f>'CF Assumptions'!U22</f>
        <v>0</v>
      </c>
      <c r="V38" s="87"/>
      <c r="W38" s="87"/>
      <c r="X38" s="87"/>
      <c r="Y38" s="87"/>
      <c r="Z38" s="87"/>
      <c r="AA38" s="87"/>
      <c r="AB38" s="87"/>
    </row>
    <row r="39" spans="1:28" ht="13.8">
      <c r="A39" s="143" t="s">
        <v>113</v>
      </c>
      <c r="B39" s="143"/>
      <c r="C39" s="147">
        <v>0</v>
      </c>
      <c r="D39" s="147">
        <v>0</v>
      </c>
      <c r="E39" s="147">
        <v>0</v>
      </c>
      <c r="F39" s="147">
        <v>-7428</v>
      </c>
      <c r="G39" s="147">
        <v>0</v>
      </c>
      <c r="H39" s="147">
        <v>0</v>
      </c>
      <c r="I39" s="148">
        <v>0</v>
      </c>
      <c r="J39" s="176">
        <f>'CF Assumptions'!J23</f>
        <v>0</v>
      </c>
      <c r="K39" s="176">
        <f>'CF Assumptions'!K23</f>
        <v>0</v>
      </c>
      <c r="L39" s="176">
        <f>'CF Assumptions'!L23</f>
        <v>0</v>
      </c>
      <c r="M39" s="176">
        <f>'CF Assumptions'!M23</f>
        <v>0</v>
      </c>
      <c r="N39" s="176">
        <f>'CF Assumptions'!N23</f>
        <v>0</v>
      </c>
      <c r="O39" s="176">
        <f>'CF Assumptions'!O23</f>
        <v>0</v>
      </c>
      <c r="P39" s="176">
        <f>'CF Assumptions'!P23</f>
        <v>0</v>
      </c>
      <c r="Q39" s="176">
        <f>'CF Assumptions'!Q23</f>
        <v>0</v>
      </c>
      <c r="R39" s="176">
        <f>'CF Assumptions'!R23</f>
        <v>0</v>
      </c>
      <c r="S39" s="176">
        <f>'CF Assumptions'!S23</f>
        <v>0</v>
      </c>
      <c r="T39" s="176">
        <f>'CF Assumptions'!T23</f>
        <v>0</v>
      </c>
      <c r="U39" s="176">
        <f>'CF Assumptions'!U23</f>
        <v>0</v>
      </c>
      <c r="V39" s="87"/>
      <c r="W39" s="87"/>
      <c r="X39" s="87"/>
      <c r="Y39" s="87"/>
      <c r="Z39" s="87"/>
      <c r="AA39" s="87"/>
      <c r="AB39" s="87"/>
    </row>
    <row r="40" spans="1:28" ht="13.8">
      <c r="A40" s="143" t="s">
        <v>114</v>
      </c>
      <c r="B40" s="143"/>
      <c r="C40" s="147">
        <v>0</v>
      </c>
      <c r="D40" s="147">
        <v>0</v>
      </c>
      <c r="E40" s="147">
        <v>-53806</v>
      </c>
      <c r="F40" s="147">
        <v>-12365</v>
      </c>
      <c r="G40" s="147">
        <v>0</v>
      </c>
      <c r="H40" s="147">
        <v>0</v>
      </c>
      <c r="I40" s="148">
        <v>0</v>
      </c>
      <c r="J40" s="176">
        <f>'CF Assumptions'!J24</f>
        <v>0</v>
      </c>
      <c r="K40" s="176">
        <f>'CF Assumptions'!K24</f>
        <v>0</v>
      </c>
      <c r="L40" s="176">
        <f>'CF Assumptions'!L24</f>
        <v>0</v>
      </c>
      <c r="M40" s="176">
        <f>'CF Assumptions'!M24</f>
        <v>0</v>
      </c>
      <c r="N40" s="176">
        <f>'CF Assumptions'!N24</f>
        <v>0</v>
      </c>
      <c r="O40" s="176">
        <f>'CF Assumptions'!O24</f>
        <v>0</v>
      </c>
      <c r="P40" s="176">
        <f>'CF Assumptions'!P24</f>
        <v>0</v>
      </c>
      <c r="Q40" s="176">
        <f>'CF Assumptions'!Q24</f>
        <v>0</v>
      </c>
      <c r="R40" s="176">
        <f>'CF Assumptions'!R24</f>
        <v>0</v>
      </c>
      <c r="S40" s="176">
        <f>'CF Assumptions'!S24</f>
        <v>0</v>
      </c>
      <c r="T40" s="176">
        <f>'CF Assumptions'!T24</f>
        <v>0</v>
      </c>
      <c r="U40" s="176">
        <f>'CF Assumptions'!U24</f>
        <v>0</v>
      </c>
      <c r="V40" s="87"/>
      <c r="W40" s="87"/>
      <c r="X40" s="87"/>
      <c r="Y40" s="87"/>
      <c r="Z40" s="87"/>
      <c r="AA40" s="87"/>
      <c r="AB40" s="87"/>
    </row>
    <row r="41" spans="1:28" ht="13.8">
      <c r="A41" s="143" t="s">
        <v>115</v>
      </c>
      <c r="B41" s="143"/>
      <c r="C41" s="147">
        <v>0</v>
      </c>
      <c r="D41" s="147">
        <v>0</v>
      </c>
      <c r="E41" s="147">
        <v>12000</v>
      </c>
      <c r="F41" s="147">
        <v>54810</v>
      </c>
      <c r="G41" s="147">
        <v>0</v>
      </c>
      <c r="H41" s="147">
        <v>0</v>
      </c>
      <c r="I41" s="148">
        <v>0</v>
      </c>
      <c r="J41" s="176">
        <f>'CF Assumptions'!J25</f>
        <v>0</v>
      </c>
      <c r="K41" s="176">
        <f>'CF Assumptions'!K25</f>
        <v>0</v>
      </c>
      <c r="L41" s="176">
        <f>'CF Assumptions'!L25</f>
        <v>0</v>
      </c>
      <c r="M41" s="176">
        <f>'CF Assumptions'!M25</f>
        <v>0</v>
      </c>
      <c r="N41" s="176">
        <f>'CF Assumptions'!N25</f>
        <v>0</v>
      </c>
      <c r="O41" s="176">
        <f>'CF Assumptions'!O25</f>
        <v>0</v>
      </c>
      <c r="P41" s="176">
        <f>'CF Assumptions'!P25</f>
        <v>0</v>
      </c>
      <c r="Q41" s="176">
        <f>'CF Assumptions'!Q25</f>
        <v>0</v>
      </c>
      <c r="R41" s="176">
        <f>'CF Assumptions'!R25</f>
        <v>0</v>
      </c>
      <c r="S41" s="176">
        <f>'CF Assumptions'!S25</f>
        <v>0</v>
      </c>
      <c r="T41" s="176">
        <f>'CF Assumptions'!T25</f>
        <v>0</v>
      </c>
      <c r="U41" s="176">
        <f>'CF Assumptions'!U25</f>
        <v>0</v>
      </c>
      <c r="V41" s="87"/>
      <c r="W41" s="87"/>
      <c r="X41" s="87"/>
      <c r="Y41" s="87"/>
      <c r="Z41" s="87"/>
      <c r="AA41" s="87"/>
      <c r="AB41" s="87"/>
    </row>
    <row r="42" spans="1:28" ht="13.8">
      <c r="A42" s="143" t="s">
        <v>224</v>
      </c>
      <c r="B42" s="143"/>
      <c r="C42" s="154">
        <v>29</v>
      </c>
      <c r="D42" s="154">
        <v>-80</v>
      </c>
      <c r="E42" s="154">
        <v>0</v>
      </c>
      <c r="F42" s="154">
        <v>0</v>
      </c>
      <c r="G42" s="154">
        <v>0</v>
      </c>
      <c r="H42" s="154">
        <v>0</v>
      </c>
      <c r="I42" s="154">
        <v>0</v>
      </c>
      <c r="J42" s="205">
        <f>'CF Assumptions'!J26</f>
        <v>0</v>
      </c>
      <c r="K42" s="205">
        <f>'CF Assumptions'!K26</f>
        <v>0</v>
      </c>
      <c r="L42" s="205">
        <f>'CF Assumptions'!L26</f>
        <v>0</v>
      </c>
      <c r="M42" s="205">
        <f>'CF Assumptions'!M26</f>
        <v>0</v>
      </c>
      <c r="N42" s="205">
        <f>'CF Assumptions'!N26</f>
        <v>0</v>
      </c>
      <c r="O42" s="205">
        <f>'CF Assumptions'!O26</f>
        <v>0</v>
      </c>
      <c r="P42" s="205">
        <f>'CF Assumptions'!P26</f>
        <v>0</v>
      </c>
      <c r="Q42" s="205">
        <f>'CF Assumptions'!Q26</f>
        <v>0</v>
      </c>
      <c r="R42" s="205">
        <f>'CF Assumptions'!R26</f>
        <v>0</v>
      </c>
      <c r="S42" s="205">
        <f>'CF Assumptions'!S26</f>
        <v>0</v>
      </c>
      <c r="T42" s="205">
        <f>'CF Assumptions'!T26</f>
        <v>0</v>
      </c>
      <c r="U42" s="205">
        <f>'CF Assumptions'!U26</f>
        <v>0</v>
      </c>
      <c r="V42" s="87"/>
      <c r="W42" s="87"/>
      <c r="X42" s="87"/>
      <c r="Y42" s="87"/>
      <c r="Z42" s="87"/>
      <c r="AA42" s="87"/>
      <c r="AB42" s="87"/>
    </row>
    <row r="43" spans="1:28" ht="13.8">
      <c r="A43" s="143" t="s">
        <v>225</v>
      </c>
      <c r="B43" s="143"/>
      <c r="C43" s="180">
        <f t="shared" ref="C43:I43" si="1">SUM(C35:C42)</f>
        <v>-8567</v>
      </c>
      <c r="D43" s="180">
        <f t="shared" si="1"/>
        <v>-12268</v>
      </c>
      <c r="E43" s="180">
        <f t="shared" si="1"/>
        <v>-60133</v>
      </c>
      <c r="F43" s="180">
        <f t="shared" si="1"/>
        <v>-110295</v>
      </c>
      <c r="G43" s="180">
        <f t="shared" si="1"/>
        <v>-81324</v>
      </c>
      <c r="H43" s="180">
        <f t="shared" si="1"/>
        <v>-176819</v>
      </c>
      <c r="I43" s="180">
        <f t="shared" si="1"/>
        <v>-201696</v>
      </c>
      <c r="J43" s="180">
        <f t="shared" ref="J43:U43" si="2">SUM(J35:J41)</f>
        <v>-47331.770387810131</v>
      </c>
      <c r="K43" s="180">
        <f t="shared" si="2"/>
        <v>-109683.85357268463</v>
      </c>
      <c r="L43" s="180">
        <f t="shared" si="2"/>
        <v>-130985.15230472665</v>
      </c>
      <c r="M43" s="180">
        <f t="shared" si="2"/>
        <v>-152216.7214046889</v>
      </c>
      <c r="N43" s="180">
        <f t="shared" si="2"/>
        <v>-171597.04205671477</v>
      </c>
      <c r="O43" s="180">
        <f t="shared" si="2"/>
        <v>-187998.56452487793</v>
      </c>
      <c r="P43" s="180">
        <f t="shared" si="2"/>
        <v>-199698.15434133075</v>
      </c>
      <c r="Q43" s="180">
        <f t="shared" si="2"/>
        <v>-215638.19798733201</v>
      </c>
      <c r="R43" s="180">
        <f t="shared" si="2"/>
        <v>-240088.10279376665</v>
      </c>
      <c r="S43" s="180">
        <f t="shared" si="2"/>
        <v>-271329.41349471873</v>
      </c>
      <c r="T43" s="180">
        <f t="shared" si="2"/>
        <v>-307490.66411027825</v>
      </c>
      <c r="U43" s="180">
        <f t="shared" si="2"/>
        <v>-348214.54120437056</v>
      </c>
      <c r="V43" s="87"/>
      <c r="W43" s="87"/>
      <c r="X43" s="87"/>
      <c r="Y43" s="87"/>
      <c r="Z43" s="87"/>
      <c r="AA43" s="87"/>
      <c r="AB43" s="87"/>
    </row>
    <row r="44" spans="1:28" ht="13.8">
      <c r="A44" s="143"/>
      <c r="B44" s="143"/>
      <c r="C44" s="148"/>
      <c r="D44" s="148"/>
      <c r="E44" s="148"/>
      <c r="F44" s="148"/>
      <c r="G44" s="148"/>
      <c r="H44" s="148"/>
      <c r="I44" s="148"/>
      <c r="J44" s="143"/>
      <c r="K44" s="143"/>
      <c r="L44" s="143"/>
      <c r="M44" s="143"/>
      <c r="N44" s="143"/>
      <c r="O44" s="143"/>
      <c r="P44" s="143"/>
      <c r="Q44" s="143"/>
      <c r="R44" s="143"/>
      <c r="S44" s="143"/>
      <c r="T44" s="143"/>
      <c r="U44" s="143"/>
      <c r="V44" s="87"/>
      <c r="W44" s="87"/>
      <c r="X44" s="87"/>
      <c r="Y44" s="87"/>
      <c r="Z44" s="87"/>
      <c r="AA44" s="87"/>
      <c r="AB44" s="87"/>
    </row>
    <row r="45" spans="1:28" ht="13.8">
      <c r="A45" s="169" t="s">
        <v>226</v>
      </c>
      <c r="B45" s="143"/>
      <c r="C45" s="148"/>
      <c r="D45" s="148"/>
      <c r="E45" s="148"/>
      <c r="F45" s="148"/>
      <c r="G45" s="148"/>
      <c r="H45" s="148"/>
      <c r="I45" s="148"/>
      <c r="J45" s="143"/>
      <c r="K45" s="143"/>
      <c r="L45" s="143"/>
      <c r="M45" s="143"/>
      <c r="N45" s="143"/>
      <c r="O45" s="143"/>
      <c r="P45" s="143"/>
      <c r="Q45" s="143"/>
      <c r="R45" s="143"/>
      <c r="S45" s="143"/>
      <c r="T45" s="143"/>
      <c r="U45" s="143"/>
      <c r="V45" s="87"/>
      <c r="W45" s="87"/>
      <c r="X45" s="87"/>
      <c r="Y45" s="87"/>
      <c r="Z45" s="87"/>
      <c r="AA45" s="87"/>
      <c r="AB45" s="87"/>
    </row>
    <row r="46" spans="1:28" ht="13.8">
      <c r="A46" s="143" t="s">
        <v>118</v>
      </c>
      <c r="B46" s="143"/>
      <c r="C46" s="147">
        <v>-594</v>
      </c>
      <c r="D46" s="147">
        <v>0</v>
      </c>
      <c r="E46" s="147">
        <v>0</v>
      </c>
      <c r="F46" s="147">
        <v>0</v>
      </c>
      <c r="G46" s="147">
        <v>0</v>
      </c>
      <c r="H46" s="147">
        <v>0</v>
      </c>
      <c r="I46" s="148">
        <v>0</v>
      </c>
      <c r="J46" s="176">
        <f>'CF Assumptions'!J29</f>
        <v>0</v>
      </c>
      <c r="K46" s="176">
        <f>'CF Assumptions'!K29</f>
        <v>0</v>
      </c>
      <c r="L46" s="176">
        <f>'CF Assumptions'!L29</f>
        <v>0</v>
      </c>
      <c r="M46" s="176">
        <f>'CF Assumptions'!M29</f>
        <v>0</v>
      </c>
      <c r="N46" s="176">
        <f>'CF Assumptions'!N29</f>
        <v>0</v>
      </c>
      <c r="O46" s="176">
        <f>'CF Assumptions'!O29</f>
        <v>0</v>
      </c>
      <c r="P46" s="176">
        <f>'CF Assumptions'!P29</f>
        <v>0</v>
      </c>
      <c r="Q46" s="176">
        <f>'CF Assumptions'!Q29</f>
        <v>0</v>
      </c>
      <c r="R46" s="176">
        <f>'CF Assumptions'!R29</f>
        <v>0</v>
      </c>
      <c r="S46" s="176">
        <f>'CF Assumptions'!S29</f>
        <v>0</v>
      </c>
      <c r="T46" s="176">
        <f>'CF Assumptions'!T29</f>
        <v>0</v>
      </c>
      <c r="U46" s="176">
        <f>'CF Assumptions'!U29</f>
        <v>0</v>
      </c>
      <c r="V46" s="87"/>
      <c r="W46" s="87"/>
      <c r="X46" s="87"/>
      <c r="Y46" s="87"/>
      <c r="Z46" s="87"/>
      <c r="AA46" s="87"/>
      <c r="AB46" s="87"/>
    </row>
    <row r="47" spans="1:28" ht="13.8">
      <c r="A47" s="143" t="s">
        <v>119</v>
      </c>
      <c r="B47" s="143"/>
      <c r="C47" s="147">
        <v>15000</v>
      </c>
      <c r="D47" s="147">
        <v>24691</v>
      </c>
      <c r="E47" s="147">
        <v>0</v>
      </c>
      <c r="F47" s="147">
        <v>99608</v>
      </c>
      <c r="G47" s="147">
        <v>69325</v>
      </c>
      <c r="H47" s="147">
        <v>0</v>
      </c>
      <c r="I47" s="148">
        <v>0</v>
      </c>
      <c r="J47" s="176">
        <f>'CF Assumptions'!J30</f>
        <v>0</v>
      </c>
      <c r="K47" s="176">
        <f>'CF Assumptions'!K30</f>
        <v>0</v>
      </c>
      <c r="L47" s="176">
        <f>'CF Assumptions'!L30</f>
        <v>0</v>
      </c>
      <c r="M47" s="176">
        <f>'CF Assumptions'!M30</f>
        <v>0</v>
      </c>
      <c r="N47" s="176">
        <f>'CF Assumptions'!N30</f>
        <v>0</v>
      </c>
      <c r="O47" s="176">
        <f>'CF Assumptions'!O30</f>
        <v>0</v>
      </c>
      <c r="P47" s="176">
        <f>'CF Assumptions'!P30</f>
        <v>0</v>
      </c>
      <c r="Q47" s="176">
        <f>'CF Assumptions'!Q30</f>
        <v>0</v>
      </c>
      <c r="R47" s="176">
        <f>'CF Assumptions'!R30</f>
        <v>0</v>
      </c>
      <c r="S47" s="176">
        <f>'CF Assumptions'!S30</f>
        <v>0</v>
      </c>
      <c r="T47" s="176">
        <f>'CF Assumptions'!T30</f>
        <v>0</v>
      </c>
      <c r="U47" s="176">
        <f>'CF Assumptions'!U30</f>
        <v>0</v>
      </c>
      <c r="V47" s="87"/>
      <c r="W47" s="87"/>
      <c r="X47" s="87"/>
      <c r="Y47" s="87"/>
      <c r="Z47" s="87"/>
      <c r="AA47" s="87"/>
      <c r="AB47" s="87"/>
    </row>
    <row r="48" spans="1:28" ht="13.8">
      <c r="A48" s="143" t="s">
        <v>120</v>
      </c>
      <c r="B48" s="143"/>
      <c r="C48" s="147">
        <v>-15000</v>
      </c>
      <c r="D48" s="147">
        <v>-40446</v>
      </c>
      <c r="E48" s="147">
        <v>0</v>
      </c>
      <c r="F48" s="147">
        <v>0</v>
      </c>
      <c r="G48" s="147">
        <v>-74325</v>
      </c>
      <c r="H48" s="147">
        <v>-5000</v>
      </c>
      <c r="I48" s="148">
        <v>-10000</v>
      </c>
      <c r="J48" s="176">
        <f>'CF Assumptions'!J31</f>
        <v>0</v>
      </c>
      <c r="K48" s="176">
        <f>'CF Assumptions'!K31</f>
        <v>0</v>
      </c>
      <c r="L48" s="176">
        <f>'CF Assumptions'!L31</f>
        <v>0</v>
      </c>
      <c r="M48" s="176">
        <f>'CF Assumptions'!M31</f>
        <v>0</v>
      </c>
      <c r="N48" s="176">
        <f>'CF Assumptions'!N31</f>
        <v>0</v>
      </c>
      <c r="O48" s="176">
        <f>'CF Assumptions'!O31</f>
        <v>0</v>
      </c>
      <c r="P48" s="176">
        <f>'CF Assumptions'!P31</f>
        <v>0</v>
      </c>
      <c r="Q48" s="176">
        <f>'CF Assumptions'!Q31</f>
        <v>0</v>
      </c>
      <c r="R48" s="176">
        <f>'CF Assumptions'!R31</f>
        <v>0</v>
      </c>
      <c r="S48" s="176">
        <f>'CF Assumptions'!S31</f>
        <v>0</v>
      </c>
      <c r="T48" s="176">
        <f>'CF Assumptions'!T31</f>
        <v>0</v>
      </c>
      <c r="U48" s="176">
        <f>'CF Assumptions'!U31</f>
        <v>0</v>
      </c>
      <c r="V48" s="87"/>
      <c r="W48" s="87"/>
      <c r="X48" s="87"/>
      <c r="Y48" s="87"/>
      <c r="Z48" s="87"/>
      <c r="AA48" s="87"/>
      <c r="AB48" s="87"/>
    </row>
    <row r="49" spans="1:28" ht="13.8">
      <c r="A49" s="143" t="s">
        <v>121</v>
      </c>
      <c r="B49" s="143"/>
      <c r="C49" s="147">
        <v>0</v>
      </c>
      <c r="D49" s="147">
        <v>0</v>
      </c>
      <c r="E49" s="147">
        <v>-500</v>
      </c>
      <c r="F49" s="147">
        <v>0</v>
      </c>
      <c r="G49" s="147">
        <v>0</v>
      </c>
      <c r="H49" s="147">
        <v>0</v>
      </c>
      <c r="I49" s="148">
        <v>0</v>
      </c>
      <c r="J49" s="176">
        <f>'CF Assumptions'!J32</f>
        <v>0</v>
      </c>
      <c r="K49" s="176">
        <f>'CF Assumptions'!K32</f>
        <v>0</v>
      </c>
      <c r="L49" s="176">
        <f>'CF Assumptions'!L32</f>
        <v>0</v>
      </c>
      <c r="M49" s="176">
        <f>'CF Assumptions'!M32</f>
        <v>0</v>
      </c>
      <c r="N49" s="176">
        <f>'CF Assumptions'!N32</f>
        <v>0</v>
      </c>
      <c r="O49" s="176">
        <f>'CF Assumptions'!O32</f>
        <v>0</v>
      </c>
      <c r="P49" s="176">
        <f>'CF Assumptions'!P32</f>
        <v>0</v>
      </c>
      <c r="Q49" s="176">
        <f>'CF Assumptions'!Q32</f>
        <v>0</v>
      </c>
      <c r="R49" s="176">
        <f>'CF Assumptions'!R32</f>
        <v>0</v>
      </c>
      <c r="S49" s="176">
        <f>'CF Assumptions'!S32</f>
        <v>0</v>
      </c>
      <c r="T49" s="176">
        <f>'CF Assumptions'!T32</f>
        <v>0</v>
      </c>
      <c r="U49" s="176">
        <f>'CF Assumptions'!U32</f>
        <v>0</v>
      </c>
      <c r="V49" s="87"/>
      <c r="W49" s="87"/>
      <c r="X49" s="87"/>
      <c r="Y49" s="87"/>
      <c r="Z49" s="87"/>
      <c r="AA49" s="87"/>
      <c r="AB49" s="87"/>
    </row>
    <row r="50" spans="1:28" ht="13.8">
      <c r="A50" s="143" t="s">
        <v>122</v>
      </c>
      <c r="B50" s="143"/>
      <c r="C50" s="147">
        <v>438</v>
      </c>
      <c r="D50" s="147">
        <v>1773</v>
      </c>
      <c r="E50" s="147">
        <v>25025</v>
      </c>
      <c r="F50" s="147">
        <v>28181</v>
      </c>
      <c r="G50" s="147">
        <v>16806</v>
      </c>
      <c r="H50" s="147">
        <v>18532</v>
      </c>
      <c r="I50" s="148">
        <v>18357</v>
      </c>
      <c r="J50" s="176">
        <f>'CF Assumptions'!J33</f>
        <v>0</v>
      </c>
      <c r="K50" s="176">
        <f>'CF Assumptions'!K33</f>
        <v>0</v>
      </c>
      <c r="L50" s="176">
        <f>'CF Assumptions'!L33</f>
        <v>0</v>
      </c>
      <c r="M50" s="176">
        <f>'CF Assumptions'!M33</f>
        <v>0</v>
      </c>
      <c r="N50" s="176">
        <f>'CF Assumptions'!N33</f>
        <v>0</v>
      </c>
      <c r="O50" s="176">
        <f>'CF Assumptions'!O33</f>
        <v>0</v>
      </c>
      <c r="P50" s="176">
        <f>'CF Assumptions'!P33</f>
        <v>0</v>
      </c>
      <c r="Q50" s="176">
        <f>'CF Assumptions'!Q33</f>
        <v>0</v>
      </c>
      <c r="R50" s="176">
        <f>'CF Assumptions'!R33</f>
        <v>0</v>
      </c>
      <c r="S50" s="176">
        <f>'CF Assumptions'!S33</f>
        <v>0</v>
      </c>
      <c r="T50" s="176">
        <f>'CF Assumptions'!T33</f>
        <v>0</v>
      </c>
      <c r="U50" s="176">
        <f>'CF Assumptions'!U33</f>
        <v>0</v>
      </c>
      <c r="V50" s="87"/>
      <c r="W50" s="87"/>
      <c r="X50" s="87"/>
      <c r="Y50" s="87"/>
      <c r="Z50" s="87"/>
      <c r="AA50" s="87"/>
      <c r="AB50" s="87"/>
    </row>
    <row r="51" spans="1:28" ht="13.8">
      <c r="A51" s="143" t="s">
        <v>227</v>
      </c>
      <c r="B51" s="143"/>
      <c r="C51" s="147">
        <v>0</v>
      </c>
      <c r="D51" s="147">
        <v>0</v>
      </c>
      <c r="E51" s="147">
        <v>0</v>
      </c>
      <c r="F51" s="147">
        <v>330539</v>
      </c>
      <c r="G51" s="147">
        <v>497242</v>
      </c>
      <c r="H51" s="147">
        <v>989615</v>
      </c>
      <c r="I51" s="148">
        <v>0</v>
      </c>
      <c r="J51" s="176">
        <f>'CF Assumptions'!J34</f>
        <v>0</v>
      </c>
      <c r="K51" s="176">
        <f>'CF Assumptions'!K34</f>
        <v>0</v>
      </c>
      <c r="L51" s="176">
        <f>'CF Assumptions'!L34</f>
        <v>0</v>
      </c>
      <c r="M51" s="176">
        <f>'CF Assumptions'!M34</f>
        <v>0</v>
      </c>
      <c r="N51" s="176">
        <f>'CF Assumptions'!N34</f>
        <v>0</v>
      </c>
      <c r="O51" s="176">
        <f>'CF Assumptions'!O34</f>
        <v>0</v>
      </c>
      <c r="P51" s="176">
        <f>'CF Assumptions'!P34</f>
        <v>0</v>
      </c>
      <c r="Q51" s="176">
        <f>'CF Assumptions'!Q34</f>
        <v>0</v>
      </c>
      <c r="R51" s="176">
        <f>'CF Assumptions'!R34</f>
        <v>0</v>
      </c>
      <c r="S51" s="176">
        <f>'CF Assumptions'!S34</f>
        <v>0</v>
      </c>
      <c r="T51" s="176">
        <f>'CF Assumptions'!T34</f>
        <v>0</v>
      </c>
      <c r="U51" s="176">
        <f>'CF Assumptions'!U34</f>
        <v>0</v>
      </c>
      <c r="V51" s="87"/>
      <c r="W51" s="87"/>
      <c r="X51" s="87"/>
      <c r="Y51" s="87"/>
      <c r="Z51" s="87"/>
      <c r="AA51" s="87"/>
      <c r="AB51" s="87"/>
    </row>
    <row r="52" spans="1:28" ht="13.8">
      <c r="A52" s="143" t="s">
        <v>228</v>
      </c>
      <c r="B52" s="143"/>
      <c r="C52" s="130">
        <v>0</v>
      </c>
      <c r="D52" s="130">
        <v>131646</v>
      </c>
      <c r="E52" s="130">
        <v>0</v>
      </c>
      <c r="F52" s="130">
        <v>0</v>
      </c>
      <c r="G52" s="130">
        <v>0</v>
      </c>
      <c r="H52" s="130">
        <v>0</v>
      </c>
      <c r="I52" s="130">
        <v>0</v>
      </c>
      <c r="J52" s="176">
        <f>'CF Assumptions'!J35</f>
        <v>0</v>
      </c>
      <c r="K52" s="176">
        <f>'CF Assumptions'!K35</f>
        <v>0</v>
      </c>
      <c r="L52" s="176">
        <f>'CF Assumptions'!L35</f>
        <v>0</v>
      </c>
      <c r="M52" s="176">
        <f>'CF Assumptions'!M35</f>
        <v>0</v>
      </c>
      <c r="N52" s="176">
        <f>'CF Assumptions'!N35</f>
        <v>0</v>
      </c>
      <c r="O52" s="176">
        <f>'CF Assumptions'!O35</f>
        <v>0</v>
      </c>
      <c r="P52" s="176">
        <f>'CF Assumptions'!P35</f>
        <v>0</v>
      </c>
      <c r="Q52" s="176">
        <f>'CF Assumptions'!Q35</f>
        <v>0</v>
      </c>
      <c r="R52" s="176">
        <f>'CF Assumptions'!R35</f>
        <v>0</v>
      </c>
      <c r="S52" s="176">
        <f>'CF Assumptions'!S35</f>
        <v>0</v>
      </c>
      <c r="T52" s="176">
        <f>'CF Assumptions'!T35</f>
        <v>0</v>
      </c>
      <c r="U52" s="176">
        <f>'CF Assumptions'!U35</f>
        <v>0</v>
      </c>
      <c r="V52" s="87"/>
      <c r="W52" s="87"/>
      <c r="X52" s="87"/>
      <c r="Y52" s="87"/>
      <c r="Z52" s="87"/>
      <c r="AA52" s="87"/>
      <c r="AB52" s="87"/>
    </row>
    <row r="53" spans="1:28" ht="13.8">
      <c r="A53" s="143" t="s">
        <v>229</v>
      </c>
      <c r="B53" s="143"/>
      <c r="C53" s="182"/>
      <c r="D53" s="182"/>
      <c r="E53" s="182"/>
      <c r="F53" s="182"/>
      <c r="G53" s="182"/>
      <c r="H53" s="182"/>
      <c r="I53" s="182"/>
      <c r="J53" s="199">
        <f>'BS Assumptions'!J62</f>
        <v>0</v>
      </c>
      <c r="K53" s="199">
        <f>'BS Assumptions'!K62</f>
        <v>0</v>
      </c>
      <c r="L53" s="199">
        <f>'BS Assumptions'!L62</f>
        <v>0</v>
      </c>
      <c r="M53" s="199">
        <f>'BS Assumptions'!M62</f>
        <v>0</v>
      </c>
      <c r="N53" s="199">
        <f>'BS Assumptions'!N62</f>
        <v>0</v>
      </c>
      <c r="O53" s="199">
        <f>'BS Assumptions'!O62</f>
        <v>0</v>
      </c>
      <c r="P53" s="199">
        <f>'BS Assumptions'!P62</f>
        <v>0</v>
      </c>
      <c r="Q53" s="199">
        <f>'BS Assumptions'!Q62</f>
        <v>0</v>
      </c>
      <c r="R53" s="199">
        <f>'BS Assumptions'!R62</f>
        <v>0</v>
      </c>
      <c r="S53" s="199">
        <f>'BS Assumptions'!S62</f>
        <v>0</v>
      </c>
      <c r="T53" s="199">
        <f>'BS Assumptions'!T62</f>
        <v>0</v>
      </c>
      <c r="U53" s="199">
        <f>'BS Assumptions'!U62</f>
        <v>0</v>
      </c>
      <c r="V53" s="87"/>
      <c r="W53" s="87"/>
      <c r="X53" s="87"/>
      <c r="Y53" s="87"/>
      <c r="Z53" s="87"/>
      <c r="AA53" s="87"/>
      <c r="AB53" s="87"/>
    </row>
    <row r="54" spans="1:28" ht="13.8">
      <c r="A54" s="143" t="s">
        <v>230</v>
      </c>
      <c r="B54" s="143"/>
      <c r="C54" s="182"/>
      <c r="D54" s="182"/>
      <c r="E54" s="180"/>
      <c r="F54" s="180"/>
      <c r="G54" s="180"/>
      <c r="H54" s="180"/>
      <c r="I54" s="182"/>
      <c r="J54" s="199">
        <f>-('Balance Sheet'!I40-'Balance Sheet'!J40+J7+J11)</f>
        <v>301393.45129829249</v>
      </c>
      <c r="K54" s="199">
        <f>-('Balance Sheet'!J40-'Balance Sheet'!K40+K7+K11)</f>
        <v>799316.33759162715</v>
      </c>
      <c r="L54" s="199">
        <f>-('Balance Sheet'!K40-'Balance Sheet'!L40+L7+L11)</f>
        <v>268876.9711113543</v>
      </c>
      <c r="M54" s="199">
        <f>-('Balance Sheet'!L40-'Balance Sheet'!M40+M7+M11)</f>
        <v>129418.9146039529</v>
      </c>
      <c r="N54" s="199">
        <f>-('Balance Sheet'!M40-'Balance Sheet'!N40+N7+N11)</f>
        <v>-192601.62611737044</v>
      </c>
      <c r="O54" s="199">
        <f>-('Balance Sheet'!N40-'Balance Sheet'!O40+O7+O11)</f>
        <v>-552803.64779898908</v>
      </c>
      <c r="P54" s="199">
        <f>-('Balance Sheet'!O40-'Balance Sheet'!P40+P7+P11)</f>
        <v>-898075.44963815715</v>
      </c>
      <c r="Q54" s="199">
        <f>-('Balance Sheet'!P40-'Balance Sheet'!Q40+Q7+Q11)</f>
        <v>-1126392.1036344247</v>
      </c>
      <c r="R54" s="199">
        <f>-('Balance Sheet'!Q40-'Balance Sheet'!R40+R7+R11)</f>
        <v>-1153860.2058786524</v>
      </c>
      <c r="S54" s="199">
        <f>-('Balance Sheet'!R40-'Balance Sheet'!S40+S7+S11)</f>
        <v>-1144184.5655559248</v>
      </c>
      <c r="T54" s="199">
        <f>-('Balance Sheet'!S40-'Balance Sheet'!T40+T7+T11)</f>
        <v>-1208153.3116906795</v>
      </c>
      <c r="U54" s="199">
        <f>-('Balance Sheet'!T40-'Balance Sheet'!U40+U7+U11)</f>
        <v>-1275171.9852751882</v>
      </c>
      <c r="V54" s="87"/>
      <c r="W54" s="87"/>
      <c r="X54" s="87"/>
      <c r="Y54" s="87"/>
      <c r="Z54" s="87"/>
      <c r="AA54" s="87"/>
      <c r="AB54" s="87"/>
    </row>
    <row r="55" spans="1:28" ht="13.8">
      <c r="A55" s="143" t="s">
        <v>231</v>
      </c>
      <c r="B55" s="143"/>
      <c r="C55" s="179">
        <f t="shared" ref="C55:I55" si="3">SUM(C46:C52)</f>
        <v>-156</v>
      </c>
      <c r="D55" s="179">
        <f t="shared" si="3"/>
        <v>117664</v>
      </c>
      <c r="E55" s="179">
        <f t="shared" si="3"/>
        <v>24525</v>
      </c>
      <c r="F55" s="179">
        <f t="shared" si="3"/>
        <v>458328</v>
      </c>
      <c r="G55" s="179">
        <f t="shared" si="3"/>
        <v>509048</v>
      </c>
      <c r="H55" s="179">
        <f t="shared" si="3"/>
        <v>1003147</v>
      </c>
      <c r="I55" s="179">
        <f t="shared" si="3"/>
        <v>8357</v>
      </c>
      <c r="J55" s="179">
        <f t="shared" ref="J55:U55" si="4">SUM(J46:J54)</f>
        <v>301393.45129829249</v>
      </c>
      <c r="K55" s="179">
        <f t="shared" si="4"/>
        <v>799316.33759162715</v>
      </c>
      <c r="L55" s="179">
        <f t="shared" si="4"/>
        <v>268876.9711113543</v>
      </c>
      <c r="M55" s="179">
        <f t="shared" si="4"/>
        <v>129418.9146039529</v>
      </c>
      <c r="N55" s="179">
        <f t="shared" si="4"/>
        <v>-192601.62611737044</v>
      </c>
      <c r="O55" s="179">
        <f t="shared" si="4"/>
        <v>-552803.64779898908</v>
      </c>
      <c r="P55" s="179">
        <f t="shared" si="4"/>
        <v>-898075.44963815715</v>
      </c>
      <c r="Q55" s="179">
        <f t="shared" si="4"/>
        <v>-1126392.1036344247</v>
      </c>
      <c r="R55" s="179">
        <f t="shared" si="4"/>
        <v>-1153860.2058786524</v>
      </c>
      <c r="S55" s="179">
        <f t="shared" si="4"/>
        <v>-1144184.5655559248</v>
      </c>
      <c r="T55" s="179">
        <f t="shared" si="4"/>
        <v>-1208153.3116906795</v>
      </c>
      <c r="U55" s="179">
        <f t="shared" si="4"/>
        <v>-1275171.9852751882</v>
      </c>
      <c r="V55" s="87"/>
      <c r="W55" s="87"/>
      <c r="X55" s="87"/>
      <c r="Y55" s="87"/>
      <c r="Z55" s="87"/>
      <c r="AA55" s="87"/>
      <c r="AB55" s="87"/>
    </row>
    <row r="56" spans="1:28" ht="13.8">
      <c r="A56" s="143"/>
      <c r="B56" s="143"/>
      <c r="C56" s="147"/>
      <c r="D56" s="147"/>
      <c r="E56" s="147"/>
      <c r="F56" s="147"/>
      <c r="G56" s="147"/>
      <c r="H56" s="147"/>
      <c r="I56" s="148"/>
      <c r="J56" s="143"/>
      <c r="K56" s="143"/>
      <c r="L56" s="143"/>
      <c r="M56" s="143"/>
      <c r="N56" s="143"/>
      <c r="O56" s="143"/>
      <c r="P56" s="143"/>
      <c r="Q56" s="143"/>
      <c r="R56" s="143"/>
      <c r="S56" s="143"/>
      <c r="T56" s="143"/>
      <c r="U56" s="143"/>
      <c r="V56" s="87"/>
      <c r="W56" s="87"/>
      <c r="X56" s="87"/>
      <c r="Y56" s="87"/>
      <c r="Z56" s="87"/>
      <c r="AA56" s="87"/>
      <c r="AB56" s="87"/>
    </row>
    <row r="57" spans="1:28" ht="13.8">
      <c r="A57" s="143" t="s">
        <v>232</v>
      </c>
      <c r="B57" s="143"/>
      <c r="C57" s="147">
        <v>-41186</v>
      </c>
      <c r="D57" s="147">
        <v>142688</v>
      </c>
      <c r="E57" s="147">
        <v>-21686</v>
      </c>
      <c r="F57" s="147">
        <v>361740</v>
      </c>
      <c r="G57" s="147">
        <v>575916</v>
      </c>
      <c r="H57" s="147">
        <v>1054409</v>
      </c>
      <c r="I57" s="148">
        <v>-181544</v>
      </c>
      <c r="J57" s="148">
        <f t="shared" ref="J57:U57" si="5">J55+J43+J32</f>
        <v>-235401.8332399709</v>
      </c>
      <c r="K57" s="148">
        <f t="shared" si="5"/>
        <v>254908.85936822975</v>
      </c>
      <c r="L57" s="148">
        <f t="shared" si="5"/>
        <v>299138.70182504947</v>
      </c>
      <c r="M57" s="148">
        <f t="shared" si="5"/>
        <v>324650.29182493768</v>
      </c>
      <c r="N57" s="148">
        <f t="shared" si="5"/>
        <v>326505.10505672195</v>
      </c>
      <c r="O57" s="148">
        <f t="shared" si="5"/>
        <v>299997.49105707044</v>
      </c>
      <c r="P57" s="148">
        <f t="shared" si="5"/>
        <v>238034.47939324751</v>
      </c>
      <c r="Q57" s="148">
        <f t="shared" si="5"/>
        <v>190658.77252261131</v>
      </c>
      <c r="R57" s="148">
        <f t="shared" si="5"/>
        <v>177505.70045725931</v>
      </c>
      <c r="S57" s="148">
        <f t="shared" si="5"/>
        <v>183965.99447670509</v>
      </c>
      <c r="T57" s="148">
        <f t="shared" si="5"/>
        <v>195754.87767640874</v>
      </c>
      <c r="U57" s="148">
        <f t="shared" si="5"/>
        <v>207766.77164210775</v>
      </c>
      <c r="V57" s="87"/>
      <c r="W57" s="87"/>
      <c r="X57" s="87"/>
      <c r="Y57" s="87"/>
      <c r="Z57" s="87"/>
      <c r="AA57" s="87"/>
      <c r="AB57" s="87"/>
    </row>
    <row r="58" spans="1:28" ht="13.8">
      <c r="A58" s="143" t="s">
        <v>233</v>
      </c>
      <c r="B58" s="143"/>
      <c r="C58" s="147">
        <v>0</v>
      </c>
      <c r="D58" s="147">
        <v>0</v>
      </c>
      <c r="E58" s="147">
        <v>0</v>
      </c>
      <c r="F58" s="147">
        <v>29</v>
      </c>
      <c r="G58" s="147">
        <v>0</v>
      </c>
      <c r="H58" s="147">
        <v>12</v>
      </c>
      <c r="I58" s="148">
        <v>-4170</v>
      </c>
      <c r="J58" s="176">
        <f>'CF Assumptions'!J37</f>
        <v>0</v>
      </c>
      <c r="K58" s="176">
        <f>'CF Assumptions'!K37</f>
        <v>0</v>
      </c>
      <c r="L58" s="176">
        <f>'CF Assumptions'!L37</f>
        <v>0</v>
      </c>
      <c r="M58" s="176">
        <f>'CF Assumptions'!M37</f>
        <v>0</v>
      </c>
      <c r="N58" s="176">
        <f>'CF Assumptions'!N37</f>
        <v>0</v>
      </c>
      <c r="O58" s="176">
        <f>'CF Assumptions'!O37</f>
        <v>0</v>
      </c>
      <c r="P58" s="176">
        <f>'CF Assumptions'!P37</f>
        <v>0</v>
      </c>
      <c r="Q58" s="176">
        <f>'CF Assumptions'!Q37</f>
        <v>0</v>
      </c>
      <c r="R58" s="176">
        <f>'CF Assumptions'!R37</f>
        <v>0</v>
      </c>
      <c r="S58" s="176">
        <f>'CF Assumptions'!S37</f>
        <v>0</v>
      </c>
      <c r="T58" s="176">
        <f>'CF Assumptions'!T37</f>
        <v>0</v>
      </c>
      <c r="U58" s="176">
        <f>'CF Assumptions'!U37</f>
        <v>0</v>
      </c>
      <c r="V58" s="87"/>
      <c r="W58" s="87"/>
      <c r="X58" s="87"/>
      <c r="Y58" s="87"/>
      <c r="Z58" s="87"/>
      <c r="AA58" s="87"/>
      <c r="AB58" s="87"/>
    </row>
    <row r="59" spans="1:28" ht="13.8">
      <c r="A59" s="143" t="s">
        <v>234</v>
      </c>
      <c r="B59" s="143"/>
      <c r="C59" s="147">
        <v>75748</v>
      </c>
      <c r="D59" s="147">
        <v>34562</v>
      </c>
      <c r="E59" s="159">
        <v>177250</v>
      </c>
      <c r="F59" s="159">
        <v>155564</v>
      </c>
      <c r="G59" s="159">
        <v>517333</v>
      </c>
      <c r="H59" s="159">
        <v>1093249</v>
      </c>
      <c r="I59" s="148">
        <v>2147670</v>
      </c>
      <c r="J59" s="158">
        <f t="shared" ref="J59:U59" si="6">I60</f>
        <v>1961956</v>
      </c>
      <c r="K59" s="158">
        <f t="shared" si="6"/>
        <v>1726554.166760029</v>
      </c>
      <c r="L59" s="158">
        <f t="shared" si="6"/>
        <v>1981463.0261282588</v>
      </c>
      <c r="M59" s="158">
        <f t="shared" si="6"/>
        <v>2280601.7279533083</v>
      </c>
      <c r="N59" s="158">
        <f t="shared" si="6"/>
        <v>2605252.0197782461</v>
      </c>
      <c r="O59" s="158">
        <f t="shared" si="6"/>
        <v>2931757.1248349678</v>
      </c>
      <c r="P59" s="158">
        <f t="shared" si="6"/>
        <v>3231754.6158920382</v>
      </c>
      <c r="Q59" s="158">
        <f t="shared" si="6"/>
        <v>3469789.0952852857</v>
      </c>
      <c r="R59" s="158">
        <f t="shared" si="6"/>
        <v>3660447.8678078968</v>
      </c>
      <c r="S59" s="158">
        <f t="shared" si="6"/>
        <v>3837953.5682651559</v>
      </c>
      <c r="T59" s="158">
        <f t="shared" si="6"/>
        <v>4021919.5627418607</v>
      </c>
      <c r="U59" s="158">
        <f t="shared" si="6"/>
        <v>4217674.4404182695</v>
      </c>
      <c r="V59" s="87"/>
      <c r="W59" s="87"/>
      <c r="X59" s="87"/>
      <c r="Y59" s="87"/>
      <c r="Z59" s="87"/>
      <c r="AA59" s="87"/>
      <c r="AB59" s="87"/>
    </row>
    <row r="60" spans="1:28" ht="13.8">
      <c r="A60" s="169" t="s">
        <v>235</v>
      </c>
      <c r="B60" s="143"/>
      <c r="C60" s="206">
        <f t="shared" ref="C60:U60" si="7">SUM(C57:C59)</f>
        <v>34562</v>
      </c>
      <c r="D60" s="206">
        <f t="shared" si="7"/>
        <v>177250</v>
      </c>
      <c r="E60" s="206">
        <f t="shared" si="7"/>
        <v>155564</v>
      </c>
      <c r="F60" s="206">
        <f t="shared" si="7"/>
        <v>517333</v>
      </c>
      <c r="G60" s="206">
        <f t="shared" si="7"/>
        <v>1093249</v>
      </c>
      <c r="H60" s="206">
        <f t="shared" si="7"/>
        <v>2147670</v>
      </c>
      <c r="I60" s="206">
        <f t="shared" si="7"/>
        <v>1961956</v>
      </c>
      <c r="J60" s="206">
        <f t="shared" si="7"/>
        <v>1726554.166760029</v>
      </c>
      <c r="K60" s="206">
        <f t="shared" si="7"/>
        <v>1981463.0261282588</v>
      </c>
      <c r="L60" s="206">
        <f t="shared" si="7"/>
        <v>2280601.7279533083</v>
      </c>
      <c r="M60" s="206">
        <f t="shared" si="7"/>
        <v>2605252.0197782461</v>
      </c>
      <c r="N60" s="206">
        <f t="shared" si="7"/>
        <v>2931757.1248349678</v>
      </c>
      <c r="O60" s="206">
        <f t="shared" si="7"/>
        <v>3231754.6158920382</v>
      </c>
      <c r="P60" s="206">
        <f t="shared" si="7"/>
        <v>3469789.0952852857</v>
      </c>
      <c r="Q60" s="206">
        <f t="shared" si="7"/>
        <v>3660447.8678078968</v>
      </c>
      <c r="R60" s="206">
        <f t="shared" si="7"/>
        <v>3837953.5682651559</v>
      </c>
      <c r="S60" s="206">
        <f t="shared" si="7"/>
        <v>4021919.5627418607</v>
      </c>
      <c r="T60" s="206">
        <f t="shared" si="7"/>
        <v>4217674.4404182695</v>
      </c>
      <c r="U60" s="206">
        <f t="shared" si="7"/>
        <v>4425441.212060377</v>
      </c>
      <c r="V60" s="87"/>
      <c r="W60" s="87"/>
      <c r="X60" s="87"/>
      <c r="Y60" s="87"/>
      <c r="Z60" s="87"/>
      <c r="AA60" s="87"/>
      <c r="AB60" s="87"/>
    </row>
    <row r="61" spans="1:28" ht="13.8">
      <c r="A61" s="143"/>
      <c r="B61" s="143"/>
      <c r="C61" s="148"/>
      <c r="D61" s="148"/>
      <c r="E61" s="148"/>
      <c r="F61" s="148"/>
      <c r="G61" s="148"/>
      <c r="H61" s="148"/>
      <c r="I61" s="148"/>
      <c r="J61" s="143"/>
      <c r="K61" s="143"/>
      <c r="L61" s="143"/>
      <c r="M61" s="143"/>
      <c r="N61" s="143"/>
      <c r="O61" s="143"/>
      <c r="P61" s="143"/>
      <c r="Q61" s="143"/>
      <c r="R61" s="143"/>
      <c r="S61" s="143"/>
      <c r="T61" s="143"/>
      <c r="U61" s="143"/>
      <c r="V61" s="87"/>
      <c r="W61" s="87"/>
      <c r="X61" s="87"/>
      <c r="Y61" s="87"/>
      <c r="Z61" s="87"/>
      <c r="AA61" s="87"/>
      <c r="AB61" s="87"/>
    </row>
    <row r="62" spans="1:28" ht="13.8">
      <c r="A62" s="169" t="s">
        <v>236</v>
      </c>
      <c r="B62" s="143"/>
      <c r="C62" s="148"/>
      <c r="D62" s="148"/>
      <c r="E62" s="148"/>
      <c r="F62" s="148"/>
      <c r="G62" s="148"/>
      <c r="H62" s="148"/>
      <c r="I62" s="148"/>
      <c r="J62" s="143"/>
      <c r="K62" s="143"/>
      <c r="L62" s="143"/>
      <c r="M62" s="143"/>
      <c r="N62" s="143"/>
      <c r="O62" s="143"/>
      <c r="P62" s="143"/>
      <c r="Q62" s="143"/>
      <c r="R62" s="143"/>
      <c r="S62" s="143"/>
      <c r="T62" s="143"/>
      <c r="U62" s="143"/>
      <c r="V62" s="87"/>
      <c r="W62" s="87"/>
      <c r="X62" s="87"/>
      <c r="Y62" s="87"/>
      <c r="Z62" s="87"/>
      <c r="AA62" s="87"/>
      <c r="AB62" s="87"/>
    </row>
    <row r="63" spans="1:28" ht="13.8">
      <c r="A63" s="143" t="s">
        <v>164</v>
      </c>
      <c r="B63" s="143"/>
      <c r="C63" s="147">
        <f>'Balance Sheet'!C8</f>
        <v>34562</v>
      </c>
      <c r="D63" s="147">
        <f>'Balance Sheet'!D8</f>
        <v>177250</v>
      </c>
      <c r="E63" s="147">
        <f>'Balance Sheet'!E8</f>
        <v>155564</v>
      </c>
      <c r="F63" s="147">
        <f>'Balance Sheet'!F8</f>
        <v>515479</v>
      </c>
      <c r="G63" s="147">
        <f>'Balance Sheet'!G8</f>
        <v>1092815</v>
      </c>
      <c r="H63" s="147">
        <f>'Balance Sheet'!H8</f>
        <v>2146043</v>
      </c>
      <c r="I63" s="147">
        <f>'Balance Sheet'!I8</f>
        <v>1961956</v>
      </c>
      <c r="J63" s="158">
        <f t="shared" ref="J63:U63" si="8">J60</f>
        <v>1726554.166760029</v>
      </c>
      <c r="K63" s="158">
        <f t="shared" si="8"/>
        <v>1981463.0261282588</v>
      </c>
      <c r="L63" s="158">
        <f t="shared" si="8"/>
        <v>2280601.7279533083</v>
      </c>
      <c r="M63" s="158">
        <f t="shared" si="8"/>
        <v>2605252.0197782461</v>
      </c>
      <c r="N63" s="158">
        <f t="shared" si="8"/>
        <v>2931757.1248349678</v>
      </c>
      <c r="O63" s="158">
        <f t="shared" si="8"/>
        <v>3231754.6158920382</v>
      </c>
      <c r="P63" s="158">
        <f t="shared" si="8"/>
        <v>3469789.0952852857</v>
      </c>
      <c r="Q63" s="158">
        <f t="shared" si="8"/>
        <v>3660447.8678078968</v>
      </c>
      <c r="R63" s="158">
        <f t="shared" si="8"/>
        <v>3837953.5682651559</v>
      </c>
      <c r="S63" s="158">
        <f t="shared" si="8"/>
        <v>4021919.5627418607</v>
      </c>
      <c r="T63" s="158">
        <f t="shared" si="8"/>
        <v>4217674.4404182695</v>
      </c>
      <c r="U63" s="158">
        <f t="shared" si="8"/>
        <v>4425441.212060377</v>
      </c>
      <c r="V63" s="87"/>
      <c r="W63" s="87"/>
      <c r="X63" s="87"/>
      <c r="Y63" s="87"/>
      <c r="Z63" s="87"/>
      <c r="AA63" s="87"/>
      <c r="AB63" s="87"/>
    </row>
    <row r="64" spans="1:28" ht="13.8">
      <c r="A64" s="143" t="s">
        <v>237</v>
      </c>
      <c r="B64" s="143"/>
      <c r="C64" s="147">
        <v>0</v>
      </c>
      <c r="D64" s="147">
        <v>0</v>
      </c>
      <c r="E64" s="147">
        <v>0</v>
      </c>
      <c r="F64" s="147">
        <v>1854</v>
      </c>
      <c r="G64" s="147">
        <v>434</v>
      </c>
      <c r="H64" s="147">
        <v>0</v>
      </c>
      <c r="I64" s="148">
        <v>0</v>
      </c>
      <c r="J64" s="176">
        <f>'CF Assumptions'!J39</f>
        <v>0</v>
      </c>
      <c r="K64" s="176">
        <f>'CF Assumptions'!K39</f>
        <v>0</v>
      </c>
      <c r="L64" s="176">
        <f>'CF Assumptions'!L39</f>
        <v>0</v>
      </c>
      <c r="M64" s="176">
        <f>'CF Assumptions'!M39</f>
        <v>0</v>
      </c>
      <c r="N64" s="176">
        <f>'CF Assumptions'!N39</f>
        <v>0</v>
      </c>
      <c r="O64" s="176">
        <f>'CF Assumptions'!O39</f>
        <v>0</v>
      </c>
      <c r="P64" s="176">
        <f>'CF Assumptions'!P39</f>
        <v>0</v>
      </c>
      <c r="Q64" s="176">
        <f>'CF Assumptions'!Q39</f>
        <v>0</v>
      </c>
      <c r="R64" s="176">
        <f>'CF Assumptions'!R39</f>
        <v>0</v>
      </c>
      <c r="S64" s="176">
        <f>'CF Assumptions'!S39</f>
        <v>0</v>
      </c>
      <c r="T64" s="176">
        <f>'CF Assumptions'!T39</f>
        <v>0</v>
      </c>
      <c r="U64" s="176">
        <f>'CF Assumptions'!U39</f>
        <v>0</v>
      </c>
      <c r="V64" s="87"/>
      <c r="W64" s="87"/>
      <c r="X64" s="87"/>
      <c r="Y64" s="87"/>
      <c r="Z64" s="87"/>
      <c r="AA64" s="87"/>
      <c r="AB64" s="87"/>
    </row>
    <row r="65" spans="1:28" ht="13.8">
      <c r="A65" s="143" t="s">
        <v>238</v>
      </c>
      <c r="B65" s="143"/>
      <c r="C65" s="147">
        <v>0</v>
      </c>
      <c r="D65" s="147"/>
      <c r="E65" s="147">
        <v>0</v>
      </c>
      <c r="F65" s="147">
        <v>0</v>
      </c>
      <c r="G65" s="147">
        <v>0</v>
      </c>
      <c r="H65" s="147">
        <v>1627</v>
      </c>
      <c r="I65" s="148">
        <v>0</v>
      </c>
      <c r="J65" s="176">
        <f>'CF Assumptions'!J39</f>
        <v>0</v>
      </c>
      <c r="K65" s="176">
        <f>'CF Assumptions'!K39</f>
        <v>0</v>
      </c>
      <c r="L65" s="176">
        <f>'CF Assumptions'!L39</f>
        <v>0</v>
      </c>
      <c r="M65" s="176">
        <f>'CF Assumptions'!M39</f>
        <v>0</v>
      </c>
      <c r="N65" s="176">
        <f>'CF Assumptions'!N39</f>
        <v>0</v>
      </c>
      <c r="O65" s="176">
        <f>'CF Assumptions'!O39</f>
        <v>0</v>
      </c>
      <c r="P65" s="176">
        <f>'CF Assumptions'!P39</f>
        <v>0</v>
      </c>
      <c r="Q65" s="176">
        <f>'CF Assumptions'!Q39</f>
        <v>0</v>
      </c>
      <c r="R65" s="176">
        <f>'CF Assumptions'!R39</f>
        <v>0</v>
      </c>
      <c r="S65" s="176">
        <f>'CF Assumptions'!S39</f>
        <v>0</v>
      </c>
      <c r="T65" s="176">
        <f>'CF Assumptions'!T39</f>
        <v>0</v>
      </c>
      <c r="U65" s="176">
        <f>'CF Assumptions'!U39</f>
        <v>0</v>
      </c>
      <c r="V65" s="87"/>
      <c r="W65" s="87"/>
      <c r="X65" s="87"/>
      <c r="Y65" s="87"/>
      <c r="Z65" s="87"/>
      <c r="AA65" s="87"/>
      <c r="AB65" s="87"/>
    </row>
    <row r="66" spans="1:28" ht="13.8">
      <c r="A66" s="143" t="s">
        <v>239</v>
      </c>
      <c r="B66" s="143"/>
      <c r="C66" s="206">
        <f t="shared" ref="C66:U66" si="9">SUM(C63:C65)</f>
        <v>34562</v>
      </c>
      <c r="D66" s="206">
        <f t="shared" si="9"/>
        <v>177250</v>
      </c>
      <c r="E66" s="206">
        <f t="shared" si="9"/>
        <v>155564</v>
      </c>
      <c r="F66" s="206">
        <f t="shared" si="9"/>
        <v>517333</v>
      </c>
      <c r="G66" s="206">
        <f t="shared" si="9"/>
        <v>1093249</v>
      </c>
      <c r="H66" s="206">
        <f t="shared" si="9"/>
        <v>2147670</v>
      </c>
      <c r="I66" s="206">
        <f t="shared" si="9"/>
        <v>1961956</v>
      </c>
      <c r="J66" s="206">
        <f t="shared" si="9"/>
        <v>1726554.166760029</v>
      </c>
      <c r="K66" s="206">
        <f t="shared" si="9"/>
        <v>1981463.0261282588</v>
      </c>
      <c r="L66" s="206">
        <f t="shared" si="9"/>
        <v>2280601.7279533083</v>
      </c>
      <c r="M66" s="206">
        <f t="shared" si="9"/>
        <v>2605252.0197782461</v>
      </c>
      <c r="N66" s="206">
        <f t="shared" si="9"/>
        <v>2931757.1248349678</v>
      </c>
      <c r="O66" s="206">
        <f t="shared" si="9"/>
        <v>3231754.6158920382</v>
      </c>
      <c r="P66" s="206">
        <f t="shared" si="9"/>
        <v>3469789.0952852857</v>
      </c>
      <c r="Q66" s="206">
        <f t="shared" si="9"/>
        <v>3660447.8678078968</v>
      </c>
      <c r="R66" s="206">
        <f t="shared" si="9"/>
        <v>3837953.5682651559</v>
      </c>
      <c r="S66" s="206">
        <f t="shared" si="9"/>
        <v>4021919.5627418607</v>
      </c>
      <c r="T66" s="206">
        <f t="shared" si="9"/>
        <v>4217674.4404182695</v>
      </c>
      <c r="U66" s="206">
        <f t="shared" si="9"/>
        <v>4425441.212060377</v>
      </c>
      <c r="V66" s="87"/>
      <c r="W66" s="87"/>
      <c r="X66" s="87"/>
      <c r="Y66" s="87"/>
      <c r="Z66" s="87"/>
      <c r="AA66" s="87"/>
      <c r="AB66" s="87"/>
    </row>
    <row r="67" spans="1:28" ht="13.8">
      <c r="A67" s="143"/>
      <c r="B67" s="143"/>
      <c r="C67" s="87"/>
      <c r="D67" s="87"/>
      <c r="E67" s="87"/>
      <c r="F67" s="87"/>
      <c r="G67" s="87"/>
      <c r="H67" s="87"/>
      <c r="I67" s="170" t="s">
        <v>240</v>
      </c>
      <c r="J67" s="143">
        <f>J66-'Balance Sheet'!J8</f>
        <v>0</v>
      </c>
      <c r="K67" s="143">
        <f>K66-'Balance Sheet'!K8</f>
        <v>0</v>
      </c>
      <c r="L67" s="143">
        <f>L66-'Balance Sheet'!L8</f>
        <v>0</v>
      </c>
      <c r="M67" s="143">
        <f>M66-'Balance Sheet'!M8</f>
        <v>0</v>
      </c>
      <c r="N67" s="143">
        <f>N66-'Balance Sheet'!N8</f>
        <v>0</v>
      </c>
      <c r="O67" s="143">
        <f>O66-'Balance Sheet'!O8</f>
        <v>0</v>
      </c>
      <c r="P67" s="143">
        <f>P66-'Balance Sheet'!P8</f>
        <v>0</v>
      </c>
      <c r="Q67" s="143">
        <f>Q66-'Balance Sheet'!Q8</f>
        <v>0</v>
      </c>
      <c r="R67" s="143">
        <f>R66-'Balance Sheet'!R8</f>
        <v>0</v>
      </c>
      <c r="S67" s="143">
        <f>S66-'Balance Sheet'!S8</f>
        <v>0</v>
      </c>
      <c r="T67" s="143">
        <f>T66-'Balance Sheet'!T8</f>
        <v>0</v>
      </c>
      <c r="U67" s="143">
        <f>U66-'Balance Sheet'!U8</f>
        <v>0</v>
      </c>
      <c r="V67" s="87"/>
      <c r="W67" s="87"/>
      <c r="X67" s="87"/>
      <c r="Y67" s="87"/>
      <c r="Z67" s="87"/>
      <c r="AA67" s="87"/>
      <c r="AB67" s="87"/>
    </row>
    <row r="68" spans="1:28" ht="13.8">
      <c r="A68" s="87"/>
      <c r="B68" s="87"/>
      <c r="C68" s="207"/>
      <c r="D68" s="207"/>
      <c r="E68" s="207"/>
      <c r="F68" s="207"/>
      <c r="G68" s="207"/>
      <c r="H68" s="207"/>
      <c r="I68" s="207"/>
      <c r="J68" s="207"/>
      <c r="K68" s="207"/>
      <c r="L68" s="207"/>
      <c r="M68" s="207"/>
      <c r="N68" s="207"/>
      <c r="O68" s="207"/>
      <c r="P68" s="207"/>
      <c r="Q68" s="207"/>
      <c r="R68" s="87"/>
      <c r="S68" s="87"/>
      <c r="T68" s="87"/>
      <c r="U68" s="87"/>
      <c r="V68" s="87"/>
      <c r="W68" s="87"/>
      <c r="X68" s="87"/>
      <c r="Y68" s="87"/>
      <c r="Z68" s="87"/>
      <c r="AA68" s="87"/>
      <c r="AB68" s="87"/>
    </row>
    <row r="69" spans="1:28" ht="13.8">
      <c r="A69" s="87"/>
      <c r="B69" s="87"/>
      <c r="C69" s="207"/>
      <c r="D69" s="207"/>
      <c r="E69" s="102">
        <v>2018</v>
      </c>
      <c r="F69" s="102">
        <v>2019</v>
      </c>
      <c r="G69" s="102">
        <v>2020</v>
      </c>
      <c r="H69" s="102">
        <v>2021</v>
      </c>
      <c r="I69" s="102">
        <v>2022</v>
      </c>
      <c r="J69" s="102">
        <v>2023</v>
      </c>
      <c r="K69" s="102">
        <v>2024</v>
      </c>
      <c r="L69" s="102">
        <v>2025</v>
      </c>
      <c r="M69" s="102">
        <v>2026</v>
      </c>
      <c r="N69" s="102">
        <v>2027</v>
      </c>
      <c r="O69" s="102">
        <v>2028</v>
      </c>
      <c r="P69" s="102">
        <v>2029</v>
      </c>
      <c r="Q69" s="102">
        <v>2030</v>
      </c>
      <c r="R69" s="87"/>
      <c r="S69" s="87"/>
      <c r="T69" s="87"/>
      <c r="U69" s="87"/>
      <c r="V69" s="87"/>
      <c r="W69" s="87"/>
      <c r="X69" s="87"/>
      <c r="Y69" s="87"/>
      <c r="Z69" s="87"/>
      <c r="AA69" s="87"/>
      <c r="AB69" s="87"/>
    </row>
    <row r="70" spans="1:28" ht="13.8">
      <c r="A70" s="88" t="s">
        <v>241</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row>
    <row r="71" spans="1:28" ht="13.8">
      <c r="A71" s="87" t="s">
        <v>242</v>
      </c>
      <c r="B71" s="87"/>
      <c r="C71" s="143"/>
      <c r="D71" s="143"/>
      <c r="E71" s="188"/>
      <c r="F71" s="188">
        <v>3095</v>
      </c>
      <c r="G71" s="188">
        <v>3470</v>
      </c>
      <c r="H71" s="188">
        <v>2578</v>
      </c>
      <c r="I71" s="188">
        <v>3894</v>
      </c>
      <c r="J71" s="188"/>
      <c r="K71" s="188"/>
      <c r="L71" s="188"/>
      <c r="M71" s="188"/>
      <c r="N71" s="188"/>
      <c r="O71" s="188"/>
      <c r="P71" s="188"/>
      <c r="Q71" s="188"/>
      <c r="R71" s="143"/>
      <c r="S71" s="143"/>
      <c r="T71" s="143"/>
      <c r="U71" s="87"/>
      <c r="V71" s="87"/>
      <c r="W71" s="87"/>
      <c r="X71" s="87"/>
      <c r="Y71" s="87"/>
      <c r="Z71" s="87"/>
      <c r="AA71" s="87"/>
      <c r="AB71" s="87"/>
    </row>
    <row r="72" spans="1:28" ht="13.8">
      <c r="A72" s="87" t="s">
        <v>243</v>
      </c>
      <c r="B72" s="87"/>
      <c r="C72" s="143"/>
      <c r="D72" s="143"/>
      <c r="E72" s="188"/>
      <c r="F72" s="188">
        <v>759</v>
      </c>
      <c r="G72" s="188">
        <v>1014</v>
      </c>
      <c r="H72" s="188">
        <v>1363</v>
      </c>
      <c r="I72" s="188">
        <v>7016</v>
      </c>
      <c r="J72" s="188"/>
      <c r="K72" s="188"/>
      <c r="L72" s="188"/>
      <c r="M72" s="188"/>
      <c r="N72" s="188"/>
      <c r="O72" s="188"/>
      <c r="P72" s="188"/>
      <c r="Q72" s="188"/>
      <c r="R72" s="143"/>
      <c r="S72" s="143"/>
      <c r="T72" s="143"/>
      <c r="U72" s="87"/>
      <c r="V72" s="87"/>
      <c r="W72" s="87"/>
      <c r="X72" s="87"/>
      <c r="Y72" s="87"/>
      <c r="Z72" s="87"/>
      <c r="AA72" s="87"/>
      <c r="AB72" s="87"/>
    </row>
    <row r="73" spans="1:28" ht="13.8">
      <c r="A73" s="87" t="s">
        <v>244</v>
      </c>
      <c r="B73" s="87"/>
      <c r="C73" s="143"/>
      <c r="D73" s="143"/>
      <c r="E73" s="143"/>
      <c r="F73" s="143"/>
      <c r="G73" s="143"/>
      <c r="H73" s="143"/>
      <c r="I73" s="143"/>
      <c r="J73" s="143"/>
      <c r="K73" s="143"/>
      <c r="L73" s="143"/>
      <c r="M73" s="143"/>
      <c r="N73" s="143"/>
      <c r="O73" s="143"/>
      <c r="P73" s="143"/>
      <c r="Q73" s="143"/>
      <c r="R73" s="143"/>
      <c r="S73" s="143"/>
      <c r="T73" s="143"/>
      <c r="U73" s="87"/>
      <c r="V73" s="87"/>
      <c r="W73" s="87"/>
      <c r="X73" s="87"/>
      <c r="Y73" s="87"/>
      <c r="Z73" s="87"/>
      <c r="AA73" s="87"/>
      <c r="AB73" s="87"/>
    </row>
    <row r="74" spans="1:28" ht="13.8">
      <c r="A74" s="87" t="s">
        <v>245</v>
      </c>
      <c r="B74" s="87"/>
      <c r="C74" s="143"/>
      <c r="D74" s="143"/>
      <c r="E74" s="188"/>
      <c r="F74" s="188">
        <v>0</v>
      </c>
      <c r="G74" s="188">
        <v>0</v>
      </c>
      <c r="H74" s="188">
        <v>21400</v>
      </c>
      <c r="I74" s="188">
        <v>0</v>
      </c>
      <c r="J74" s="188"/>
      <c r="K74" s="188"/>
      <c r="L74" s="188"/>
      <c r="M74" s="188"/>
      <c r="N74" s="188"/>
      <c r="O74" s="188"/>
      <c r="P74" s="188"/>
      <c r="Q74" s="188"/>
      <c r="R74" s="143"/>
      <c r="S74" s="143"/>
      <c r="T74" s="143"/>
      <c r="U74" s="87"/>
      <c r="V74" s="87"/>
      <c r="W74" s="87"/>
      <c r="X74" s="87"/>
      <c r="Y74" s="87"/>
      <c r="Z74" s="87"/>
      <c r="AA74" s="87"/>
      <c r="AB74" s="87"/>
    </row>
    <row r="75" spans="1:28" ht="13.8">
      <c r="A75" s="87" t="s">
        <v>246</v>
      </c>
      <c r="B75" s="87"/>
      <c r="C75" s="143"/>
      <c r="D75" s="143"/>
      <c r="E75" s="188"/>
      <c r="F75" s="188">
        <v>0</v>
      </c>
      <c r="G75" s="188">
        <v>0</v>
      </c>
      <c r="H75" s="188">
        <v>6500</v>
      </c>
      <c r="I75" s="188">
        <v>0</v>
      </c>
      <c r="J75" s="188"/>
      <c r="K75" s="188"/>
      <c r="L75" s="188"/>
      <c r="M75" s="188"/>
      <c r="N75" s="188"/>
      <c r="O75" s="188"/>
      <c r="P75" s="188"/>
      <c r="Q75" s="188"/>
      <c r="R75" s="143"/>
      <c r="S75" s="143"/>
      <c r="T75" s="143"/>
      <c r="U75" s="87"/>
      <c r="V75" s="87"/>
      <c r="W75" s="87"/>
      <c r="X75" s="87"/>
      <c r="Y75" s="87"/>
      <c r="Z75" s="87"/>
      <c r="AA75" s="87"/>
      <c r="AB75" s="87"/>
    </row>
    <row r="76" spans="1:28" ht="13.8">
      <c r="A76" s="87" t="s">
        <v>247</v>
      </c>
      <c r="B76" s="87"/>
      <c r="C76" s="143"/>
      <c r="D76" s="143"/>
      <c r="E76" s="188"/>
      <c r="F76" s="188">
        <v>69684</v>
      </c>
      <c r="G76" s="188">
        <v>0</v>
      </c>
      <c r="H76" s="188">
        <v>0</v>
      </c>
      <c r="I76" s="188">
        <v>0</v>
      </c>
      <c r="J76" s="188"/>
      <c r="K76" s="188"/>
      <c r="L76" s="188"/>
      <c r="M76" s="188"/>
      <c r="N76" s="188"/>
      <c r="O76" s="188"/>
      <c r="P76" s="188"/>
      <c r="Q76" s="188"/>
      <c r="R76" s="143"/>
      <c r="S76" s="143"/>
      <c r="T76" s="143"/>
      <c r="U76" s="87"/>
      <c r="V76" s="87"/>
      <c r="W76" s="87"/>
      <c r="X76" s="87"/>
      <c r="Y76" s="87"/>
      <c r="Z76" s="87"/>
      <c r="AA76" s="87"/>
      <c r="AB76" s="87"/>
    </row>
    <row r="77" spans="1:28" ht="13.8">
      <c r="A77" s="87" t="s">
        <v>248</v>
      </c>
      <c r="B77" s="87"/>
      <c r="C77" s="143"/>
      <c r="D77" s="143"/>
      <c r="E77" s="188"/>
      <c r="F77" s="188">
        <v>10762</v>
      </c>
      <c r="G77" s="188">
        <v>1242</v>
      </c>
      <c r="H77" s="188">
        <v>3073</v>
      </c>
      <c r="I77" s="188">
        <v>28503</v>
      </c>
      <c r="J77" s="188"/>
      <c r="K77" s="188"/>
      <c r="L77" s="188"/>
      <c r="M77" s="188"/>
      <c r="N77" s="188"/>
      <c r="O77" s="188"/>
      <c r="P77" s="188"/>
      <c r="Q77" s="188"/>
      <c r="R77" s="143"/>
      <c r="S77" s="143"/>
      <c r="T77" s="143"/>
      <c r="U77" s="87"/>
      <c r="V77" s="87"/>
      <c r="W77" s="87"/>
      <c r="X77" s="87"/>
      <c r="Y77" s="87"/>
      <c r="Z77" s="87"/>
      <c r="AA77" s="87"/>
      <c r="AB77" s="87"/>
    </row>
    <row r="78" spans="1:28" ht="13.8">
      <c r="A78" s="87" t="s">
        <v>249</v>
      </c>
      <c r="B78" s="87"/>
      <c r="C78" s="143"/>
      <c r="D78" s="143"/>
      <c r="E78" s="188"/>
      <c r="F78" s="188">
        <v>2190</v>
      </c>
      <c r="G78" s="188">
        <v>0</v>
      </c>
      <c r="H78" s="188">
        <v>0</v>
      </c>
      <c r="I78" s="188">
        <v>0</v>
      </c>
      <c r="J78" s="188"/>
      <c r="K78" s="188"/>
      <c r="L78" s="188"/>
      <c r="M78" s="188"/>
      <c r="N78" s="188"/>
      <c r="O78" s="188"/>
      <c r="P78" s="188"/>
      <c r="Q78" s="188"/>
      <c r="R78" s="143"/>
      <c r="S78" s="143"/>
      <c r="T78" s="143"/>
      <c r="U78" s="87"/>
      <c r="V78" s="87"/>
      <c r="W78" s="87"/>
      <c r="X78" s="87"/>
      <c r="Y78" s="87"/>
      <c r="Z78" s="87"/>
      <c r="AA78" s="87"/>
      <c r="AB78" s="87"/>
    </row>
    <row r="79" spans="1:28" ht="13.8">
      <c r="A79" s="87" t="s">
        <v>250</v>
      </c>
      <c r="B79" s="87"/>
      <c r="C79" s="143"/>
      <c r="D79" s="143"/>
      <c r="E79" s="188"/>
      <c r="F79" s="188">
        <v>400</v>
      </c>
      <c r="G79" s="188">
        <v>0</v>
      </c>
      <c r="H79" s="188">
        <v>0</v>
      </c>
      <c r="I79" s="188">
        <v>0</v>
      </c>
      <c r="J79" s="188"/>
      <c r="K79" s="188"/>
      <c r="L79" s="188"/>
      <c r="M79" s="188"/>
      <c r="N79" s="188"/>
      <c r="O79" s="188"/>
      <c r="P79" s="188"/>
      <c r="Q79" s="188"/>
      <c r="R79" s="143"/>
      <c r="S79" s="143"/>
      <c r="T79" s="143"/>
      <c r="U79" s="87"/>
      <c r="V79" s="87"/>
      <c r="W79" s="87"/>
      <c r="X79" s="87"/>
      <c r="Y79" s="87"/>
      <c r="Z79" s="87"/>
      <c r="AA79" s="87"/>
      <c r="AB79" s="87"/>
    </row>
    <row r="80" spans="1:28" ht="13.8">
      <c r="A80" s="87" t="s">
        <v>251</v>
      </c>
      <c r="B80" s="87"/>
      <c r="C80" s="143"/>
      <c r="D80" s="143"/>
      <c r="E80" s="188"/>
      <c r="F80" s="188">
        <v>144</v>
      </c>
      <c r="G80" s="188">
        <v>0</v>
      </c>
      <c r="H80" s="188">
        <v>0</v>
      </c>
      <c r="I80" s="188">
        <v>0</v>
      </c>
      <c r="J80" s="188"/>
      <c r="K80" s="188"/>
      <c r="L80" s="188"/>
      <c r="M80" s="188"/>
      <c r="N80" s="188"/>
      <c r="O80" s="188"/>
      <c r="P80" s="188"/>
      <c r="Q80" s="188"/>
      <c r="R80" s="143"/>
      <c r="S80" s="143"/>
      <c r="T80" s="143"/>
      <c r="U80" s="87"/>
      <c r="V80" s="87"/>
      <c r="W80" s="87"/>
      <c r="X80" s="87"/>
      <c r="Y80" s="87"/>
      <c r="Z80" s="87"/>
      <c r="AA80" s="87"/>
      <c r="AB80" s="87"/>
    </row>
    <row r="81" spans="1:28" ht="13.8">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row>
    <row r="82" spans="1:28" ht="13.8">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row>
    <row r="83" spans="1:28" ht="13.8">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row>
    <row r="84" spans="1:28" ht="13.8">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row>
    <row r="85" spans="1:28" ht="13.8">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row>
    <row r="86" spans="1:28" ht="13.8">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row>
    <row r="87" spans="1:28" ht="13.8">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row>
    <row r="88" spans="1:28" ht="13.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row>
    <row r="89" spans="1:28" ht="13.8">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row>
    <row r="90" spans="1:28" ht="13.8">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row>
    <row r="91" spans="1:28" ht="13.8">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row>
    <row r="92" spans="1:28" ht="13.8">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row>
    <row r="93" spans="1:28" ht="13.8">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row>
    <row r="94" spans="1:28" ht="13.8">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row>
    <row r="95" spans="1:28" ht="13.8">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row>
    <row r="96" spans="1:28" ht="13.8">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row>
    <row r="97" spans="1:28" ht="13.8">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row>
    <row r="98" spans="1:28" ht="13.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row>
    <row r="99" spans="1:28" ht="13.8">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row>
    <row r="100" spans="1:28" ht="13.8">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row>
    <row r="101" spans="1:28" ht="13.8">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row>
    <row r="102" spans="1:28" ht="13.8">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row>
    <row r="103" spans="1:28" ht="13.8">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row>
    <row r="104" spans="1:28" ht="13.8">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row>
    <row r="105" spans="1:28" ht="13.8">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row>
    <row r="106" spans="1:28" ht="13.8">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row>
    <row r="107" spans="1:28" ht="13.8">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row>
    <row r="108" spans="1:28" ht="13.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row>
    <row r="109" spans="1:28" ht="13.8">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row>
    <row r="110" spans="1:28" ht="13.8">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row>
    <row r="111" spans="1:28" ht="13.8">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row>
    <row r="112" spans="1:28" ht="13.8">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row>
    <row r="113" spans="1:28" ht="13.8">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row>
    <row r="114" spans="1:28" ht="13.8">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row>
    <row r="115" spans="1:28" ht="13.8">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row>
    <row r="116" spans="1:28" ht="13.8">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row>
    <row r="117" spans="1:28" ht="13.8">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row>
    <row r="118" spans="1:28" ht="13.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row>
    <row r="119" spans="1:28" ht="13.8">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row>
    <row r="120" spans="1:28" ht="13.8">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row>
    <row r="121" spans="1:28" ht="13.8">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row>
    <row r="122" spans="1:28" ht="13.8">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row>
    <row r="123" spans="1:28" ht="13.8">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row>
    <row r="124" spans="1:28" ht="13.8">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row>
    <row r="125" spans="1:28" ht="13.8">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row>
    <row r="126" spans="1:28" ht="13.8">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row>
    <row r="127" spans="1:28" ht="13.8">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row>
    <row r="128" spans="1:28" ht="13.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row>
    <row r="129" spans="1:28" ht="13.8">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row>
    <row r="130" spans="1:28" ht="13.8">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row>
    <row r="131" spans="1:28" ht="13.8">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row>
    <row r="132" spans="1:28" ht="13.8">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row>
    <row r="133" spans="1:28" ht="13.8">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row>
    <row r="134" spans="1:28" ht="13.8">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row>
    <row r="135" spans="1:28" ht="13.8">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row>
    <row r="136" spans="1:28" ht="13.8">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row>
    <row r="137" spans="1:28" ht="13.8">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row>
    <row r="138" spans="1:28" ht="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row>
    <row r="139" spans="1:28" ht="13.8">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row>
    <row r="140" spans="1:28" ht="13.8">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row>
    <row r="141" spans="1:28" ht="13.8">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row>
    <row r="142" spans="1:28" ht="13.8">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row>
    <row r="143" spans="1:28" ht="13.8">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row>
    <row r="144" spans="1:28" ht="13.8">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row>
    <row r="145" spans="1:28" ht="13.8">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row>
    <row r="146" spans="1:28" ht="13.8">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row>
    <row r="147" spans="1:28" ht="13.8">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row>
    <row r="148" spans="1:28" ht="13.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row>
    <row r="149" spans="1:28" ht="13.8">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row>
    <row r="150" spans="1:28" ht="13.8">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row>
    <row r="151" spans="1:28" ht="13.8">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row>
    <row r="152" spans="1:28" ht="13.8">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row>
    <row r="153" spans="1:28" ht="13.8">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row>
    <row r="154" spans="1:28" ht="13.8">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row>
    <row r="155" spans="1:28" ht="13.8">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row>
    <row r="156" spans="1:28" ht="13.8">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row>
    <row r="157" spans="1:28" ht="13.8">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row>
    <row r="158" spans="1:28" ht="13.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row>
    <row r="159" spans="1:28" ht="13.8">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row>
    <row r="160" spans="1:28" ht="13.8">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row>
    <row r="161" spans="1:28" ht="13.8">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row>
    <row r="162" spans="1:28" ht="13.8">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row>
    <row r="163" spans="1:28" ht="13.8">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row>
    <row r="164" spans="1:28" ht="13.8">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row>
    <row r="165" spans="1:28" ht="13.8">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row>
    <row r="166" spans="1:28" ht="13.8">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row>
    <row r="167" spans="1:28" ht="13.8">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row>
    <row r="168" spans="1:28" ht="13.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row>
    <row r="169" spans="1:28" ht="13.8">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row>
    <row r="170" spans="1:28" ht="13.8">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row>
    <row r="171" spans="1:28" ht="13.8">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row>
    <row r="172" spans="1:28" ht="13.8">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row>
    <row r="173" spans="1:28" ht="13.8">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row>
    <row r="174" spans="1:28" ht="13.8">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row>
    <row r="175" spans="1:28" ht="13.8">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row>
    <row r="176" spans="1:28" ht="13.8">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row>
    <row r="177" spans="1:28" ht="13.8">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row>
    <row r="178" spans="1:28" ht="13.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row>
    <row r="179" spans="1:28" ht="13.8">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row>
    <row r="180" spans="1:28" ht="13.8">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row>
    <row r="181" spans="1:28" ht="13.8">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row>
    <row r="182" spans="1:28" ht="13.8">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row>
    <row r="183" spans="1:28" ht="13.8">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row>
    <row r="184" spans="1:28" ht="13.8">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row>
    <row r="185" spans="1:28" ht="13.8">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row>
    <row r="186" spans="1:28" ht="13.8">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row>
    <row r="187" spans="1:28" ht="13.8">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row>
    <row r="188" spans="1:28" ht="13.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row>
    <row r="189" spans="1:28" ht="13.8">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row>
    <row r="190" spans="1:28" ht="13.8">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row>
    <row r="191" spans="1:28" ht="13.8">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row>
    <row r="192" spans="1:28" ht="13.8">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row>
    <row r="193" spans="1:28" ht="13.8">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row>
    <row r="194" spans="1:28" ht="13.8">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row>
    <row r="195" spans="1:28" ht="13.8">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row>
    <row r="196" spans="1:28" ht="13.8">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row>
    <row r="197" spans="1:28" ht="13.8">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row>
    <row r="198" spans="1:28" ht="13.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row>
    <row r="199" spans="1:28" ht="13.8">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row>
    <row r="200" spans="1:28" ht="13.8">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row>
    <row r="201" spans="1:28" ht="13.8">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row>
    <row r="202" spans="1:28" ht="13.8">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row>
    <row r="203" spans="1:28" ht="13.8">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row>
    <row r="204" spans="1:28" ht="13.8">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row>
    <row r="205" spans="1:28" ht="13.8">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row>
    <row r="206" spans="1:28" ht="13.8">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row>
    <row r="207" spans="1:28" ht="13.8">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row>
    <row r="208" spans="1:28" ht="13.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row>
    <row r="209" spans="1:28" ht="13.8">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row>
    <row r="210" spans="1:28" ht="13.8">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row>
    <row r="211" spans="1:28" ht="13.8">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row>
    <row r="212" spans="1:28" ht="13.8">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row>
    <row r="213" spans="1:28" ht="13.8">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row>
    <row r="214" spans="1:28" ht="13.8">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row>
    <row r="215" spans="1:28" ht="13.8">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row>
    <row r="216" spans="1:28" ht="13.8">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row>
    <row r="217" spans="1:28" ht="13.8">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row>
    <row r="218" spans="1:28" ht="13.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row>
    <row r="219" spans="1:28" ht="13.8">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row>
    <row r="220" spans="1:28" ht="13.8">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row>
    <row r="221" spans="1:28" ht="13.8">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row>
    <row r="222" spans="1:28" ht="13.8">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row>
    <row r="223" spans="1:28" ht="13.8">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row>
    <row r="224" spans="1:28" ht="13.8">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row>
    <row r="225" spans="1:28" ht="13.8">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row>
    <row r="226" spans="1:28" ht="13.8">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row>
    <row r="227" spans="1:28" ht="13.8">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row>
    <row r="228" spans="1:28" ht="13.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row>
    <row r="229" spans="1:28" ht="13.8">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row>
    <row r="230" spans="1:28" ht="13.8">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row>
    <row r="231" spans="1:28" ht="13.8">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row>
    <row r="232" spans="1:28" ht="13.8">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row>
    <row r="233" spans="1:28" ht="13.8">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row>
    <row r="234" spans="1:28" ht="13.8">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row>
    <row r="235" spans="1:28" ht="13.8">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row>
    <row r="236" spans="1:28" ht="13.8">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row>
    <row r="237" spans="1:28" ht="13.8">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row>
    <row r="238" spans="1:28" ht="1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row>
    <row r="239" spans="1:28" ht="13.8">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row>
    <row r="240" spans="1:28" ht="13.8">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row>
    <row r="241" spans="1:28" ht="13.8">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row>
    <row r="242" spans="1:28" ht="13.8">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row>
    <row r="243" spans="1:28" ht="13.8">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row>
    <row r="244" spans="1:28" ht="13.8">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row>
    <row r="245" spans="1:28" ht="13.8">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row>
    <row r="246" spans="1:28" ht="13.8">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row>
    <row r="247" spans="1:28" ht="13.8">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row>
    <row r="248" spans="1:28" ht="13.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row>
    <row r="249" spans="1:28" ht="13.8">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row>
    <row r="250" spans="1:28" ht="13.8">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row>
    <row r="251" spans="1:28" ht="13.8">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row>
    <row r="252" spans="1:28" ht="13.8">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row>
    <row r="253" spans="1:28" ht="13.8">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row>
    <row r="254" spans="1:28" ht="13.8">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row>
    <row r="255" spans="1:28" ht="13.8">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row>
    <row r="256" spans="1:28" ht="13.8">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row>
    <row r="257" spans="1:28" ht="13.8">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row>
    <row r="258" spans="1:28" ht="13.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row>
    <row r="259" spans="1:28" ht="13.8">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row>
    <row r="260" spans="1:28" ht="13.8">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row>
    <row r="261" spans="1:28" ht="13.8">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row>
    <row r="262" spans="1:28" ht="13.8">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row>
    <row r="263" spans="1:28" ht="13.8">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row>
    <row r="264" spans="1:28" ht="13.8">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row>
    <row r="265" spans="1:28" ht="13.8">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row>
    <row r="266" spans="1:28" ht="13.8">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row>
    <row r="267" spans="1:28" ht="13.8">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row>
    <row r="268" spans="1:28" ht="13.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row>
    <row r="269" spans="1:28" ht="13.8">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row>
    <row r="270" spans="1:28" ht="13.8">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row>
    <row r="271" spans="1:28" ht="13.8">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row>
    <row r="272" spans="1:28" ht="13.8">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row>
    <row r="273" spans="1:28" ht="13.8">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row>
    <row r="274" spans="1:28" ht="13.8">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row>
    <row r="275" spans="1:28" ht="13.8">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row>
    <row r="276" spans="1:28" ht="13.8">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row>
    <row r="277" spans="1:28" ht="13.8">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row>
    <row r="278" spans="1:28" ht="13.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row>
    <row r="279" spans="1:28" ht="13.8">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row>
    <row r="280" spans="1:28" ht="13.8">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row>
    <row r="281" spans="1:28" ht="13.8">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row>
    <row r="282" spans="1:28" ht="13.8">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row>
    <row r="283" spans="1:28" ht="13.8">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row>
    <row r="284" spans="1:28" ht="13.8">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row>
    <row r="285" spans="1:28" ht="13.8">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row>
    <row r="286" spans="1:28" ht="13.8">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row>
    <row r="287" spans="1:28" ht="13.8">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row>
    <row r="288" spans="1:28" ht="13.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row>
    <row r="289" spans="1:28" ht="13.8">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row>
    <row r="290" spans="1:28" ht="13.8">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row>
    <row r="291" spans="1:28" ht="13.8">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row>
    <row r="292" spans="1:28" ht="13.8">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row>
    <row r="293" spans="1:28" ht="13.8">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row>
    <row r="294" spans="1:28" ht="13.8">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row>
    <row r="295" spans="1:28" ht="13.8">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row>
    <row r="296" spans="1:28" ht="13.8">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row>
    <row r="297" spans="1:28" ht="13.8">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row>
    <row r="298" spans="1:28" ht="13.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row>
    <row r="299" spans="1:28" ht="13.8">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row>
    <row r="300" spans="1:28" ht="13.8">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row>
    <row r="301" spans="1:28" ht="13.8">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row>
    <row r="302" spans="1:28" ht="13.8">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row>
    <row r="303" spans="1:28" ht="13.8">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row>
    <row r="304" spans="1:28" ht="13.8">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row>
    <row r="305" spans="1:28" ht="13.8">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row>
    <row r="306" spans="1:28" ht="13.8">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row>
    <row r="307" spans="1:28" ht="13.8">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row>
    <row r="308" spans="1:28" ht="13.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row>
    <row r="309" spans="1:28" ht="13.8">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row>
    <row r="310" spans="1:28" ht="13.8">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row>
    <row r="311" spans="1:28" ht="13.8">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row>
    <row r="312" spans="1:28" ht="13.8">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row>
    <row r="313" spans="1:28" ht="13.8">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row>
    <row r="314" spans="1:28" ht="13.8">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row>
    <row r="315" spans="1:28" ht="13.8">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row>
    <row r="316" spans="1:28" ht="13.8">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row>
    <row r="317" spans="1:28" ht="13.8">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row>
    <row r="318" spans="1:28" ht="13.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row>
    <row r="319" spans="1:28" ht="13.8">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row>
    <row r="320" spans="1:28" ht="13.8">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row>
    <row r="321" spans="1:28" ht="13.8">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row>
    <row r="322" spans="1:28" ht="13.8">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row>
    <row r="323" spans="1:28" ht="13.8">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row>
    <row r="324" spans="1:28" ht="13.8">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row>
    <row r="325" spans="1:28" ht="13.8">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row>
    <row r="326" spans="1:28" ht="13.8">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row>
    <row r="327" spans="1:28" ht="13.8">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row>
    <row r="328" spans="1:28" ht="13.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row>
    <row r="329" spans="1:28" ht="13.8">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row>
    <row r="330" spans="1:28" ht="13.8">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row>
    <row r="331" spans="1:28" ht="13.8">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row>
    <row r="332" spans="1:28" ht="13.8">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row>
    <row r="333" spans="1:28" ht="13.8">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row>
    <row r="334" spans="1:28" ht="13.8">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row>
    <row r="335" spans="1:28" ht="13.8">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row>
    <row r="336" spans="1:28" ht="13.8">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row>
    <row r="337" spans="1:28" ht="13.8">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row>
    <row r="338" spans="1:28" ht="1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row>
    <row r="339" spans="1:28" ht="13.8">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row>
    <row r="340" spans="1:28" ht="13.8">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row>
    <row r="341" spans="1:28" ht="13.8">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row>
    <row r="342" spans="1:28" ht="13.8">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row>
    <row r="343" spans="1:28" ht="13.8">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row>
    <row r="344" spans="1:28" ht="13.8">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row>
    <row r="345" spans="1:28" ht="13.8">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row>
    <row r="346" spans="1:28" ht="13.8">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row>
    <row r="347" spans="1:28" ht="13.8">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row>
    <row r="348" spans="1:28" ht="13.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row>
    <row r="349" spans="1:28" ht="13.8">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row>
    <row r="350" spans="1:28" ht="13.8">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row>
    <row r="351" spans="1:28" ht="13.8">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row>
    <row r="352" spans="1:28" ht="13.8">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row>
    <row r="353" spans="1:28" ht="13.8">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row>
    <row r="354" spans="1:28" ht="13.8">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row>
    <row r="355" spans="1:28" ht="13.8">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row>
    <row r="356" spans="1:28" ht="13.8">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row>
    <row r="357" spans="1:28" ht="13.8">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row>
    <row r="358" spans="1:28" ht="13.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row>
    <row r="359" spans="1:28" ht="13.8">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row>
    <row r="360" spans="1:28" ht="13.8">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row>
    <row r="361" spans="1:28" ht="13.8">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row>
    <row r="362" spans="1:28" ht="13.8">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row>
    <row r="363" spans="1:28" ht="13.8">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row>
    <row r="364" spans="1:28" ht="13.8">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row>
    <row r="365" spans="1:28" ht="13.8">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row>
    <row r="366" spans="1:28" ht="13.8">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row>
    <row r="367" spans="1:28" ht="13.8">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row>
    <row r="368" spans="1:28" ht="13.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row>
    <row r="369" spans="1:28" ht="13.8">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row>
    <row r="370" spans="1:28" ht="13.8">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row>
    <row r="371" spans="1:28" ht="13.8">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row>
    <row r="372" spans="1:28" ht="13.8">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row>
    <row r="373" spans="1:28" ht="13.8">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row>
    <row r="374" spans="1:28" ht="13.8">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row>
    <row r="375" spans="1:28" ht="13.8">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row>
    <row r="376" spans="1:28" ht="13.8">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row>
    <row r="377" spans="1:28" ht="13.8">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row>
    <row r="378" spans="1:28" ht="13.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row>
    <row r="379" spans="1:28" ht="13.8">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row>
    <row r="380" spans="1:28" ht="13.8">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row>
    <row r="381" spans="1:28" ht="13.8">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row>
    <row r="382" spans="1:28" ht="13.8">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row>
    <row r="383" spans="1:28" ht="13.8">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row>
    <row r="384" spans="1:28" ht="13.8">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row>
    <row r="385" spans="1:28" ht="13.8">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row>
    <row r="386" spans="1:28" ht="13.8">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row>
    <row r="387" spans="1:28" ht="13.8">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row>
    <row r="388" spans="1:28" ht="13.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row>
    <row r="389" spans="1:28" ht="13.8">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row>
    <row r="390" spans="1:28" ht="13.8">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row>
    <row r="391" spans="1:28" ht="13.8">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row>
    <row r="392" spans="1:28" ht="13.8">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row>
    <row r="393" spans="1:28" ht="13.8">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row>
    <row r="394" spans="1:28" ht="13.8">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row>
    <row r="395" spans="1:28" ht="13.8">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row>
    <row r="396" spans="1:28" ht="13.8">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row>
    <row r="397" spans="1:28" ht="13.8">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row>
    <row r="398" spans="1:28" ht="13.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row>
    <row r="399" spans="1:28" ht="13.8">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row>
    <row r="400" spans="1:28" ht="13.8">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row>
    <row r="401" spans="1:28" ht="13.8">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row>
    <row r="402" spans="1:28" ht="13.8">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row>
    <row r="403" spans="1:28" ht="13.8">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row>
    <row r="404" spans="1:28" ht="13.8">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row>
    <row r="405" spans="1:28" ht="13.8">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row>
    <row r="406" spans="1:28" ht="13.8">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row>
    <row r="407" spans="1:28" ht="13.8">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row>
    <row r="408" spans="1:28" ht="13.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row>
    <row r="409" spans="1:28" ht="13.8">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row>
    <row r="410" spans="1:28" ht="13.8">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row>
    <row r="411" spans="1:28" ht="13.8">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row>
    <row r="412" spans="1:28" ht="13.8">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row>
    <row r="413" spans="1:28" ht="13.8">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row>
    <row r="414" spans="1:28" ht="13.8">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row>
    <row r="415" spans="1:28" ht="13.8">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row>
    <row r="416" spans="1:28" ht="13.8">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row>
    <row r="417" spans="1:28" ht="13.8">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row>
    <row r="418" spans="1:28" ht="13.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row>
    <row r="419" spans="1:28" ht="13.8">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row>
    <row r="420" spans="1:28" ht="13.8">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row>
    <row r="421" spans="1:28" ht="13.8">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row>
    <row r="422" spans="1:28" ht="13.8">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row>
    <row r="423" spans="1:28" ht="13.8">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row>
    <row r="424" spans="1:28" ht="13.8">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row>
    <row r="425" spans="1:28" ht="13.8">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row>
    <row r="426" spans="1:28" ht="13.8">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row>
    <row r="427" spans="1:28" ht="13.8">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row>
    <row r="428" spans="1:28" ht="13.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row>
    <row r="429" spans="1:28" ht="13.8">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row>
    <row r="430" spans="1:28" ht="13.8">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row>
    <row r="431" spans="1:28" ht="13.8">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row>
    <row r="432" spans="1:28" ht="13.8">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row>
    <row r="433" spans="1:28" ht="13.8">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row>
    <row r="434" spans="1:28" ht="13.8">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row>
    <row r="435" spans="1:28" ht="13.8">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row>
    <row r="436" spans="1:28" ht="13.8">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row>
    <row r="437" spans="1:28" ht="13.8">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row>
    <row r="438" spans="1:28" ht="1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row>
    <row r="439" spans="1:28" ht="13.8">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row>
    <row r="440" spans="1:28" ht="13.8">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row>
    <row r="441" spans="1:28" ht="13.8">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row>
    <row r="442" spans="1:28" ht="13.8">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row>
    <row r="443" spans="1:28" ht="13.8">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row>
    <row r="444" spans="1:28" ht="13.8">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row>
    <row r="445" spans="1:28" ht="13.8">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row>
    <row r="446" spans="1:28" ht="13.8">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row>
    <row r="447" spans="1:28" ht="13.8">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row>
    <row r="448" spans="1:28" ht="13.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row>
    <row r="449" spans="1:28" ht="13.8">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row>
    <row r="450" spans="1:28" ht="13.8">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row>
    <row r="451" spans="1:28" ht="13.8">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row>
    <row r="452" spans="1:28" ht="13.8">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row>
    <row r="453" spans="1:28" ht="13.8">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row>
    <row r="454" spans="1:28" ht="13.8">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row>
    <row r="455" spans="1:28" ht="13.8">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row>
    <row r="456" spans="1:28" ht="13.8">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row>
    <row r="457" spans="1:28" ht="13.8">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row>
    <row r="458" spans="1:28" ht="13.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row>
    <row r="459" spans="1:28" ht="13.8">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row>
    <row r="460" spans="1:28" ht="13.8">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row>
    <row r="461" spans="1:28" ht="13.8">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row>
    <row r="462" spans="1:28" ht="13.8">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row>
    <row r="463" spans="1:28" ht="13.8">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row>
    <row r="464" spans="1:28" ht="13.8">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row>
    <row r="465" spans="1:28" ht="13.8">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row>
    <row r="466" spans="1:28" ht="13.8">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row>
    <row r="467" spans="1:28" ht="13.8">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row>
    <row r="468" spans="1:28" ht="13.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row>
    <row r="469" spans="1:28" ht="13.8">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row>
    <row r="470" spans="1:28" ht="13.8">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row>
    <row r="471" spans="1:28" ht="13.8">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row>
    <row r="472" spans="1:28" ht="13.8">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row>
    <row r="473" spans="1:28" ht="13.8">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row>
    <row r="474" spans="1:28" ht="13.8">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row>
    <row r="475" spans="1:28" ht="13.8">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row>
    <row r="476" spans="1:28" ht="13.8">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row>
    <row r="477" spans="1:28" ht="13.8">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row>
    <row r="478" spans="1:28" ht="13.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row>
    <row r="479" spans="1:28" ht="13.8">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row>
    <row r="480" spans="1:28" ht="13.8">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row>
    <row r="481" spans="1:28" ht="13.8">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row>
    <row r="482" spans="1:28" ht="13.8">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row>
    <row r="483" spans="1:28" ht="13.8">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row>
    <row r="484" spans="1:28" ht="13.8">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row>
    <row r="485" spans="1:28" ht="13.8">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row>
    <row r="486" spans="1:28" ht="13.8">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row>
    <row r="487" spans="1:28" ht="13.8">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row>
    <row r="488" spans="1:28" ht="13.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row>
    <row r="489" spans="1:28" ht="13.8">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row>
    <row r="490" spans="1:28" ht="13.8">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row>
    <row r="491" spans="1:28" ht="13.8">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row>
    <row r="492" spans="1:28" ht="13.8">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row>
    <row r="493" spans="1:28" ht="13.8">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row>
    <row r="494" spans="1:28" ht="13.8">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row>
    <row r="495" spans="1:28" ht="13.8">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row>
    <row r="496" spans="1:28" ht="13.8">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row>
    <row r="497" spans="1:28" ht="13.8">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row>
    <row r="498" spans="1:28" ht="13.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row>
    <row r="499" spans="1:28" ht="13.8">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row>
    <row r="500" spans="1:28" ht="13.8">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row>
    <row r="501" spans="1:28" ht="13.8">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row>
    <row r="502" spans="1:28" ht="13.8">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row>
    <row r="503" spans="1:28" ht="13.8">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row>
    <row r="504" spans="1:28" ht="13.8">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row>
    <row r="505" spans="1:28" ht="13.8">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row>
    <row r="506" spans="1:28" ht="13.8">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row>
    <row r="507" spans="1:28" ht="13.8">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row>
    <row r="508" spans="1:28" ht="13.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row>
    <row r="509" spans="1:28" ht="13.8">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row>
    <row r="510" spans="1:28" ht="13.8">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row>
    <row r="511" spans="1:28" ht="13.8">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row>
    <row r="512" spans="1:28" ht="13.8">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row>
    <row r="513" spans="1:28" ht="13.8">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row>
    <row r="514" spans="1:28" ht="13.8">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row>
    <row r="515" spans="1:28" ht="13.8">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row>
    <row r="516" spans="1:28" ht="13.8">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row>
    <row r="517" spans="1:28" ht="13.8">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row>
    <row r="518" spans="1:28" ht="13.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row>
    <row r="519" spans="1:28" ht="13.8">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row>
    <row r="520" spans="1:28" ht="13.8">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row>
    <row r="521" spans="1:28" ht="13.8">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row>
    <row r="522" spans="1:28" ht="13.8">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row>
    <row r="523" spans="1:28" ht="13.8">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row>
    <row r="524" spans="1:28" ht="13.8">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row>
    <row r="525" spans="1:28" ht="13.8">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row>
    <row r="526" spans="1:28" ht="13.8">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row>
    <row r="527" spans="1:28" ht="13.8">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row>
    <row r="528" spans="1:28" ht="13.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row>
    <row r="529" spans="1:28" ht="13.8">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row>
    <row r="530" spans="1:28" ht="13.8">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row>
    <row r="531" spans="1:28" ht="13.8">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row>
    <row r="532" spans="1:28" ht="13.8">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row>
    <row r="533" spans="1:28" ht="13.8">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row>
    <row r="534" spans="1:28" ht="13.8">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row>
    <row r="535" spans="1:28" ht="13.8">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row>
    <row r="536" spans="1:28" ht="13.8">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row>
    <row r="537" spans="1:28" ht="13.8">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row>
    <row r="538" spans="1:28" ht="1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row>
    <row r="539" spans="1:28" ht="13.8">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row>
    <row r="540" spans="1:28" ht="13.8">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row>
    <row r="541" spans="1:28" ht="13.8">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row>
    <row r="542" spans="1:28" ht="13.8">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row>
    <row r="543" spans="1:28" ht="13.8">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row>
    <row r="544" spans="1:28" ht="13.8">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row>
    <row r="545" spans="1:28" ht="13.8">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row>
    <row r="546" spans="1:28" ht="13.8">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row>
    <row r="547" spans="1:28" ht="13.8">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row>
    <row r="548" spans="1:28" ht="13.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row>
    <row r="549" spans="1:28" ht="13.8">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row>
    <row r="550" spans="1:28" ht="13.8">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row>
    <row r="551" spans="1:28" ht="13.8">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row>
    <row r="552" spans="1:28" ht="13.8">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row>
    <row r="553" spans="1:28" ht="13.8">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row>
    <row r="554" spans="1:28" ht="13.8">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row>
    <row r="555" spans="1:28" ht="13.8">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row>
    <row r="556" spans="1:28" ht="13.8">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row>
    <row r="557" spans="1:28" ht="13.8">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row>
    <row r="558" spans="1:28" ht="13.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row>
    <row r="559" spans="1:28" ht="13.8">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row>
    <row r="560" spans="1:28" ht="13.8">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row>
    <row r="561" spans="1:28" ht="13.8">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row>
    <row r="562" spans="1:28" ht="13.8">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row>
    <row r="563" spans="1:28" ht="13.8">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row>
    <row r="564" spans="1:28" ht="13.8">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row>
    <row r="565" spans="1:28" ht="13.8">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row>
    <row r="566" spans="1:28" ht="13.8">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row>
    <row r="567" spans="1:28" ht="13.8">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row>
    <row r="568" spans="1:28" ht="13.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row>
    <row r="569" spans="1:28" ht="13.8">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row>
    <row r="570" spans="1:28" ht="13.8">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row>
    <row r="571" spans="1:28" ht="13.8">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row>
    <row r="572" spans="1:28" ht="13.8">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row>
    <row r="573" spans="1:28" ht="13.8">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row>
    <row r="574" spans="1:28" ht="13.8">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row>
    <row r="575" spans="1:28" ht="13.8">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row>
    <row r="576" spans="1:28" ht="13.8">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row>
    <row r="577" spans="1:28" ht="13.8">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row>
    <row r="578" spans="1:28" ht="13.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row>
    <row r="579" spans="1:28" ht="13.8">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row>
    <row r="580" spans="1:28" ht="13.8">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row>
    <row r="581" spans="1:28" ht="13.8">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row>
    <row r="582" spans="1:28" ht="13.8">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row>
    <row r="583" spans="1:28" ht="13.8">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row>
    <row r="584" spans="1:28" ht="13.8">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row>
    <row r="585" spans="1:28" ht="13.8">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row>
    <row r="586" spans="1:28" ht="13.8">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row>
    <row r="587" spans="1:28" ht="13.8">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row>
    <row r="588" spans="1:28" ht="13.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row>
    <row r="589" spans="1:28" ht="13.8">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row>
    <row r="590" spans="1:28" ht="13.8">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row>
    <row r="591" spans="1:28" ht="13.8">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row>
    <row r="592" spans="1:28" ht="13.8">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row>
    <row r="593" spans="1:28" ht="13.8">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row>
    <row r="594" spans="1:28" ht="13.8">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row>
    <row r="595" spans="1:28" ht="13.8">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row>
    <row r="596" spans="1:28" ht="13.8">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row>
    <row r="597" spans="1:28" ht="13.8">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row>
    <row r="598" spans="1:28" ht="13.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row>
    <row r="599" spans="1:28" ht="13.8">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row>
    <row r="600" spans="1:28" ht="13.8">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row>
    <row r="601" spans="1:28" ht="13.8">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row>
    <row r="602" spans="1:28" ht="13.8">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row>
    <row r="603" spans="1:28" ht="13.8">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row>
    <row r="604" spans="1:28" ht="13.8">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row>
    <row r="605" spans="1:28" ht="13.8">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row>
    <row r="606" spans="1:28" ht="13.8">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row>
    <row r="607" spans="1:28" ht="13.8">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row>
    <row r="608" spans="1:28" ht="13.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row>
    <row r="609" spans="1:28" ht="13.8">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row>
    <row r="610" spans="1:28" ht="13.8">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row>
    <row r="611" spans="1:28" ht="13.8">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row>
    <row r="612" spans="1:28" ht="13.8">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row>
    <row r="613" spans="1:28" ht="13.8">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row>
    <row r="614" spans="1:28" ht="13.8">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row>
    <row r="615" spans="1:28" ht="13.8">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row>
    <row r="616" spans="1:28" ht="13.8">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row>
    <row r="617" spans="1:28" ht="13.8">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row>
    <row r="618" spans="1:28" ht="13.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row>
    <row r="619" spans="1:28" ht="13.8">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row>
    <row r="620" spans="1:28" ht="13.8">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row>
    <row r="621" spans="1:28" ht="13.8">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row>
    <row r="622" spans="1:28" ht="13.8">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row>
    <row r="623" spans="1:28" ht="13.8">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row>
    <row r="624" spans="1:28" ht="13.8">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row>
    <row r="625" spans="1:28" ht="13.8">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row>
    <row r="626" spans="1:28" ht="13.8">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row>
    <row r="627" spans="1:28" ht="13.8">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row>
    <row r="628" spans="1:28" ht="13.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row>
    <row r="629" spans="1:28" ht="13.8">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row>
    <row r="630" spans="1:28" ht="13.8">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row>
    <row r="631" spans="1:28" ht="13.8">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row>
    <row r="632" spans="1:28" ht="13.8">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row>
    <row r="633" spans="1:28" ht="13.8">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row>
    <row r="634" spans="1:28" ht="13.8">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row>
    <row r="635" spans="1:28" ht="13.8">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row>
    <row r="636" spans="1:28" ht="13.8">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row>
    <row r="637" spans="1:28" ht="13.8">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row>
    <row r="638" spans="1:28" ht="1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row>
    <row r="639" spans="1:28" ht="13.8">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row>
    <row r="640" spans="1:28" ht="13.8">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row>
    <row r="641" spans="1:28" ht="13.8">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row>
    <row r="642" spans="1:28" ht="13.8">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row>
    <row r="643" spans="1:28" ht="13.8">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row>
    <row r="644" spans="1:28" ht="13.8">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row>
    <row r="645" spans="1:28" ht="13.8">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row>
    <row r="646" spans="1:28" ht="13.8">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row>
    <row r="647" spans="1:28" ht="13.8">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row>
    <row r="648" spans="1:28" ht="13.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row>
    <row r="649" spans="1:28" ht="13.8">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row>
    <row r="650" spans="1:28" ht="13.8">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row>
    <row r="651" spans="1:28" ht="13.8">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row>
    <row r="652" spans="1:28" ht="13.8">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row>
    <row r="653" spans="1:28" ht="13.8">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row>
    <row r="654" spans="1:28" ht="13.8">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row>
    <row r="655" spans="1:28" ht="13.8">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row>
    <row r="656" spans="1:28" ht="13.8">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row>
    <row r="657" spans="1:28" ht="13.8">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row>
    <row r="658" spans="1:28" ht="13.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row>
    <row r="659" spans="1:28" ht="13.8">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row>
    <row r="660" spans="1:28" ht="13.8">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row>
    <row r="661" spans="1:28" ht="13.8">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row>
    <row r="662" spans="1:28" ht="13.8">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row>
    <row r="663" spans="1:28" ht="13.8">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row>
    <row r="664" spans="1:28" ht="13.8">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row>
    <row r="665" spans="1:28" ht="13.8">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row>
    <row r="666" spans="1:28" ht="13.8">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row>
    <row r="667" spans="1:28" ht="13.8">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row>
    <row r="668" spans="1:28" ht="13.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row>
    <row r="669" spans="1:28" ht="13.8">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row>
    <row r="670" spans="1:28" ht="13.8">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row>
    <row r="671" spans="1:28" ht="13.8">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row>
    <row r="672" spans="1:28" ht="13.8">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row>
    <row r="673" spans="1:28" ht="13.8">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row>
    <row r="674" spans="1:28" ht="13.8">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row>
    <row r="675" spans="1:28" ht="13.8">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row>
    <row r="676" spans="1:28" ht="13.8">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row>
    <row r="677" spans="1:28" ht="13.8">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row>
    <row r="678" spans="1:28" ht="13.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row>
    <row r="679" spans="1:28" ht="13.8">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row>
    <row r="680" spans="1:28" ht="13.8">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row>
    <row r="681" spans="1:28" ht="13.8">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row>
    <row r="682" spans="1:28" ht="13.8">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row>
    <row r="683" spans="1:28" ht="13.8">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row>
    <row r="684" spans="1:28" ht="13.8">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row>
    <row r="685" spans="1:28" ht="13.8">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row>
    <row r="686" spans="1:28" ht="13.8">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row>
    <row r="687" spans="1:28" ht="13.8">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row>
    <row r="688" spans="1:28" ht="13.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row>
    <row r="689" spans="1:28" ht="13.8">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row>
    <row r="690" spans="1:28" ht="13.8">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row>
    <row r="691" spans="1:28" ht="13.8">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row>
    <row r="692" spans="1:28" ht="13.8">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row>
    <row r="693" spans="1:28" ht="13.8">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row>
    <row r="694" spans="1:28" ht="13.8">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row>
    <row r="695" spans="1:28" ht="13.8">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row>
    <row r="696" spans="1:28" ht="13.8">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row>
    <row r="697" spans="1:28" ht="13.8">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row>
    <row r="698" spans="1:28" ht="13.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row>
    <row r="699" spans="1:28" ht="13.8">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row>
    <row r="700" spans="1:28" ht="13.8">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row>
    <row r="701" spans="1:28" ht="13.8">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row>
    <row r="702" spans="1:28" ht="13.8">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row>
    <row r="703" spans="1:28" ht="13.8">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row>
    <row r="704" spans="1:28" ht="13.8">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row>
    <row r="705" spans="1:28" ht="13.8">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row>
    <row r="706" spans="1:28" ht="13.8">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row>
    <row r="707" spans="1:28" ht="13.8">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row>
    <row r="708" spans="1:28" ht="13.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row>
    <row r="709" spans="1:28" ht="13.8">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row>
    <row r="710" spans="1:28" ht="13.8">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row>
    <row r="711" spans="1:28" ht="13.8">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row>
    <row r="712" spans="1:28" ht="13.8">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row>
    <row r="713" spans="1:28" ht="13.8">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row>
    <row r="714" spans="1:28" ht="13.8">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row>
    <row r="715" spans="1:28" ht="13.8">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row>
    <row r="716" spans="1:28" ht="13.8">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row>
    <row r="717" spans="1:28" ht="13.8">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row>
    <row r="718" spans="1:28" ht="13.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row>
    <row r="719" spans="1:28" ht="13.8">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row>
    <row r="720" spans="1:28" ht="13.8">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row>
    <row r="721" spans="1:28" ht="13.8">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row>
    <row r="722" spans="1:28" ht="13.8">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row>
    <row r="723" spans="1:28" ht="13.8">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row>
    <row r="724" spans="1:28" ht="13.8">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row>
    <row r="725" spans="1:28" ht="13.8">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row>
    <row r="726" spans="1:28" ht="13.8">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row>
    <row r="727" spans="1:28" ht="13.8">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row>
    <row r="728" spans="1:28" ht="13.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row>
    <row r="729" spans="1:28" ht="13.8">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row>
    <row r="730" spans="1:28" ht="13.8">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row>
    <row r="731" spans="1:28" ht="13.8">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row>
    <row r="732" spans="1:28" ht="13.8">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row>
    <row r="733" spans="1:28" ht="13.8">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row>
    <row r="734" spans="1:28" ht="13.8">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row>
    <row r="735" spans="1:28" ht="13.8">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row>
    <row r="736" spans="1:28" ht="13.8">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row>
    <row r="737" spans="1:28" ht="13.8">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row>
    <row r="738" spans="1:28" ht="1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row>
    <row r="739" spans="1:28" ht="13.8">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row>
    <row r="740" spans="1:28" ht="13.8">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row>
    <row r="741" spans="1:28" ht="13.8">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row>
    <row r="742" spans="1:28" ht="13.8">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row>
    <row r="743" spans="1:28" ht="13.8">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row>
    <row r="744" spans="1:28" ht="13.8">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row>
    <row r="745" spans="1:28" ht="13.8">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row>
    <row r="746" spans="1:28" ht="13.8">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row>
    <row r="747" spans="1:28" ht="13.8">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row>
    <row r="748" spans="1:28" ht="13.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row>
    <row r="749" spans="1:28" ht="13.8">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row>
    <row r="750" spans="1:28" ht="13.8">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row>
    <row r="751" spans="1:28" ht="13.8">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row>
    <row r="752" spans="1:28" ht="13.8">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row>
    <row r="753" spans="1:28" ht="13.8">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row>
    <row r="754" spans="1:28" ht="13.8">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row>
    <row r="755" spans="1:28" ht="13.8">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row>
    <row r="756" spans="1:28" ht="13.8">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row>
    <row r="757" spans="1:28" ht="13.8">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row>
    <row r="758" spans="1:28" ht="13.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row>
    <row r="759" spans="1:28" ht="13.8">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row>
    <row r="760" spans="1:28" ht="13.8">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row>
    <row r="761" spans="1:28" ht="13.8">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row>
    <row r="762" spans="1:28" ht="13.8">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row>
    <row r="763" spans="1:28" ht="13.8">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row>
    <row r="764" spans="1:28" ht="13.8">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row>
    <row r="765" spans="1:28" ht="13.8">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row>
    <row r="766" spans="1:28" ht="13.8">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row>
    <row r="767" spans="1:28" ht="13.8">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row>
    <row r="768" spans="1:28" ht="13.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row>
    <row r="769" spans="1:28" ht="13.8">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row>
    <row r="770" spans="1:28" ht="13.8">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row>
    <row r="771" spans="1:28" ht="13.8">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row>
    <row r="772" spans="1:28" ht="13.8">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row>
    <row r="773" spans="1:28" ht="13.8">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row>
    <row r="774" spans="1:28" ht="13.8">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row>
    <row r="775" spans="1:28" ht="13.8">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row>
    <row r="776" spans="1:28" ht="13.8">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row>
    <row r="777" spans="1:28" ht="13.8">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row>
    <row r="778" spans="1:28" ht="13.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row>
    <row r="779" spans="1:28" ht="13.8">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row>
    <row r="780" spans="1:28" ht="13.8">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row>
    <row r="781" spans="1:28" ht="13.8">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row>
    <row r="782" spans="1:28" ht="13.8">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row>
    <row r="783" spans="1:28" ht="13.8">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row>
    <row r="784" spans="1:28" ht="13.8">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row>
    <row r="785" spans="1:28" ht="13.8">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row>
    <row r="786" spans="1:28" ht="13.8">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row>
    <row r="787" spans="1:28" ht="13.8">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row>
    <row r="788" spans="1:28" ht="13.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row>
    <row r="789" spans="1:28" ht="13.8">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row>
    <row r="790" spans="1:28" ht="13.8">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row>
    <row r="791" spans="1:28" ht="13.8">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row>
    <row r="792" spans="1:28" ht="13.8">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row>
    <row r="793" spans="1:28" ht="13.8">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row>
    <row r="794" spans="1:28" ht="13.8">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row>
    <row r="795" spans="1:28" ht="13.8">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row>
    <row r="796" spans="1:28" ht="13.8">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row>
    <row r="797" spans="1:28" ht="13.8">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row>
    <row r="798" spans="1:28" ht="13.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row>
    <row r="799" spans="1:28" ht="13.8">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row>
    <row r="800" spans="1:28" ht="13.8">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row>
    <row r="801" spans="1:28" ht="13.8">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row>
    <row r="802" spans="1:28" ht="13.8">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row>
    <row r="803" spans="1:28" ht="13.8">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row>
    <row r="804" spans="1:28" ht="13.8">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row>
    <row r="805" spans="1:28" ht="13.8">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row>
    <row r="806" spans="1:28" ht="13.8">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row>
    <row r="807" spans="1:28" ht="13.8">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row>
    <row r="808" spans="1:28" ht="13.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row>
    <row r="809" spans="1:28" ht="13.8">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row>
    <row r="810" spans="1:28" ht="13.8">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row>
    <row r="811" spans="1:28" ht="13.8">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row>
    <row r="812" spans="1:28" ht="13.8">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row>
    <row r="813" spans="1:28" ht="13.8">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row>
    <row r="814" spans="1:28" ht="13.8">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row>
    <row r="815" spans="1:28" ht="13.8">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row>
    <row r="816" spans="1:28" ht="13.8">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row>
    <row r="817" spans="1:28" ht="13.8">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row>
    <row r="818" spans="1:28" ht="13.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row>
    <row r="819" spans="1:28" ht="13.8">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row>
    <row r="820" spans="1:28" ht="13.8">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row>
    <row r="821" spans="1:28" ht="13.8">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row>
    <row r="822" spans="1:28" ht="13.8">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row>
    <row r="823" spans="1:28" ht="13.8">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row>
    <row r="824" spans="1:28" ht="13.8">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row>
    <row r="825" spans="1:28" ht="13.8">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row>
    <row r="826" spans="1:28" ht="13.8">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row>
    <row r="827" spans="1:28" ht="13.8">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row>
    <row r="828" spans="1:28" ht="13.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row>
    <row r="829" spans="1:28" ht="13.8">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row>
    <row r="830" spans="1:28" ht="13.8">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row>
    <row r="831" spans="1:28" ht="13.8">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row>
    <row r="832" spans="1:28" ht="13.8">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row>
    <row r="833" spans="1:28" ht="13.8">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row>
    <row r="834" spans="1:28" ht="13.8">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row>
    <row r="835" spans="1:28" ht="13.8">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row>
    <row r="836" spans="1:28" ht="13.8">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row>
    <row r="837" spans="1:28" ht="13.8">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row>
    <row r="838" spans="1:28" ht="1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row>
    <row r="839" spans="1:28" ht="13.8">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row>
    <row r="840" spans="1:28" ht="13.8">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row>
    <row r="841" spans="1:28" ht="13.8">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row>
    <row r="842" spans="1:28" ht="13.8">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row>
    <row r="843" spans="1:28" ht="13.8">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row>
    <row r="844" spans="1:28" ht="13.8">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row>
    <row r="845" spans="1:28" ht="13.8">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row>
    <row r="846" spans="1:28" ht="13.8">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row>
    <row r="847" spans="1:28" ht="13.8">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row>
    <row r="848" spans="1:28" ht="13.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row>
    <row r="849" spans="1:28" ht="13.8">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row>
    <row r="850" spans="1:28" ht="13.8">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row>
    <row r="851" spans="1:28" ht="13.8">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row>
    <row r="852" spans="1:28" ht="13.8">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row>
    <row r="853" spans="1:28" ht="13.8">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row>
    <row r="854" spans="1:28" ht="13.8">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row>
    <row r="855" spans="1:28" ht="13.8">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row>
    <row r="856" spans="1:28" ht="13.8">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row>
    <row r="857" spans="1:28" ht="13.8">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row>
    <row r="858" spans="1:28" ht="13.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row>
    <row r="859" spans="1:28" ht="13.8">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row>
    <row r="860" spans="1:28" ht="13.8">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row>
    <row r="861" spans="1:28" ht="13.8">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row>
    <row r="862" spans="1:28" ht="13.8">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row>
    <row r="863" spans="1:28" ht="13.8">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row>
    <row r="864" spans="1:28" ht="13.8">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row>
    <row r="865" spans="1:28" ht="13.8">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row>
    <row r="866" spans="1:28" ht="13.8">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row>
    <row r="867" spans="1:28" ht="13.8">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row>
    <row r="868" spans="1:28" ht="13.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row>
    <row r="869" spans="1:28" ht="13.8">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row>
    <row r="870" spans="1:28" ht="13.8">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row>
    <row r="871" spans="1:28" ht="13.8">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row>
    <row r="872" spans="1:28" ht="13.8">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row>
    <row r="873" spans="1:28" ht="13.8">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row>
    <row r="874" spans="1:28" ht="13.8">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row>
    <row r="875" spans="1:28" ht="13.8">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row>
    <row r="876" spans="1:28" ht="13.8">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row>
    <row r="877" spans="1:28" ht="13.8">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row>
    <row r="878" spans="1:28" ht="13.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row>
    <row r="879" spans="1:28" ht="13.8">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row>
    <row r="880" spans="1:28" ht="13.8">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row>
    <row r="881" spans="1:28" ht="13.8">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row>
    <row r="882" spans="1:28" ht="13.8">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row>
    <row r="883" spans="1:28" ht="13.8">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row>
    <row r="884" spans="1:28" ht="13.8">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row>
    <row r="885" spans="1:28" ht="13.8">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row>
    <row r="886" spans="1:28" ht="13.8">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row>
    <row r="887" spans="1:28" ht="13.8">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row>
    <row r="888" spans="1:28" ht="13.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row>
    <row r="889" spans="1:28" ht="13.8">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row>
    <row r="890" spans="1:28" ht="13.8">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row>
    <row r="891" spans="1:28" ht="13.8">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row>
    <row r="892" spans="1:28" ht="13.8">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row>
    <row r="893" spans="1:28" ht="13.8">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row>
    <row r="894" spans="1:28" ht="13.8">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row>
    <row r="895" spans="1:28" ht="13.8">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row>
    <row r="896" spans="1:28" ht="13.8">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row>
    <row r="897" spans="1:28" ht="13.8">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row>
    <row r="898" spans="1:28" ht="13.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row>
    <row r="899" spans="1:28" ht="13.8">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row>
    <row r="900" spans="1:28" ht="13.8">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row>
    <row r="901" spans="1:28" ht="13.8">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row>
    <row r="902" spans="1:28" ht="13.8">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row>
    <row r="903" spans="1:28" ht="13.8">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row>
    <row r="904" spans="1:28" ht="13.8">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row>
    <row r="905" spans="1:28" ht="13.8">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row>
    <row r="906" spans="1:28" ht="13.8">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row>
    <row r="907" spans="1:28" ht="13.8">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row>
    <row r="908" spans="1:28" ht="13.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row>
    <row r="909" spans="1:28" ht="13.8">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row>
    <row r="910" spans="1:28" ht="13.8">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row>
    <row r="911" spans="1:28" ht="13.8">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row>
    <row r="912" spans="1:28" ht="13.8">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row>
    <row r="913" spans="1:28" ht="13.8">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row>
    <row r="914" spans="1:28" ht="13.8">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row>
    <row r="915" spans="1:28" ht="13.8">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row>
    <row r="916" spans="1:28" ht="13.8">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row>
    <row r="917" spans="1:28" ht="13.8">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row>
    <row r="918" spans="1:28" ht="13.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row>
    <row r="919" spans="1:28" ht="13.8">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row>
    <row r="920" spans="1:28" ht="13.8">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row>
    <row r="921" spans="1:28" ht="13.8">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row>
    <row r="922" spans="1:28" ht="13.8">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row>
    <row r="923" spans="1:28" ht="13.8">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row>
    <row r="924" spans="1:28" ht="13.8">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row>
    <row r="925" spans="1:28" ht="13.8">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row>
    <row r="926" spans="1:28" ht="13.8">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row>
    <row r="927" spans="1:28" ht="13.8">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row>
    <row r="928" spans="1:28" ht="13.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row>
    <row r="929" spans="1:28" ht="13.8">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row>
    <row r="930" spans="1:28" ht="13.8">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row>
    <row r="931" spans="1:28" ht="13.8">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row>
    <row r="932" spans="1:28" ht="13.8">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row>
    <row r="933" spans="1:28" ht="13.8">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row>
    <row r="934" spans="1:28" ht="13.8">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row>
    <row r="935" spans="1:28" ht="13.8">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row>
    <row r="936" spans="1:28" ht="13.8">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row>
    <row r="937" spans="1:28" ht="13.8">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row>
    <row r="938" spans="1:28" ht="1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row>
    <row r="939" spans="1:28" ht="13.8">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row>
    <row r="940" spans="1:28" ht="13.8">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row>
    <row r="941" spans="1:28" ht="13.8">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row>
    <row r="942" spans="1:28" ht="13.8">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row>
    <row r="943" spans="1:28" ht="13.8">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row>
    <row r="944" spans="1:28" ht="13.8">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row>
    <row r="945" spans="1:28" ht="13.8">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row>
    <row r="946" spans="1:28" ht="13.8">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row>
    <row r="947" spans="1:28" ht="13.8">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row>
    <row r="948" spans="1:28" ht="13.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row>
    <row r="949" spans="1:28" ht="13.8">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row>
    <row r="950" spans="1:28" ht="13.8">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row>
    <row r="951" spans="1:28" ht="13.8">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row>
    <row r="952" spans="1:28" ht="13.8">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row>
    <row r="953" spans="1:28" ht="13.8">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row>
    <row r="954" spans="1:28" ht="13.8">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row>
    <row r="955" spans="1:28" ht="13.8">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row>
    <row r="956" spans="1:28" ht="13.8">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row>
    <row r="957" spans="1:28" ht="13.8">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row>
    <row r="958" spans="1:28" ht="13.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row>
    <row r="959" spans="1:28" ht="13.8">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row>
    <row r="960" spans="1:28" ht="13.8">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row>
    <row r="961" spans="1:28" ht="13.8">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row>
    <row r="962" spans="1:28" ht="13.8">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row>
    <row r="963" spans="1:28" ht="13.8">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row>
    <row r="964" spans="1:28" ht="13.8">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row>
    <row r="965" spans="1:28" ht="13.8">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row>
    <row r="966" spans="1:28" ht="13.8">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row>
    <row r="967" spans="1:28" ht="13.8">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row>
    <row r="968" spans="1:28" ht="13.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row>
    <row r="969" spans="1:28" ht="13.8">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row>
    <row r="970" spans="1:28" ht="13.8">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row>
    <row r="971" spans="1:28" ht="13.8">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row>
    <row r="972" spans="1:28" ht="13.8">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row>
    <row r="973" spans="1:28" ht="13.8">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row>
    <row r="974" spans="1:28" ht="13.8">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row>
    <row r="975" spans="1:28" ht="13.8">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row>
    <row r="976" spans="1:28" ht="13.8">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row>
    <row r="977" spans="1:28" ht="13.8">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row>
    <row r="978" spans="1:28" ht="13.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row>
    <row r="979" spans="1:28" ht="13.8">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row>
    <row r="980" spans="1:28" ht="13.8">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row>
    <row r="981" spans="1:28" ht="13.8">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row>
    <row r="982" spans="1:28" ht="13.8">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row>
    <row r="983" spans="1:28" ht="13.8">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row>
    <row r="984" spans="1:28" ht="13.8">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row>
    <row r="985" spans="1:28" ht="13.8">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row>
    <row r="986" spans="1:28" ht="13.8">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row>
    <row r="987" spans="1:28" ht="13.8">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row>
    <row r="988" spans="1:28" ht="13.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row>
    <row r="989" spans="1:28" ht="13.8">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row>
    <row r="990" spans="1:28" ht="13.8">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row>
    <row r="991" spans="1:28" ht="13.8">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row>
    <row r="992" spans="1:28" ht="13.8">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row>
    <row r="993" spans="1:28" ht="13.8">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row>
    <row r="994" spans="1:28" ht="13.8">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row>
    <row r="995" spans="1:28" ht="13.8">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row>
    <row r="996" spans="1:28" ht="13.8">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row>
    <row r="997" spans="1:28" ht="13.8">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row>
    <row r="998" spans="1:28" ht="13.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row>
    <row r="999" spans="1:28" ht="13.8">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row>
    <row r="1000" spans="1:28" ht="13.8">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row>
    <row r="1001" spans="1:28" ht="13.8">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row>
    <row r="1002" spans="1:28" ht="13.8">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row>
    <row r="1003" spans="1:28" ht="13.8">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row>
    <row r="1004" spans="1:28" ht="13.8">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row>
    <row r="1005" spans="1:28" ht="13.8">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row>
    <row r="1006" spans="1:28" ht="13.8">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row>
    <row r="1007" spans="1:28" ht="13.8">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row>
    <row r="1008" spans="1:28" ht="13.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row>
    <row r="1009" spans="1:28" ht="13.8">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row>
    <row r="1010" spans="1:28" ht="13.8">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row>
    <row r="1011" spans="1:28" ht="13.8">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row>
    <row r="1012" spans="1:28" ht="13.8">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row>
    <row r="1013" spans="1:28" ht="13.8">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row>
    <row r="1014" spans="1:28" ht="13.8">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row>
    <row r="1015" spans="1:28" ht="13.8">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c r="AA1015" s="85"/>
      <c r="AB1015" s="85"/>
    </row>
    <row r="1016" spans="1:28" ht="13.8">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c r="AA1016" s="85"/>
      <c r="AB1016" s="85"/>
    </row>
    <row r="1017" spans="1:28" ht="13.8">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c r="AA1017" s="85"/>
      <c r="AB1017" s="8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0"/>
  <sheetViews>
    <sheetView workbookViewId="0">
      <selection activeCell="B1" sqref="B1:B1048576"/>
    </sheetView>
  </sheetViews>
  <sheetFormatPr defaultColWidth="12.6640625" defaultRowHeight="15.75" customHeight="1"/>
  <cols>
    <col min="1" max="1" width="34.44140625" customWidth="1"/>
    <col min="2" max="2" width="5.21875" customWidth="1"/>
  </cols>
  <sheetData>
    <row r="1" spans="1:28" ht="15.75" customHeight="1">
      <c r="A1" s="139" t="s">
        <v>252</v>
      </c>
      <c r="B1" s="85"/>
      <c r="C1" s="85"/>
      <c r="D1" s="85"/>
      <c r="E1" s="85"/>
      <c r="F1" s="85"/>
      <c r="G1" s="85"/>
      <c r="H1" s="85"/>
      <c r="I1" s="85"/>
      <c r="J1" s="2"/>
      <c r="K1" s="2"/>
      <c r="L1" s="2"/>
      <c r="M1" s="2"/>
      <c r="N1" s="2"/>
      <c r="O1" s="2"/>
      <c r="P1" s="2"/>
      <c r="Q1" s="2"/>
      <c r="R1" s="2"/>
      <c r="S1" s="2"/>
      <c r="T1" s="2"/>
      <c r="U1" s="2"/>
      <c r="V1" s="2"/>
      <c r="W1" s="2"/>
      <c r="X1" s="2"/>
      <c r="Y1" s="2"/>
      <c r="Z1" s="2"/>
      <c r="AA1" s="2"/>
      <c r="AB1" s="2"/>
    </row>
    <row r="2" spans="1:28" ht="13.8">
      <c r="A2" s="89" t="s">
        <v>6</v>
      </c>
      <c r="B2" s="85"/>
      <c r="C2" s="85"/>
      <c r="D2" s="85"/>
      <c r="E2" s="85"/>
      <c r="F2" s="85"/>
      <c r="G2" s="85"/>
      <c r="H2" s="85"/>
      <c r="I2" s="85"/>
      <c r="J2" s="2"/>
      <c r="K2" s="2"/>
      <c r="L2" s="2"/>
      <c r="M2" s="2"/>
      <c r="N2" s="2"/>
      <c r="O2" s="2"/>
      <c r="P2" s="2"/>
      <c r="Q2" s="2"/>
      <c r="R2" s="2"/>
      <c r="S2" s="2"/>
      <c r="T2" s="2"/>
      <c r="U2" s="2"/>
      <c r="V2" s="2"/>
      <c r="W2" s="2"/>
      <c r="X2" s="2"/>
      <c r="Y2" s="2"/>
      <c r="Z2" s="2"/>
      <c r="AA2" s="2"/>
      <c r="AB2" s="2"/>
    </row>
    <row r="3" spans="1:28" ht="13.8">
      <c r="A3" s="85"/>
      <c r="B3" s="85"/>
      <c r="C3" s="85"/>
      <c r="D3" s="85"/>
      <c r="E3" s="85"/>
      <c r="F3" s="85"/>
      <c r="G3" s="85"/>
      <c r="H3" s="85"/>
      <c r="I3" s="85"/>
      <c r="J3" s="2"/>
      <c r="K3" s="2"/>
      <c r="L3" s="2"/>
      <c r="M3" s="2"/>
      <c r="N3" s="2"/>
      <c r="O3" s="2"/>
      <c r="P3" s="2"/>
      <c r="Q3" s="2"/>
      <c r="R3" s="2"/>
      <c r="S3" s="2"/>
      <c r="T3" s="2"/>
      <c r="U3" s="2"/>
      <c r="V3" s="2"/>
      <c r="W3" s="2"/>
      <c r="X3" s="2"/>
      <c r="Y3" s="2"/>
      <c r="Z3" s="2"/>
      <c r="AA3" s="2"/>
      <c r="AB3" s="2"/>
    </row>
    <row r="4" spans="1:28" ht="13.8">
      <c r="A4" s="208" t="s">
        <v>8</v>
      </c>
      <c r="B4" s="85"/>
      <c r="C4" s="209">
        <v>2016</v>
      </c>
      <c r="D4" s="209">
        <v>2017</v>
      </c>
      <c r="E4" s="209">
        <v>2018</v>
      </c>
      <c r="F4" s="209">
        <v>2019</v>
      </c>
      <c r="G4" s="209">
        <v>2020</v>
      </c>
      <c r="H4" s="209">
        <v>2021</v>
      </c>
      <c r="I4" s="209">
        <v>2022</v>
      </c>
      <c r="J4" s="2"/>
      <c r="K4" s="2"/>
      <c r="L4" s="2"/>
      <c r="M4" s="2"/>
      <c r="N4" s="2"/>
      <c r="O4" s="2"/>
      <c r="P4" s="2"/>
      <c r="Q4" s="2"/>
      <c r="R4" s="2"/>
      <c r="S4" s="2"/>
      <c r="T4" s="2"/>
      <c r="U4" s="2"/>
      <c r="V4" s="2"/>
      <c r="W4" s="2"/>
      <c r="X4" s="2"/>
      <c r="Y4" s="2"/>
      <c r="Z4" s="2"/>
      <c r="AA4" s="2"/>
      <c r="AB4" s="2"/>
    </row>
    <row r="5" spans="1:28" ht="13.8">
      <c r="A5" s="85"/>
      <c r="B5" s="85"/>
      <c r="C5" s="85"/>
      <c r="D5" s="85"/>
      <c r="E5" s="85"/>
      <c r="F5" s="85"/>
      <c r="G5" s="85"/>
      <c r="H5" s="85"/>
      <c r="I5" s="85"/>
      <c r="J5" s="2"/>
      <c r="K5" s="2"/>
      <c r="L5" s="2"/>
      <c r="M5" s="2"/>
      <c r="N5" s="2"/>
      <c r="O5" s="2"/>
      <c r="P5" s="2"/>
      <c r="Q5" s="2"/>
      <c r="R5" s="2"/>
      <c r="S5" s="2"/>
      <c r="T5" s="2"/>
      <c r="U5" s="2"/>
      <c r="V5" s="2"/>
      <c r="W5" s="2"/>
      <c r="X5" s="2"/>
      <c r="Y5" s="2"/>
      <c r="Z5" s="2"/>
      <c r="AA5" s="2"/>
      <c r="AB5" s="2"/>
    </row>
    <row r="6" spans="1:28" ht="13.8">
      <c r="A6" s="89" t="s">
        <v>253</v>
      </c>
      <c r="B6" s="85"/>
      <c r="C6" s="142"/>
      <c r="D6" s="142"/>
      <c r="E6" s="142">
        <v>32463</v>
      </c>
      <c r="F6" s="142">
        <v>57376</v>
      </c>
      <c r="G6" s="142">
        <v>106576</v>
      </c>
      <c r="H6" s="142">
        <v>165894</v>
      </c>
      <c r="I6" s="142">
        <v>201054</v>
      </c>
      <c r="J6" s="2"/>
      <c r="K6" s="2"/>
      <c r="L6" s="2"/>
      <c r="M6" s="2"/>
      <c r="N6" s="2"/>
      <c r="O6" s="2"/>
      <c r="P6" s="2"/>
      <c r="Q6" s="2"/>
      <c r="R6" s="2"/>
      <c r="S6" s="2"/>
      <c r="T6" s="2"/>
      <c r="U6" s="2"/>
      <c r="V6" s="2"/>
      <c r="W6" s="2"/>
      <c r="X6" s="2"/>
      <c r="Y6" s="2"/>
      <c r="Z6" s="2"/>
      <c r="AA6" s="2"/>
      <c r="AB6" s="2"/>
    </row>
    <row r="7" spans="1:28" ht="13.8">
      <c r="A7" s="89" t="s">
        <v>254</v>
      </c>
      <c r="B7" s="85"/>
      <c r="C7" s="142">
        <v>7264</v>
      </c>
      <c r="D7" s="142">
        <v>12210</v>
      </c>
      <c r="E7" s="142">
        <v>22830</v>
      </c>
      <c r="F7" s="142">
        <v>58149</v>
      </c>
      <c r="G7" s="142">
        <v>98285</v>
      </c>
      <c r="H7" s="142">
        <v>142014</v>
      </c>
      <c r="I7" s="142">
        <v>105347</v>
      </c>
      <c r="J7" s="2"/>
      <c r="K7" s="2"/>
      <c r="L7" s="2"/>
      <c r="M7" s="2"/>
      <c r="N7" s="2"/>
      <c r="O7" s="2"/>
      <c r="P7" s="2"/>
      <c r="Q7" s="2"/>
      <c r="R7" s="2"/>
      <c r="S7" s="2"/>
      <c r="T7" s="2"/>
      <c r="U7" s="2"/>
      <c r="V7" s="2"/>
      <c r="W7" s="2"/>
      <c r="X7" s="2"/>
      <c r="Y7" s="2"/>
      <c r="Z7" s="2"/>
      <c r="AA7" s="2"/>
      <c r="AB7" s="2"/>
    </row>
    <row r="8" spans="1:28" ht="13.8">
      <c r="A8" s="89" t="s">
        <v>255</v>
      </c>
      <c r="B8" s="85"/>
      <c r="C8" s="142"/>
      <c r="D8" s="142"/>
      <c r="E8" s="142">
        <v>0</v>
      </c>
      <c r="F8" s="142">
        <v>7624</v>
      </c>
      <c r="G8" s="142">
        <v>43645</v>
      </c>
      <c r="H8" s="142">
        <v>47428</v>
      </c>
      <c r="I8" s="142">
        <v>163367</v>
      </c>
      <c r="J8" s="2"/>
      <c r="K8" s="2"/>
      <c r="L8" s="2"/>
      <c r="M8" s="2"/>
      <c r="N8" s="2"/>
      <c r="O8" s="2"/>
      <c r="P8" s="2"/>
      <c r="Q8" s="2"/>
      <c r="R8" s="2"/>
      <c r="S8" s="2"/>
      <c r="T8" s="2"/>
      <c r="U8" s="2"/>
      <c r="V8" s="2"/>
      <c r="W8" s="2"/>
      <c r="X8" s="2"/>
      <c r="Y8" s="2"/>
      <c r="Z8" s="2"/>
      <c r="AA8" s="2"/>
      <c r="AB8" s="2"/>
    </row>
    <row r="9" spans="1:28" ht="13.8">
      <c r="A9" s="89" t="s">
        <v>256</v>
      </c>
      <c r="B9" s="85"/>
      <c r="C9" s="142">
        <v>0</v>
      </c>
      <c r="D9" s="142">
        <v>0</v>
      </c>
      <c r="E9" s="142">
        <v>0</v>
      </c>
      <c r="F9" s="142">
        <v>17896</v>
      </c>
      <c r="G9" s="142">
        <v>35647</v>
      </c>
      <c r="H9" s="142">
        <v>37116</v>
      </c>
      <c r="I9" s="142">
        <v>54689</v>
      </c>
      <c r="J9" s="2"/>
      <c r="K9" s="2"/>
      <c r="L9" s="2"/>
      <c r="M9" s="2"/>
      <c r="N9" s="2"/>
      <c r="O9" s="2"/>
      <c r="P9" s="2"/>
      <c r="Q9" s="2"/>
      <c r="R9" s="2"/>
      <c r="S9" s="2"/>
      <c r="T9" s="2"/>
      <c r="U9" s="2"/>
      <c r="V9" s="2"/>
      <c r="W9" s="2"/>
      <c r="X9" s="2"/>
      <c r="Y9" s="2"/>
      <c r="Z9" s="2"/>
      <c r="AA9" s="2"/>
      <c r="AB9" s="2"/>
    </row>
    <row r="10" spans="1:28" ht="13.8">
      <c r="A10" s="89" t="s">
        <v>257</v>
      </c>
      <c r="B10" s="85"/>
      <c r="C10" s="142"/>
      <c r="D10" s="142"/>
      <c r="E10" s="142">
        <v>0</v>
      </c>
      <c r="F10" s="142">
        <v>1679</v>
      </c>
      <c r="G10" s="142">
        <v>6165</v>
      </c>
      <c r="H10" s="142">
        <v>70462</v>
      </c>
      <c r="I10" s="142">
        <v>88717</v>
      </c>
      <c r="J10" s="2"/>
      <c r="K10" s="2"/>
      <c r="L10" s="2"/>
      <c r="M10" s="2"/>
      <c r="N10" s="2"/>
      <c r="O10" s="2"/>
      <c r="P10" s="2"/>
      <c r="Q10" s="2"/>
      <c r="R10" s="2"/>
      <c r="S10" s="2"/>
      <c r="T10" s="2"/>
      <c r="U10" s="2"/>
      <c r="V10" s="2"/>
      <c r="W10" s="2"/>
      <c r="X10" s="2"/>
      <c r="Y10" s="2"/>
      <c r="Z10" s="2"/>
      <c r="AA10" s="2"/>
      <c r="AB10" s="2"/>
    </row>
    <row r="11" spans="1:28" ht="13.8">
      <c r="A11" s="89" t="s">
        <v>258</v>
      </c>
      <c r="B11" s="85"/>
      <c r="C11" s="142"/>
      <c r="D11" s="142"/>
      <c r="E11" s="210">
        <f>6091+7939+22663</f>
        <v>36693</v>
      </c>
      <c r="F11" s="210">
        <f>18040+12969+24614</f>
        <v>55623</v>
      </c>
      <c r="G11" s="210">
        <v>57350</v>
      </c>
      <c r="H11" s="210">
        <v>86141</v>
      </c>
      <c r="I11" s="210">
        <v>137636</v>
      </c>
      <c r="J11" s="2"/>
      <c r="K11" s="2"/>
      <c r="L11" s="2"/>
      <c r="M11" s="2"/>
      <c r="N11" s="2"/>
      <c r="O11" s="2"/>
      <c r="P11" s="2"/>
      <c r="Q11" s="2"/>
      <c r="R11" s="2"/>
      <c r="S11" s="2"/>
      <c r="T11" s="2"/>
      <c r="U11" s="2"/>
      <c r="V11" s="2"/>
      <c r="W11" s="2"/>
      <c r="X11" s="2"/>
      <c r="Y11" s="2"/>
      <c r="Z11" s="2"/>
      <c r="AA11" s="2"/>
      <c r="AB11" s="2"/>
    </row>
    <row r="12" spans="1:28" ht="13.8">
      <c r="A12" s="89" t="s">
        <v>259</v>
      </c>
      <c r="B12" s="85"/>
      <c r="C12" s="211">
        <v>46156</v>
      </c>
      <c r="D12" s="211">
        <v>72344</v>
      </c>
      <c r="E12" s="212">
        <f t="shared" ref="E12:I12" si="0">SUM(E6:E11)</f>
        <v>91986</v>
      </c>
      <c r="F12" s="212">
        <f t="shared" si="0"/>
        <v>198347</v>
      </c>
      <c r="G12" s="212">
        <f t="shared" si="0"/>
        <v>347668</v>
      </c>
      <c r="H12" s="212">
        <f t="shared" si="0"/>
        <v>549055</v>
      </c>
      <c r="I12" s="212">
        <f t="shared" si="0"/>
        <v>750810</v>
      </c>
      <c r="J12" s="2"/>
      <c r="K12" s="2"/>
      <c r="L12" s="2"/>
      <c r="M12" s="2"/>
      <c r="N12" s="2"/>
      <c r="O12" s="2"/>
      <c r="P12" s="2"/>
      <c r="Q12" s="2"/>
      <c r="R12" s="2"/>
      <c r="S12" s="2"/>
      <c r="T12" s="2"/>
      <c r="U12" s="2"/>
      <c r="V12" s="2"/>
      <c r="W12" s="2"/>
      <c r="X12" s="2"/>
      <c r="Y12" s="2"/>
      <c r="Z12" s="2"/>
      <c r="AA12" s="2"/>
      <c r="AB12" s="2"/>
    </row>
    <row r="13" spans="1:28" ht="13.2">
      <c r="A13" s="2"/>
      <c r="B13" s="2"/>
      <c r="C13" s="7"/>
      <c r="D13" s="7"/>
      <c r="E13" s="7"/>
      <c r="F13" s="7"/>
      <c r="G13" s="2"/>
      <c r="H13" s="2"/>
      <c r="I13" s="2"/>
      <c r="J13" s="2"/>
      <c r="K13" s="2"/>
      <c r="L13" s="2"/>
      <c r="M13" s="2"/>
      <c r="N13" s="2"/>
      <c r="O13" s="2"/>
      <c r="P13" s="2"/>
      <c r="Q13" s="2"/>
      <c r="R13" s="2"/>
      <c r="S13" s="2"/>
      <c r="T13" s="2"/>
      <c r="U13" s="2"/>
      <c r="V13" s="2"/>
      <c r="W13" s="2"/>
      <c r="X13" s="2"/>
      <c r="Y13" s="2"/>
      <c r="Z13" s="2"/>
      <c r="AA13" s="2"/>
      <c r="AB13" s="2"/>
    </row>
    <row r="14" spans="1:28" ht="13.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3.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3.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3.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3.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3.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3.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3.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3.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3.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3.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3.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3.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3.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3.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3.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3.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3.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3.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3.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3.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3.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3.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3.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3.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3.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3.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3.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3.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3.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3.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3.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3.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3.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3.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3.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3.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3.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3.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3.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3.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3.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3.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3.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3.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3.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3.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3.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3.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3.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3.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3.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3.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3.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3.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3.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3.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3.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3.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3.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3.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3.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3.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3.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3.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3.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3.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3.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3.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9" sqref="A2:B9"/>
    </sheetView>
  </sheetViews>
  <sheetFormatPr defaultColWidth="12.6640625" defaultRowHeight="15.75" customHeight="1"/>
  <sheetData>
    <row r="1" spans="1:26" ht="15.75" customHeight="1">
      <c r="A1" s="139" t="s">
        <v>260</v>
      </c>
      <c r="B1" s="85"/>
      <c r="C1" s="2"/>
      <c r="D1" s="2"/>
      <c r="E1" s="2"/>
      <c r="F1" s="2"/>
      <c r="G1" s="2"/>
      <c r="H1" s="2"/>
      <c r="I1" s="2"/>
      <c r="J1" s="2"/>
      <c r="K1" s="2"/>
      <c r="L1" s="2"/>
      <c r="M1" s="2"/>
      <c r="N1" s="2"/>
      <c r="O1" s="2"/>
      <c r="P1" s="2"/>
      <c r="Q1" s="2"/>
      <c r="R1" s="2"/>
      <c r="S1" s="2"/>
      <c r="T1" s="2"/>
      <c r="U1" s="2"/>
      <c r="V1" s="2"/>
      <c r="W1" s="2"/>
      <c r="X1" s="2"/>
      <c r="Y1" s="2"/>
      <c r="Z1" s="2"/>
    </row>
    <row r="2" spans="1:26" ht="13.8">
      <c r="A2" s="89" t="s">
        <v>261</v>
      </c>
      <c r="B2" s="85"/>
      <c r="C2" s="2"/>
      <c r="D2" s="2"/>
      <c r="E2" s="2"/>
      <c r="F2" s="2"/>
      <c r="G2" s="2"/>
      <c r="H2" s="2"/>
      <c r="I2" s="2"/>
      <c r="J2" s="2"/>
      <c r="K2" s="2"/>
      <c r="L2" s="2"/>
      <c r="M2" s="2"/>
      <c r="N2" s="2"/>
      <c r="O2" s="2"/>
      <c r="P2" s="2"/>
      <c r="Q2" s="2"/>
      <c r="R2" s="2"/>
      <c r="S2" s="2"/>
      <c r="T2" s="2"/>
      <c r="U2" s="2"/>
      <c r="V2" s="2"/>
      <c r="W2" s="2"/>
      <c r="X2" s="2"/>
      <c r="Y2" s="2"/>
      <c r="Z2" s="2"/>
    </row>
    <row r="3" spans="1:26" ht="13.8">
      <c r="A3" s="89">
        <v>2023</v>
      </c>
      <c r="B3" s="198">
        <v>17066</v>
      </c>
      <c r="C3" s="2"/>
      <c r="D3" s="2"/>
      <c r="E3" s="2"/>
      <c r="F3" s="2"/>
      <c r="G3" s="2"/>
      <c r="H3" s="2"/>
      <c r="I3" s="2"/>
      <c r="J3" s="2"/>
      <c r="K3" s="2"/>
      <c r="L3" s="2"/>
      <c r="M3" s="2"/>
      <c r="N3" s="2"/>
      <c r="O3" s="2"/>
      <c r="P3" s="2"/>
      <c r="Q3" s="2"/>
      <c r="R3" s="2"/>
      <c r="S3" s="2"/>
      <c r="T3" s="2"/>
      <c r="U3" s="2"/>
      <c r="V3" s="2"/>
      <c r="W3" s="2"/>
      <c r="X3" s="2"/>
      <c r="Y3" s="2"/>
      <c r="Z3" s="2"/>
    </row>
    <row r="4" spans="1:26" ht="13.8">
      <c r="A4" s="89">
        <v>2024</v>
      </c>
      <c r="B4" s="198">
        <v>14275</v>
      </c>
      <c r="C4" s="2"/>
      <c r="D4" s="2"/>
      <c r="E4" s="2"/>
      <c r="F4" s="2"/>
      <c r="G4" s="2"/>
      <c r="H4" s="2"/>
      <c r="I4" s="2"/>
      <c r="J4" s="2"/>
      <c r="K4" s="2"/>
      <c r="L4" s="2"/>
      <c r="M4" s="2"/>
      <c r="N4" s="2"/>
      <c r="O4" s="2"/>
      <c r="P4" s="2"/>
      <c r="Q4" s="2"/>
      <c r="R4" s="2"/>
      <c r="S4" s="2"/>
      <c r="T4" s="2"/>
      <c r="U4" s="2"/>
      <c r="V4" s="2"/>
      <c r="W4" s="2"/>
      <c r="X4" s="2"/>
      <c r="Y4" s="2"/>
      <c r="Z4" s="2"/>
    </row>
    <row r="5" spans="1:26" ht="13.8">
      <c r="A5" s="89">
        <v>2025</v>
      </c>
      <c r="B5" s="198">
        <v>12571</v>
      </c>
      <c r="C5" s="2"/>
      <c r="D5" s="2"/>
      <c r="E5" s="2"/>
      <c r="F5" s="2"/>
      <c r="G5" s="2"/>
      <c r="H5" s="2"/>
      <c r="I5" s="2"/>
      <c r="J5" s="2"/>
      <c r="K5" s="2"/>
      <c r="L5" s="2"/>
      <c r="M5" s="2"/>
      <c r="N5" s="2"/>
      <c r="O5" s="2"/>
      <c r="P5" s="2"/>
      <c r="Q5" s="2"/>
      <c r="R5" s="2"/>
      <c r="S5" s="2"/>
      <c r="T5" s="2"/>
      <c r="U5" s="2"/>
      <c r="V5" s="2"/>
      <c r="W5" s="2"/>
      <c r="X5" s="2"/>
      <c r="Y5" s="2"/>
      <c r="Z5" s="2"/>
    </row>
    <row r="6" spans="1:26" ht="13.8">
      <c r="A6" s="89">
        <v>2026</v>
      </c>
      <c r="B6" s="198">
        <v>4074</v>
      </c>
      <c r="C6" s="2"/>
      <c r="D6" s="2"/>
      <c r="E6" s="2"/>
      <c r="F6" s="2"/>
      <c r="G6" s="2"/>
      <c r="H6" s="2"/>
      <c r="I6" s="2"/>
      <c r="J6" s="2"/>
      <c r="K6" s="2"/>
      <c r="L6" s="2"/>
      <c r="M6" s="2"/>
      <c r="N6" s="2"/>
      <c r="O6" s="2"/>
      <c r="P6" s="2"/>
      <c r="Q6" s="2"/>
      <c r="R6" s="2"/>
      <c r="S6" s="2"/>
      <c r="T6" s="2"/>
      <c r="U6" s="2"/>
      <c r="V6" s="2"/>
      <c r="W6" s="2"/>
      <c r="X6" s="2"/>
      <c r="Y6" s="2"/>
      <c r="Z6" s="2"/>
    </row>
    <row r="7" spans="1:26" ht="13.8">
      <c r="A7" s="89">
        <v>2027</v>
      </c>
      <c r="B7" s="198">
        <v>2737</v>
      </c>
      <c r="C7" s="2"/>
      <c r="D7" s="2"/>
      <c r="E7" s="2"/>
      <c r="F7" s="2"/>
      <c r="G7" s="2"/>
      <c r="H7" s="2"/>
      <c r="I7" s="2"/>
      <c r="J7" s="2"/>
      <c r="K7" s="2"/>
      <c r="L7" s="2"/>
      <c r="M7" s="2"/>
      <c r="N7" s="2"/>
      <c r="O7" s="2"/>
      <c r="P7" s="2"/>
      <c r="Q7" s="2"/>
      <c r="R7" s="2"/>
      <c r="S7" s="2"/>
      <c r="T7" s="2"/>
      <c r="U7" s="2"/>
      <c r="V7" s="2"/>
      <c r="W7" s="2"/>
      <c r="X7" s="2"/>
      <c r="Y7" s="2"/>
      <c r="Z7" s="2"/>
    </row>
    <row r="8" spans="1:26" ht="13.8">
      <c r="A8" s="89" t="s">
        <v>262</v>
      </c>
      <c r="B8" s="198">
        <v>8158</v>
      </c>
      <c r="C8" s="2"/>
      <c r="D8" s="2"/>
      <c r="E8" s="2"/>
      <c r="F8" s="2"/>
      <c r="G8" s="2"/>
      <c r="H8" s="2"/>
      <c r="I8" s="2"/>
      <c r="J8" s="2"/>
      <c r="K8" s="2"/>
      <c r="L8" s="2"/>
      <c r="M8" s="2"/>
      <c r="N8" s="2"/>
      <c r="O8" s="2"/>
      <c r="P8" s="2"/>
      <c r="Q8" s="2"/>
      <c r="R8" s="2"/>
      <c r="S8" s="2"/>
      <c r="T8" s="2"/>
      <c r="U8" s="2"/>
      <c r="V8" s="2"/>
      <c r="W8" s="2"/>
      <c r="X8" s="2"/>
      <c r="Y8" s="2"/>
      <c r="Z8" s="2"/>
    </row>
    <row r="9" spans="1:26" ht="13.8">
      <c r="A9" s="89" t="s">
        <v>263</v>
      </c>
      <c r="B9" s="114">
        <f>SUM(B3:B8)</f>
        <v>58881</v>
      </c>
      <c r="C9" s="2"/>
      <c r="D9" s="2"/>
      <c r="E9" s="2"/>
      <c r="F9" s="2"/>
      <c r="G9" s="2"/>
      <c r="H9" s="2"/>
      <c r="I9" s="2"/>
      <c r="J9" s="2"/>
      <c r="K9" s="2"/>
      <c r="L9" s="2"/>
      <c r="M9" s="2"/>
      <c r="N9" s="2"/>
      <c r="O9" s="2"/>
      <c r="P9" s="2"/>
      <c r="Q9" s="2"/>
      <c r="R9" s="2"/>
      <c r="S9" s="2"/>
      <c r="T9" s="2"/>
      <c r="U9" s="2"/>
      <c r="V9" s="2"/>
      <c r="W9" s="2"/>
      <c r="X9" s="2"/>
      <c r="Y9" s="2"/>
      <c r="Z9" s="2"/>
    </row>
    <row r="10" spans="1:26" ht="13.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3.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3.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Y1000"/>
  <sheetViews>
    <sheetView workbookViewId="0">
      <pane xSplit="1" topLeftCell="B1" activePane="topRight" state="frozen"/>
      <selection pane="topRight" activeCell="A19" sqref="A19"/>
    </sheetView>
  </sheetViews>
  <sheetFormatPr defaultColWidth="12.6640625" defaultRowHeight="15.75" customHeight="1"/>
  <cols>
    <col min="1" max="1" width="32" style="86" customWidth="1"/>
    <col min="2" max="16384" width="12.6640625" style="86"/>
  </cols>
  <sheetData>
    <row r="1" spans="1:25" ht="15.75" customHeight="1">
      <c r="A1" s="139" t="s">
        <v>172</v>
      </c>
      <c r="B1" s="85"/>
      <c r="C1" s="85"/>
      <c r="D1" s="85"/>
      <c r="E1" s="85"/>
      <c r="F1" s="85"/>
      <c r="G1" s="85"/>
      <c r="H1" s="85"/>
      <c r="I1" s="85"/>
      <c r="J1" s="85"/>
      <c r="K1" s="85"/>
      <c r="L1" s="85"/>
      <c r="M1" s="85"/>
      <c r="N1" s="85"/>
      <c r="O1" s="85"/>
      <c r="P1" s="85"/>
      <c r="Q1" s="85"/>
      <c r="R1" s="85"/>
      <c r="S1" s="85"/>
      <c r="T1" s="85"/>
      <c r="U1" s="85"/>
      <c r="V1" s="85"/>
      <c r="W1" s="85"/>
      <c r="X1" s="85"/>
      <c r="Y1" s="85"/>
    </row>
    <row r="2" spans="1:25" ht="13.8">
      <c r="A2" s="85"/>
      <c r="B2" s="85"/>
      <c r="C2" s="85"/>
      <c r="D2" s="85"/>
      <c r="E2" s="85"/>
      <c r="F2" s="85"/>
      <c r="G2" s="85"/>
      <c r="H2" s="85"/>
      <c r="I2" s="85"/>
      <c r="J2" s="85"/>
      <c r="K2" s="85"/>
      <c r="L2" s="85"/>
      <c r="M2" s="85"/>
      <c r="N2" s="85"/>
      <c r="O2" s="85"/>
      <c r="P2" s="85"/>
      <c r="Q2" s="85"/>
      <c r="R2" s="85"/>
      <c r="S2" s="85"/>
      <c r="T2" s="85"/>
      <c r="U2" s="85"/>
      <c r="V2" s="85"/>
      <c r="W2" s="85"/>
      <c r="X2" s="85"/>
      <c r="Y2" s="85"/>
    </row>
    <row r="3" spans="1:25" ht="13.8">
      <c r="A3" s="85"/>
      <c r="B3" s="89">
        <v>2016</v>
      </c>
      <c r="C3" s="89">
        <v>2017</v>
      </c>
      <c r="D3" s="89">
        <v>2018</v>
      </c>
      <c r="E3" s="89">
        <v>2019</v>
      </c>
      <c r="F3" s="89">
        <v>2020</v>
      </c>
      <c r="G3" s="89">
        <v>2021</v>
      </c>
      <c r="H3" s="89">
        <v>2022</v>
      </c>
      <c r="I3" s="89">
        <v>2023</v>
      </c>
      <c r="J3" s="89">
        <v>2024</v>
      </c>
      <c r="K3" s="89">
        <v>2025</v>
      </c>
      <c r="L3" s="89">
        <v>2026</v>
      </c>
      <c r="M3" s="89">
        <v>2027</v>
      </c>
      <c r="N3" s="89">
        <v>2028</v>
      </c>
      <c r="O3" s="89">
        <v>2029</v>
      </c>
      <c r="P3" s="89">
        <v>2030</v>
      </c>
      <c r="Q3" s="85"/>
      <c r="R3" s="85"/>
      <c r="S3" s="85"/>
      <c r="T3" s="85"/>
      <c r="U3" s="85"/>
      <c r="V3" s="85"/>
      <c r="W3" s="85"/>
      <c r="X3" s="85"/>
      <c r="Y3" s="85"/>
    </row>
    <row r="4" spans="1:25" ht="13.8">
      <c r="A4" s="142" t="s">
        <v>264</v>
      </c>
      <c r="B4" s="106"/>
      <c r="C4" s="106"/>
      <c r="D4" s="106"/>
      <c r="E4" s="106"/>
      <c r="F4" s="106"/>
      <c r="G4" s="198">
        <v>218456</v>
      </c>
      <c r="H4" s="198">
        <v>243226</v>
      </c>
      <c r="I4" s="85"/>
      <c r="J4" s="85"/>
      <c r="K4" s="85"/>
      <c r="L4" s="85"/>
      <c r="M4" s="85"/>
      <c r="N4" s="85"/>
      <c r="O4" s="85"/>
      <c r="P4" s="85"/>
      <c r="Q4" s="85"/>
      <c r="R4" s="85"/>
      <c r="S4" s="85"/>
      <c r="T4" s="85"/>
      <c r="U4" s="85"/>
      <c r="V4" s="85"/>
      <c r="W4" s="85"/>
      <c r="X4" s="85"/>
      <c r="Y4" s="85"/>
    </row>
    <row r="5" spans="1:25" ht="13.8">
      <c r="A5" s="142" t="s">
        <v>265</v>
      </c>
      <c r="B5" s="106"/>
      <c r="C5" s="106"/>
      <c r="D5" s="106"/>
      <c r="E5" s="106"/>
      <c r="F5" s="106"/>
      <c r="G5" s="114"/>
      <c r="H5" s="114"/>
      <c r="I5" s="85"/>
      <c r="J5" s="85"/>
      <c r="K5" s="85"/>
      <c r="L5" s="85"/>
      <c r="M5" s="85"/>
      <c r="N5" s="85"/>
      <c r="O5" s="85"/>
      <c r="P5" s="85"/>
      <c r="Q5" s="85"/>
      <c r="R5" s="85"/>
      <c r="S5" s="85"/>
      <c r="T5" s="85"/>
      <c r="U5" s="85"/>
      <c r="V5" s="85"/>
      <c r="W5" s="85"/>
      <c r="X5" s="85"/>
      <c r="Y5" s="85"/>
    </row>
    <row r="6" spans="1:25" ht="13.8">
      <c r="A6" s="142" t="s">
        <v>266</v>
      </c>
      <c r="B6" s="106"/>
      <c r="C6" s="106"/>
      <c r="D6" s="106"/>
      <c r="E6" s="106"/>
      <c r="F6" s="106"/>
      <c r="G6" s="198">
        <v>20030</v>
      </c>
      <c r="H6" s="198">
        <v>42605</v>
      </c>
      <c r="I6" s="85"/>
      <c r="J6" s="85"/>
      <c r="K6" s="85"/>
      <c r="L6" s="85"/>
      <c r="M6" s="85"/>
      <c r="N6" s="85"/>
      <c r="O6" s="85"/>
      <c r="P6" s="85"/>
      <c r="Q6" s="85"/>
      <c r="R6" s="85"/>
      <c r="S6" s="85"/>
      <c r="T6" s="85"/>
      <c r="U6" s="85"/>
      <c r="V6" s="85"/>
      <c r="W6" s="85"/>
      <c r="X6" s="85"/>
      <c r="Y6" s="85"/>
    </row>
    <row r="7" spans="1:25" ht="13.8">
      <c r="A7" s="142" t="s">
        <v>267</v>
      </c>
      <c r="B7" s="106"/>
      <c r="C7" s="106"/>
      <c r="D7" s="106"/>
      <c r="E7" s="106"/>
      <c r="F7" s="106"/>
      <c r="G7" s="198">
        <v>881</v>
      </c>
      <c r="H7" s="198">
        <v>3537</v>
      </c>
      <c r="I7" s="85"/>
      <c r="J7" s="85"/>
      <c r="K7" s="85"/>
      <c r="L7" s="85"/>
      <c r="M7" s="85"/>
      <c r="N7" s="85"/>
      <c r="O7" s="85"/>
      <c r="P7" s="85"/>
      <c r="Q7" s="85"/>
      <c r="R7" s="85"/>
      <c r="S7" s="85"/>
      <c r="T7" s="85"/>
      <c r="U7" s="85"/>
      <c r="V7" s="85"/>
      <c r="W7" s="85"/>
      <c r="X7" s="85"/>
      <c r="Y7" s="85"/>
    </row>
    <row r="8" spans="1:25" ht="13.8">
      <c r="A8" s="142" t="s">
        <v>268</v>
      </c>
      <c r="B8" s="106"/>
      <c r="C8" s="106"/>
      <c r="D8" s="106"/>
      <c r="E8" s="106"/>
      <c r="F8" s="106"/>
      <c r="G8" s="198">
        <v>3512</v>
      </c>
      <c r="H8" s="198">
        <v>42904</v>
      </c>
      <c r="I8" s="85"/>
      <c r="J8" s="85"/>
      <c r="K8" s="85"/>
      <c r="L8" s="85"/>
      <c r="M8" s="85"/>
      <c r="N8" s="85"/>
      <c r="O8" s="85"/>
      <c r="P8" s="85"/>
      <c r="Q8" s="85"/>
      <c r="R8" s="85"/>
      <c r="S8" s="85"/>
      <c r="T8" s="85"/>
      <c r="U8" s="85"/>
      <c r="V8" s="85"/>
      <c r="W8" s="85"/>
      <c r="X8" s="85"/>
      <c r="Y8" s="85"/>
    </row>
    <row r="9" spans="1:25" ht="13.8">
      <c r="A9" s="142" t="s">
        <v>269</v>
      </c>
      <c r="B9" s="213">
        <f t="shared" ref="B9:H9" si="0">SUM(B6:B8)</f>
        <v>0</v>
      </c>
      <c r="C9" s="213">
        <f t="shared" si="0"/>
        <v>0</v>
      </c>
      <c r="D9" s="213">
        <f t="shared" si="0"/>
        <v>0</v>
      </c>
      <c r="E9" s="213">
        <f t="shared" si="0"/>
        <v>0</v>
      </c>
      <c r="F9" s="213">
        <f t="shared" si="0"/>
        <v>0</v>
      </c>
      <c r="G9" s="214">
        <f t="shared" si="0"/>
        <v>24423</v>
      </c>
      <c r="H9" s="214">
        <f t="shared" si="0"/>
        <v>89046</v>
      </c>
      <c r="I9" s="85"/>
      <c r="J9" s="85"/>
      <c r="K9" s="85"/>
      <c r="L9" s="85"/>
      <c r="M9" s="85"/>
      <c r="N9" s="85"/>
      <c r="O9" s="85"/>
      <c r="P9" s="85"/>
      <c r="Q9" s="85"/>
      <c r="R9" s="85"/>
      <c r="S9" s="85"/>
      <c r="T9" s="85"/>
      <c r="U9" s="85"/>
      <c r="V9" s="85"/>
      <c r="W9" s="85"/>
      <c r="X9" s="85"/>
      <c r="Y9" s="85"/>
    </row>
    <row r="10" spans="1:25" ht="13.8">
      <c r="A10" s="142" t="s">
        <v>270</v>
      </c>
      <c r="B10" s="212">
        <f t="shared" ref="B10:D10" si="1">B4+B9</f>
        <v>0</v>
      </c>
      <c r="C10" s="212">
        <f t="shared" si="1"/>
        <v>0</v>
      </c>
      <c r="D10" s="212">
        <f t="shared" si="1"/>
        <v>0</v>
      </c>
      <c r="E10" s="215">
        <v>1700</v>
      </c>
      <c r="F10" s="215">
        <v>7900</v>
      </c>
      <c r="G10" s="216">
        <f t="shared" ref="G10:H10" si="2">G4+G9</f>
        <v>242879</v>
      </c>
      <c r="H10" s="216">
        <f t="shared" si="2"/>
        <v>332272</v>
      </c>
      <c r="I10" s="85"/>
      <c r="J10" s="85"/>
      <c r="K10" s="85"/>
      <c r="L10" s="85"/>
      <c r="M10" s="85"/>
      <c r="N10" s="85"/>
      <c r="O10" s="85"/>
      <c r="P10" s="85"/>
      <c r="Q10" s="85"/>
      <c r="R10" s="85"/>
      <c r="S10" s="85"/>
      <c r="T10" s="85"/>
      <c r="U10" s="85"/>
      <c r="V10" s="85"/>
      <c r="W10" s="85"/>
      <c r="X10" s="85"/>
      <c r="Y10" s="85"/>
    </row>
    <row r="11" spans="1:25" ht="13.8">
      <c r="A11" s="106"/>
      <c r="B11" s="106"/>
      <c r="C11" s="106"/>
      <c r="D11" s="106"/>
      <c r="E11" s="106"/>
      <c r="F11" s="106"/>
      <c r="G11" s="114"/>
      <c r="H11" s="114"/>
      <c r="I11" s="85"/>
      <c r="J11" s="85"/>
      <c r="K11" s="85"/>
      <c r="L11" s="85"/>
      <c r="M11" s="85"/>
      <c r="N11" s="85"/>
      <c r="O11" s="85"/>
      <c r="P11" s="85"/>
      <c r="Q11" s="85"/>
      <c r="R11" s="85"/>
      <c r="S11" s="85"/>
      <c r="T11" s="85"/>
      <c r="U11" s="85"/>
      <c r="V11" s="85"/>
      <c r="W11" s="85"/>
      <c r="X11" s="85"/>
      <c r="Y11" s="85"/>
    </row>
    <row r="12" spans="1:25" ht="13.8">
      <c r="A12" s="142" t="s">
        <v>271</v>
      </c>
      <c r="B12" s="106"/>
      <c r="C12" s="106"/>
      <c r="D12" s="106"/>
      <c r="E12" s="106"/>
      <c r="F12" s="106"/>
      <c r="G12" s="198">
        <v>19166</v>
      </c>
      <c r="H12" s="198">
        <v>39506</v>
      </c>
      <c r="I12" s="85"/>
      <c r="J12" s="85"/>
      <c r="K12" s="85"/>
      <c r="L12" s="85"/>
      <c r="M12" s="85"/>
      <c r="N12" s="85"/>
      <c r="O12" s="85"/>
      <c r="P12" s="85"/>
      <c r="Q12" s="85"/>
      <c r="R12" s="85"/>
      <c r="S12" s="85"/>
      <c r="T12" s="85"/>
      <c r="U12" s="85"/>
      <c r="V12" s="85"/>
      <c r="W12" s="85"/>
      <c r="X12" s="85"/>
      <c r="Y12" s="85"/>
    </row>
    <row r="13" spans="1:25" ht="13.8">
      <c r="A13" s="142" t="s">
        <v>272</v>
      </c>
      <c r="B13" s="106">
        <f t="shared" ref="B13:H13" si="3">B10-B12</f>
        <v>0</v>
      </c>
      <c r="C13" s="106">
        <f t="shared" si="3"/>
        <v>0</v>
      </c>
      <c r="D13" s="106">
        <f t="shared" si="3"/>
        <v>0</v>
      </c>
      <c r="E13" s="106">
        <f t="shared" si="3"/>
        <v>1700</v>
      </c>
      <c r="F13" s="106">
        <f t="shared" si="3"/>
        <v>7900</v>
      </c>
      <c r="G13" s="114">
        <f t="shared" si="3"/>
        <v>223713</v>
      </c>
      <c r="H13" s="114">
        <f t="shared" si="3"/>
        <v>292766</v>
      </c>
      <c r="I13" s="85"/>
      <c r="J13" s="85"/>
      <c r="K13" s="85"/>
      <c r="L13" s="85"/>
      <c r="M13" s="85"/>
      <c r="N13" s="85"/>
      <c r="O13" s="85"/>
      <c r="P13" s="85"/>
      <c r="Q13" s="85"/>
      <c r="R13" s="85"/>
      <c r="S13" s="85"/>
      <c r="T13" s="85"/>
      <c r="U13" s="85"/>
      <c r="V13" s="85"/>
      <c r="W13" s="85"/>
      <c r="X13" s="85"/>
      <c r="Y13" s="85"/>
    </row>
    <row r="14" spans="1:25" ht="13.8">
      <c r="A14" s="85"/>
      <c r="B14" s="85"/>
      <c r="C14" s="85"/>
      <c r="D14" s="85"/>
      <c r="E14" s="85"/>
      <c r="F14" s="85"/>
      <c r="G14" s="85"/>
      <c r="H14" s="85"/>
      <c r="I14" s="85"/>
      <c r="J14" s="85"/>
      <c r="K14" s="85"/>
      <c r="L14" s="85"/>
      <c r="M14" s="85"/>
      <c r="N14" s="85"/>
      <c r="O14" s="85"/>
      <c r="P14" s="85"/>
      <c r="Q14" s="85"/>
      <c r="R14" s="85"/>
      <c r="S14" s="85"/>
      <c r="T14" s="85"/>
      <c r="U14" s="85"/>
      <c r="V14" s="85"/>
      <c r="W14" s="85"/>
      <c r="X14" s="85"/>
      <c r="Y14" s="85"/>
    </row>
    <row r="15" spans="1:25" ht="13.8">
      <c r="A15" s="85"/>
      <c r="B15" s="85"/>
      <c r="C15" s="85"/>
      <c r="D15" s="85"/>
      <c r="E15" s="85"/>
      <c r="F15" s="85"/>
      <c r="G15" s="85"/>
      <c r="H15" s="85"/>
      <c r="I15" s="85"/>
      <c r="J15" s="85"/>
      <c r="K15" s="85"/>
      <c r="L15" s="85"/>
      <c r="M15" s="85"/>
      <c r="N15" s="85"/>
      <c r="O15" s="85"/>
      <c r="P15" s="85"/>
      <c r="Q15" s="85"/>
      <c r="R15" s="85"/>
      <c r="S15" s="85"/>
      <c r="T15" s="85"/>
      <c r="U15" s="85"/>
      <c r="V15" s="85"/>
      <c r="W15" s="85"/>
      <c r="X15" s="85"/>
      <c r="Y15" s="85"/>
    </row>
    <row r="16" spans="1:25" ht="13.8">
      <c r="A16" s="139" t="s">
        <v>84</v>
      </c>
      <c r="B16" s="85"/>
      <c r="C16" s="85"/>
      <c r="D16" s="85"/>
      <c r="E16" s="85"/>
      <c r="F16" s="85"/>
      <c r="G16" s="85"/>
      <c r="H16" s="85"/>
      <c r="I16" s="85"/>
      <c r="J16" s="85"/>
      <c r="K16" s="85"/>
      <c r="L16" s="85"/>
      <c r="M16" s="85"/>
      <c r="N16" s="85"/>
      <c r="O16" s="85"/>
      <c r="P16" s="85"/>
      <c r="Q16" s="85"/>
      <c r="R16" s="85"/>
      <c r="S16" s="85"/>
      <c r="T16" s="85"/>
      <c r="U16" s="85"/>
      <c r="V16" s="85"/>
      <c r="W16" s="85"/>
      <c r="X16" s="85"/>
      <c r="Y16" s="85"/>
    </row>
    <row r="17" spans="1:25" ht="13.8">
      <c r="A17" s="142" t="s">
        <v>273</v>
      </c>
      <c r="B17" s="106"/>
      <c r="C17" s="106"/>
      <c r="D17" s="106"/>
      <c r="E17" s="142">
        <v>2900</v>
      </c>
      <c r="F17" s="142">
        <v>22392</v>
      </c>
      <c r="G17" s="142">
        <v>84133</v>
      </c>
      <c r="H17" s="142">
        <v>216393</v>
      </c>
      <c r="I17" s="142"/>
      <c r="J17" s="142"/>
      <c r="K17" s="142"/>
      <c r="L17" s="85"/>
      <c r="M17" s="85"/>
      <c r="N17" s="85"/>
      <c r="O17" s="85"/>
      <c r="P17" s="85"/>
      <c r="Q17" s="85"/>
      <c r="R17" s="85"/>
      <c r="S17" s="85"/>
      <c r="T17" s="85"/>
      <c r="U17" s="85"/>
      <c r="V17" s="85"/>
      <c r="W17" s="85"/>
      <c r="X17" s="85"/>
      <c r="Y17" s="85"/>
    </row>
    <row r="18" spans="1:25" ht="13.8">
      <c r="A18" s="142" t="s">
        <v>265</v>
      </c>
      <c r="B18" s="106"/>
      <c r="C18" s="106"/>
      <c r="D18" s="106"/>
      <c r="E18" s="106"/>
      <c r="F18" s="142">
        <v>0</v>
      </c>
      <c r="G18" s="142">
        <v>11437</v>
      </c>
      <c r="H18" s="142">
        <v>17962</v>
      </c>
      <c r="I18" s="89"/>
      <c r="J18" s="85"/>
      <c r="K18" s="85"/>
      <c r="L18" s="85"/>
      <c r="M18" s="85"/>
      <c r="N18" s="85"/>
      <c r="O18" s="85"/>
      <c r="P18" s="85"/>
      <c r="Q18" s="85"/>
      <c r="R18" s="85"/>
      <c r="S18" s="85"/>
      <c r="T18" s="85"/>
      <c r="U18" s="85"/>
      <c r="V18" s="85"/>
      <c r="W18" s="85"/>
      <c r="X18" s="85"/>
      <c r="Y18" s="85"/>
    </row>
    <row r="19" spans="1:25" ht="13.8">
      <c r="A19" s="142" t="s">
        <v>274</v>
      </c>
      <c r="B19" s="217">
        <f t="shared" ref="B19:D19" si="4">SUM(B17:B18)</f>
        <v>0</v>
      </c>
      <c r="C19" s="217">
        <f t="shared" si="4"/>
        <v>0</v>
      </c>
      <c r="D19" s="217">
        <f t="shared" si="4"/>
        <v>0</v>
      </c>
      <c r="E19" s="211">
        <v>2900</v>
      </c>
      <c r="F19" s="217">
        <f t="shared" ref="F19:H19" si="5">SUM(F17:F18)</f>
        <v>22392</v>
      </c>
      <c r="G19" s="217">
        <f t="shared" si="5"/>
        <v>95570</v>
      </c>
      <c r="H19" s="217">
        <f t="shared" si="5"/>
        <v>234355</v>
      </c>
      <c r="I19" s="142"/>
      <c r="J19" s="106"/>
      <c r="K19" s="106"/>
      <c r="L19" s="85"/>
      <c r="M19" s="85"/>
      <c r="N19" s="85"/>
      <c r="O19" s="85"/>
      <c r="P19" s="85"/>
      <c r="Q19" s="85"/>
      <c r="R19" s="85"/>
      <c r="S19" s="85"/>
      <c r="T19" s="85"/>
      <c r="U19" s="85"/>
      <c r="V19" s="85"/>
      <c r="W19" s="85"/>
      <c r="X19" s="85"/>
      <c r="Y19" s="85"/>
    </row>
    <row r="20" spans="1:25" ht="13.8">
      <c r="A20" s="85"/>
      <c r="B20" s="85"/>
      <c r="C20" s="85"/>
      <c r="D20" s="85"/>
      <c r="E20" s="85"/>
      <c r="F20" s="85"/>
      <c r="G20" s="85"/>
      <c r="H20" s="85"/>
      <c r="I20" s="85"/>
      <c r="J20" s="85"/>
      <c r="K20" s="85"/>
      <c r="L20" s="85"/>
      <c r="M20" s="85"/>
      <c r="N20" s="85"/>
      <c r="O20" s="85"/>
      <c r="P20" s="85"/>
      <c r="Q20" s="85"/>
      <c r="R20" s="85"/>
      <c r="S20" s="85"/>
      <c r="T20" s="85"/>
      <c r="U20" s="85"/>
      <c r="V20" s="85"/>
      <c r="W20" s="85"/>
      <c r="X20" s="85"/>
      <c r="Y20" s="85"/>
    </row>
    <row r="21" spans="1:25" ht="13.8">
      <c r="A21" s="85"/>
      <c r="B21" s="85"/>
      <c r="C21" s="85"/>
      <c r="D21" s="85"/>
      <c r="E21" s="85"/>
      <c r="F21" s="85"/>
      <c r="G21" s="85"/>
      <c r="H21" s="85"/>
      <c r="I21" s="85"/>
      <c r="J21" s="85"/>
      <c r="K21" s="85"/>
      <c r="L21" s="85"/>
      <c r="M21" s="85"/>
      <c r="N21" s="85"/>
      <c r="O21" s="85"/>
      <c r="P21" s="85"/>
      <c r="Q21" s="85"/>
      <c r="R21" s="85"/>
      <c r="S21" s="85"/>
      <c r="T21" s="85"/>
      <c r="U21" s="85"/>
      <c r="V21" s="85"/>
      <c r="W21" s="85"/>
      <c r="X21" s="85"/>
      <c r="Y21" s="85"/>
    </row>
    <row r="22" spans="1:25" ht="13.8">
      <c r="A22" s="85"/>
      <c r="B22" s="85"/>
      <c r="C22" s="85"/>
      <c r="D22" s="85"/>
      <c r="E22" s="85"/>
      <c r="F22" s="89"/>
      <c r="G22" s="85"/>
      <c r="H22" s="85"/>
      <c r="I22" s="85"/>
      <c r="J22" s="85"/>
      <c r="K22" s="85"/>
      <c r="L22" s="85"/>
      <c r="M22" s="85"/>
      <c r="N22" s="85"/>
      <c r="O22" s="85"/>
      <c r="P22" s="85"/>
      <c r="Q22" s="85"/>
      <c r="R22" s="85"/>
      <c r="S22" s="85"/>
      <c r="T22" s="85"/>
      <c r="U22" s="85"/>
      <c r="V22" s="85"/>
      <c r="W22" s="85"/>
      <c r="X22" s="85"/>
      <c r="Y22" s="85"/>
    </row>
    <row r="23" spans="1:25" ht="13.8">
      <c r="A23" s="85"/>
      <c r="B23" s="85"/>
      <c r="C23" s="85"/>
      <c r="D23" s="85"/>
      <c r="E23" s="85"/>
      <c r="F23" s="89"/>
      <c r="G23" s="85"/>
      <c r="H23" s="85"/>
      <c r="I23" s="85"/>
      <c r="J23" s="85"/>
      <c r="K23" s="85"/>
      <c r="L23" s="85"/>
      <c r="M23" s="85"/>
      <c r="N23" s="85"/>
      <c r="O23" s="85"/>
      <c r="P23" s="85"/>
      <c r="Q23" s="85"/>
      <c r="R23" s="85"/>
      <c r="S23" s="85"/>
      <c r="T23" s="85"/>
      <c r="U23" s="85"/>
      <c r="V23" s="85"/>
      <c r="W23" s="85"/>
      <c r="X23" s="85"/>
      <c r="Y23" s="85"/>
    </row>
    <row r="24" spans="1:25" ht="13.8">
      <c r="A24" s="85"/>
      <c r="B24" s="85"/>
      <c r="C24" s="85"/>
      <c r="D24" s="85"/>
      <c r="E24" s="85"/>
      <c r="F24" s="89"/>
      <c r="G24" s="85"/>
      <c r="H24" s="85"/>
      <c r="I24" s="85"/>
      <c r="J24" s="85"/>
      <c r="K24" s="85"/>
      <c r="L24" s="85"/>
      <c r="M24" s="85"/>
      <c r="N24" s="85"/>
      <c r="O24" s="85"/>
      <c r="P24" s="85"/>
      <c r="Q24" s="85"/>
      <c r="R24" s="85"/>
      <c r="S24" s="85"/>
      <c r="T24" s="85"/>
      <c r="U24" s="85"/>
      <c r="V24" s="85"/>
      <c r="W24" s="85"/>
      <c r="X24" s="85"/>
      <c r="Y24" s="85"/>
    </row>
    <row r="25" spans="1:25" ht="13.8">
      <c r="A25" s="85"/>
      <c r="B25" s="85"/>
      <c r="C25" s="85"/>
      <c r="D25" s="85"/>
      <c r="E25" s="85"/>
      <c r="F25" s="85"/>
      <c r="G25" s="85"/>
      <c r="H25" s="85"/>
      <c r="I25" s="85"/>
      <c r="J25" s="85"/>
      <c r="K25" s="85"/>
      <c r="L25" s="85"/>
      <c r="M25" s="85"/>
      <c r="N25" s="85"/>
      <c r="O25" s="85"/>
      <c r="P25" s="85"/>
      <c r="Q25" s="85"/>
      <c r="R25" s="85"/>
      <c r="S25" s="85"/>
      <c r="T25" s="85"/>
      <c r="U25" s="85"/>
      <c r="V25" s="85"/>
      <c r="W25" s="85"/>
      <c r="X25" s="85"/>
      <c r="Y25" s="85"/>
    </row>
    <row r="26" spans="1:25" ht="13.8">
      <c r="A26" s="85"/>
      <c r="B26" s="85"/>
      <c r="C26" s="85"/>
      <c r="D26" s="85"/>
      <c r="E26" s="85"/>
      <c r="F26" s="85"/>
      <c r="G26" s="85"/>
      <c r="H26" s="85"/>
      <c r="I26" s="85"/>
      <c r="J26" s="85"/>
      <c r="K26" s="85"/>
      <c r="L26" s="85"/>
      <c r="M26" s="85"/>
      <c r="N26" s="85"/>
      <c r="O26" s="85"/>
      <c r="P26" s="85"/>
      <c r="Q26" s="85"/>
      <c r="R26" s="85"/>
      <c r="S26" s="85"/>
      <c r="T26" s="85"/>
      <c r="U26" s="85"/>
      <c r="V26" s="85"/>
      <c r="W26" s="85"/>
      <c r="X26" s="85"/>
      <c r="Y26" s="85"/>
    </row>
    <row r="27" spans="1:25" ht="13.8">
      <c r="A27" s="85"/>
      <c r="B27" s="85"/>
      <c r="C27" s="85"/>
      <c r="D27" s="85"/>
      <c r="E27" s="85"/>
      <c r="F27" s="85"/>
      <c r="G27" s="85"/>
      <c r="H27" s="85"/>
      <c r="I27" s="85"/>
      <c r="J27" s="85"/>
      <c r="K27" s="85"/>
      <c r="L27" s="85"/>
      <c r="M27" s="85"/>
      <c r="N27" s="85"/>
      <c r="O27" s="85"/>
      <c r="P27" s="85"/>
      <c r="Q27" s="85"/>
      <c r="R27" s="85"/>
      <c r="S27" s="85"/>
      <c r="T27" s="85"/>
      <c r="U27" s="85"/>
      <c r="V27" s="85"/>
      <c r="W27" s="85"/>
      <c r="X27" s="85"/>
      <c r="Y27" s="85"/>
    </row>
    <row r="28" spans="1:25" ht="13.8">
      <c r="A28" s="85"/>
      <c r="B28" s="85"/>
      <c r="C28" s="85"/>
      <c r="D28" s="85"/>
      <c r="E28" s="85"/>
      <c r="F28" s="85"/>
      <c r="G28" s="85"/>
      <c r="H28" s="85"/>
      <c r="I28" s="85"/>
      <c r="J28" s="85"/>
      <c r="K28" s="85"/>
      <c r="L28" s="85"/>
      <c r="M28" s="85"/>
      <c r="N28" s="85"/>
      <c r="O28" s="85"/>
      <c r="P28" s="85"/>
      <c r="Q28" s="85"/>
      <c r="R28" s="85"/>
      <c r="S28" s="85"/>
      <c r="T28" s="85"/>
      <c r="U28" s="85"/>
      <c r="V28" s="85"/>
      <c r="W28" s="85"/>
      <c r="X28" s="85"/>
      <c r="Y28" s="85"/>
    </row>
    <row r="29" spans="1:25" ht="13.8">
      <c r="A29" s="85"/>
      <c r="B29" s="85"/>
      <c r="C29" s="85"/>
      <c r="D29" s="85"/>
      <c r="E29" s="85"/>
      <c r="F29" s="85"/>
      <c r="G29" s="85"/>
      <c r="H29" s="85"/>
      <c r="I29" s="85"/>
      <c r="J29" s="85"/>
      <c r="K29" s="85"/>
      <c r="L29" s="85"/>
      <c r="M29" s="85"/>
      <c r="N29" s="85"/>
      <c r="O29" s="85"/>
      <c r="P29" s="85"/>
      <c r="Q29" s="85"/>
      <c r="R29" s="85"/>
      <c r="S29" s="85"/>
      <c r="T29" s="85"/>
      <c r="U29" s="85"/>
      <c r="V29" s="85"/>
      <c r="W29" s="85"/>
      <c r="X29" s="85"/>
      <c r="Y29" s="85"/>
    </row>
    <row r="30" spans="1:25" ht="13.8">
      <c r="A30" s="85"/>
      <c r="B30" s="85"/>
      <c r="C30" s="85"/>
      <c r="D30" s="85"/>
      <c r="E30" s="85"/>
      <c r="F30" s="85"/>
      <c r="G30" s="85"/>
      <c r="H30" s="85"/>
      <c r="I30" s="85"/>
      <c r="J30" s="85"/>
      <c r="K30" s="85"/>
      <c r="L30" s="85"/>
      <c r="M30" s="85"/>
      <c r="N30" s="85"/>
      <c r="O30" s="85"/>
      <c r="P30" s="85"/>
      <c r="Q30" s="85"/>
      <c r="R30" s="85"/>
      <c r="S30" s="85"/>
      <c r="T30" s="85"/>
      <c r="U30" s="85"/>
      <c r="V30" s="85"/>
      <c r="W30" s="85"/>
      <c r="X30" s="85"/>
      <c r="Y30" s="85"/>
    </row>
    <row r="31" spans="1:25" ht="13.8">
      <c r="A31" s="85"/>
      <c r="B31" s="85"/>
      <c r="C31" s="85"/>
      <c r="D31" s="85"/>
      <c r="E31" s="85"/>
      <c r="F31" s="85"/>
      <c r="G31" s="85"/>
      <c r="H31" s="85"/>
      <c r="I31" s="85"/>
      <c r="J31" s="85"/>
      <c r="K31" s="85"/>
      <c r="L31" s="85"/>
      <c r="M31" s="85"/>
      <c r="N31" s="85"/>
      <c r="O31" s="85"/>
      <c r="P31" s="85"/>
      <c r="Q31" s="85"/>
      <c r="R31" s="85"/>
      <c r="S31" s="85"/>
      <c r="T31" s="85"/>
      <c r="U31" s="85"/>
      <c r="V31" s="85"/>
      <c r="W31" s="85"/>
      <c r="X31" s="85"/>
      <c r="Y31" s="85"/>
    </row>
    <row r="32" spans="1:25" ht="13.8">
      <c r="A32" s="85"/>
      <c r="B32" s="85"/>
      <c r="C32" s="85"/>
      <c r="D32" s="85"/>
      <c r="E32" s="85"/>
      <c r="F32" s="85"/>
      <c r="G32" s="85"/>
      <c r="H32" s="85"/>
      <c r="I32" s="85"/>
      <c r="J32" s="85"/>
      <c r="K32" s="85"/>
      <c r="L32" s="85"/>
      <c r="M32" s="85"/>
      <c r="N32" s="85"/>
      <c r="O32" s="85"/>
      <c r="P32" s="85"/>
      <c r="Q32" s="85"/>
      <c r="R32" s="85"/>
      <c r="S32" s="85"/>
      <c r="T32" s="85"/>
      <c r="U32" s="85"/>
      <c r="V32" s="85"/>
      <c r="W32" s="85"/>
      <c r="X32" s="85"/>
      <c r="Y32" s="85"/>
    </row>
    <row r="33" spans="1:25" ht="13.8">
      <c r="A33" s="85"/>
      <c r="B33" s="85"/>
      <c r="C33" s="85"/>
      <c r="D33" s="85"/>
      <c r="E33" s="85"/>
      <c r="F33" s="85"/>
      <c r="G33" s="85"/>
      <c r="H33" s="85"/>
      <c r="I33" s="85"/>
      <c r="J33" s="85"/>
      <c r="K33" s="85"/>
      <c r="L33" s="85"/>
      <c r="M33" s="85"/>
      <c r="N33" s="85"/>
      <c r="O33" s="85"/>
      <c r="P33" s="85"/>
      <c r="Q33" s="85"/>
      <c r="R33" s="85"/>
      <c r="S33" s="85"/>
      <c r="T33" s="85"/>
      <c r="U33" s="85"/>
      <c r="V33" s="85"/>
      <c r="W33" s="85"/>
      <c r="X33" s="85"/>
      <c r="Y33" s="85"/>
    </row>
    <row r="34" spans="1:25" ht="13.8">
      <c r="A34" s="85"/>
      <c r="B34" s="85"/>
      <c r="C34" s="85"/>
      <c r="D34" s="85"/>
      <c r="E34" s="85"/>
      <c r="F34" s="85"/>
      <c r="G34" s="85"/>
      <c r="H34" s="85"/>
      <c r="I34" s="85"/>
      <c r="J34" s="85"/>
      <c r="K34" s="85"/>
      <c r="L34" s="85"/>
      <c r="M34" s="85"/>
      <c r="N34" s="85"/>
      <c r="O34" s="85"/>
      <c r="P34" s="85"/>
      <c r="Q34" s="85"/>
      <c r="R34" s="85"/>
      <c r="S34" s="85"/>
      <c r="T34" s="85"/>
      <c r="U34" s="85"/>
      <c r="V34" s="85"/>
      <c r="W34" s="85"/>
      <c r="X34" s="85"/>
      <c r="Y34" s="85"/>
    </row>
    <row r="35" spans="1:25" ht="13.8">
      <c r="A35" s="85"/>
      <c r="B35" s="85"/>
      <c r="C35" s="85"/>
      <c r="D35" s="85"/>
      <c r="E35" s="85"/>
      <c r="F35" s="85"/>
      <c r="G35" s="85"/>
      <c r="H35" s="85"/>
      <c r="I35" s="85"/>
      <c r="J35" s="85"/>
      <c r="K35" s="85"/>
      <c r="L35" s="85"/>
      <c r="M35" s="85"/>
      <c r="N35" s="85"/>
      <c r="O35" s="85"/>
      <c r="P35" s="85"/>
      <c r="Q35" s="85"/>
      <c r="R35" s="85"/>
      <c r="S35" s="85"/>
      <c r="T35" s="85"/>
      <c r="U35" s="85"/>
      <c r="V35" s="85"/>
      <c r="W35" s="85"/>
      <c r="X35" s="85"/>
      <c r="Y35" s="85"/>
    </row>
    <row r="36" spans="1:25" ht="13.8">
      <c r="A36" s="85"/>
      <c r="B36" s="85"/>
      <c r="C36" s="85"/>
      <c r="D36" s="85"/>
      <c r="E36" s="85"/>
      <c r="F36" s="85"/>
      <c r="G36" s="85"/>
      <c r="H36" s="85"/>
      <c r="I36" s="85"/>
      <c r="J36" s="85"/>
      <c r="K36" s="85"/>
      <c r="L36" s="85"/>
      <c r="M36" s="85"/>
      <c r="N36" s="85"/>
      <c r="O36" s="85"/>
      <c r="P36" s="85"/>
      <c r="Q36" s="85"/>
      <c r="R36" s="85"/>
      <c r="S36" s="85"/>
      <c r="T36" s="85"/>
      <c r="U36" s="85"/>
      <c r="V36" s="85"/>
      <c r="W36" s="85"/>
      <c r="X36" s="85"/>
      <c r="Y36" s="85"/>
    </row>
    <row r="37" spans="1:25" ht="13.8">
      <c r="A37" s="85"/>
      <c r="B37" s="85"/>
      <c r="C37" s="85"/>
      <c r="D37" s="85"/>
      <c r="E37" s="85"/>
      <c r="F37" s="85"/>
      <c r="G37" s="85"/>
      <c r="H37" s="85"/>
      <c r="I37" s="85"/>
      <c r="J37" s="85"/>
      <c r="K37" s="85"/>
      <c r="L37" s="85"/>
      <c r="M37" s="85"/>
      <c r="N37" s="85"/>
      <c r="O37" s="85"/>
      <c r="P37" s="85"/>
      <c r="Q37" s="85"/>
      <c r="R37" s="85"/>
      <c r="S37" s="85"/>
      <c r="T37" s="85"/>
      <c r="U37" s="85"/>
      <c r="V37" s="85"/>
      <c r="W37" s="85"/>
      <c r="X37" s="85"/>
      <c r="Y37" s="85"/>
    </row>
    <row r="38" spans="1:25" ht="13.8">
      <c r="A38" s="85"/>
      <c r="B38" s="85"/>
      <c r="C38" s="85"/>
      <c r="D38" s="85"/>
      <c r="E38" s="85"/>
      <c r="F38" s="85"/>
      <c r="G38" s="85"/>
      <c r="H38" s="85"/>
      <c r="I38" s="85"/>
      <c r="J38" s="85"/>
      <c r="K38" s="85"/>
      <c r="L38" s="85"/>
      <c r="M38" s="85"/>
      <c r="N38" s="85"/>
      <c r="O38" s="85"/>
      <c r="P38" s="85"/>
      <c r="Q38" s="85"/>
      <c r="R38" s="85"/>
      <c r="S38" s="85"/>
      <c r="T38" s="85"/>
      <c r="U38" s="85"/>
      <c r="V38" s="85"/>
      <c r="W38" s="85"/>
      <c r="X38" s="85"/>
      <c r="Y38" s="85"/>
    </row>
    <row r="39" spans="1:25" ht="13.8">
      <c r="A39" s="85"/>
      <c r="B39" s="85"/>
      <c r="C39" s="85"/>
      <c r="D39" s="85"/>
      <c r="E39" s="85"/>
      <c r="F39" s="85"/>
      <c r="G39" s="85"/>
      <c r="H39" s="85"/>
      <c r="I39" s="85"/>
      <c r="J39" s="85"/>
      <c r="K39" s="85"/>
      <c r="L39" s="85"/>
      <c r="M39" s="85"/>
      <c r="N39" s="85"/>
      <c r="O39" s="85"/>
      <c r="P39" s="85"/>
      <c r="Q39" s="85"/>
      <c r="R39" s="85"/>
      <c r="S39" s="85"/>
      <c r="T39" s="85"/>
      <c r="U39" s="85"/>
      <c r="V39" s="85"/>
      <c r="W39" s="85"/>
      <c r="X39" s="85"/>
      <c r="Y39" s="85"/>
    </row>
    <row r="40" spans="1:25" ht="13.8">
      <c r="A40" s="85"/>
      <c r="B40" s="85"/>
      <c r="C40" s="85"/>
      <c r="D40" s="85"/>
      <c r="E40" s="85"/>
      <c r="F40" s="85"/>
      <c r="G40" s="85"/>
      <c r="H40" s="85"/>
      <c r="I40" s="85"/>
      <c r="J40" s="85"/>
      <c r="K40" s="85"/>
      <c r="L40" s="85"/>
      <c r="M40" s="85"/>
      <c r="N40" s="85"/>
      <c r="O40" s="85"/>
      <c r="P40" s="85"/>
      <c r="Q40" s="85"/>
      <c r="R40" s="85"/>
      <c r="S40" s="85"/>
      <c r="T40" s="85"/>
      <c r="U40" s="85"/>
      <c r="V40" s="85"/>
      <c r="W40" s="85"/>
      <c r="X40" s="85"/>
      <c r="Y40" s="85"/>
    </row>
    <row r="41" spans="1:25" ht="13.8">
      <c r="A41" s="85"/>
      <c r="B41" s="85"/>
      <c r="C41" s="85"/>
      <c r="D41" s="85"/>
      <c r="E41" s="85"/>
      <c r="F41" s="85"/>
      <c r="G41" s="85"/>
      <c r="H41" s="85"/>
      <c r="I41" s="85"/>
      <c r="J41" s="85"/>
      <c r="K41" s="85"/>
      <c r="L41" s="85"/>
      <c r="M41" s="85"/>
      <c r="N41" s="85"/>
      <c r="O41" s="85"/>
      <c r="P41" s="85"/>
      <c r="Q41" s="85"/>
      <c r="R41" s="85"/>
      <c r="S41" s="85"/>
      <c r="T41" s="85"/>
      <c r="U41" s="85"/>
      <c r="V41" s="85"/>
      <c r="W41" s="85"/>
      <c r="X41" s="85"/>
      <c r="Y41" s="85"/>
    </row>
    <row r="42" spans="1:25" ht="13.8">
      <c r="A42" s="85"/>
      <c r="B42" s="85"/>
      <c r="C42" s="85"/>
      <c r="D42" s="85"/>
      <c r="E42" s="85"/>
      <c r="F42" s="85"/>
      <c r="G42" s="85"/>
      <c r="H42" s="85"/>
      <c r="I42" s="85"/>
      <c r="J42" s="85"/>
      <c r="K42" s="85"/>
      <c r="L42" s="85"/>
      <c r="M42" s="85"/>
      <c r="N42" s="85"/>
      <c r="O42" s="85"/>
      <c r="P42" s="85"/>
      <c r="Q42" s="85"/>
      <c r="R42" s="85"/>
      <c r="S42" s="85"/>
      <c r="T42" s="85"/>
      <c r="U42" s="85"/>
      <c r="V42" s="85"/>
      <c r="W42" s="85"/>
      <c r="X42" s="85"/>
      <c r="Y42" s="85"/>
    </row>
    <row r="43" spans="1:25" ht="13.8">
      <c r="A43" s="85"/>
      <c r="B43" s="85"/>
      <c r="C43" s="85"/>
      <c r="D43" s="85"/>
      <c r="E43" s="85"/>
      <c r="F43" s="85"/>
      <c r="G43" s="85"/>
      <c r="H43" s="85"/>
      <c r="I43" s="85"/>
      <c r="J43" s="85"/>
      <c r="K43" s="85"/>
      <c r="L43" s="85"/>
      <c r="M43" s="85"/>
      <c r="N43" s="85"/>
      <c r="O43" s="85"/>
      <c r="P43" s="85"/>
      <c r="Q43" s="85"/>
      <c r="R43" s="85"/>
      <c r="S43" s="85"/>
      <c r="T43" s="85"/>
      <c r="U43" s="85"/>
      <c r="V43" s="85"/>
      <c r="W43" s="85"/>
      <c r="X43" s="85"/>
      <c r="Y43" s="85"/>
    </row>
    <row r="44" spans="1:25" ht="13.8">
      <c r="A44" s="85"/>
      <c r="B44" s="85"/>
      <c r="C44" s="85"/>
      <c r="D44" s="85"/>
      <c r="E44" s="85"/>
      <c r="F44" s="85"/>
      <c r="G44" s="85"/>
      <c r="H44" s="85"/>
      <c r="I44" s="85"/>
      <c r="J44" s="85"/>
      <c r="K44" s="85"/>
      <c r="L44" s="85"/>
      <c r="M44" s="85"/>
      <c r="N44" s="85"/>
      <c r="O44" s="85"/>
      <c r="P44" s="85"/>
      <c r="Q44" s="85"/>
      <c r="R44" s="85"/>
      <c r="S44" s="85"/>
      <c r="T44" s="85"/>
      <c r="U44" s="85"/>
      <c r="V44" s="85"/>
      <c r="W44" s="85"/>
      <c r="X44" s="85"/>
      <c r="Y44" s="85"/>
    </row>
    <row r="45" spans="1:25" ht="13.8">
      <c r="A45" s="85"/>
      <c r="B45" s="85"/>
      <c r="C45" s="85"/>
      <c r="D45" s="85"/>
      <c r="E45" s="85"/>
      <c r="F45" s="85"/>
      <c r="G45" s="85"/>
      <c r="H45" s="85"/>
      <c r="I45" s="85"/>
      <c r="J45" s="85"/>
      <c r="K45" s="85"/>
      <c r="L45" s="85"/>
      <c r="M45" s="85"/>
      <c r="N45" s="85"/>
      <c r="O45" s="85"/>
      <c r="P45" s="85"/>
      <c r="Q45" s="85"/>
      <c r="R45" s="85"/>
      <c r="S45" s="85"/>
      <c r="T45" s="85"/>
      <c r="U45" s="85"/>
      <c r="V45" s="85"/>
      <c r="W45" s="85"/>
      <c r="X45" s="85"/>
      <c r="Y45" s="85"/>
    </row>
    <row r="46" spans="1:25" ht="13.8">
      <c r="A46" s="85"/>
      <c r="B46" s="85"/>
      <c r="C46" s="85"/>
      <c r="D46" s="85"/>
      <c r="E46" s="85"/>
      <c r="F46" s="85"/>
      <c r="G46" s="85"/>
      <c r="H46" s="85"/>
      <c r="I46" s="85"/>
      <c r="J46" s="85"/>
      <c r="K46" s="85"/>
      <c r="L46" s="85"/>
      <c r="M46" s="85"/>
      <c r="N46" s="85"/>
      <c r="O46" s="85"/>
      <c r="P46" s="85"/>
      <c r="Q46" s="85"/>
      <c r="R46" s="85"/>
      <c r="S46" s="85"/>
      <c r="T46" s="85"/>
      <c r="U46" s="85"/>
      <c r="V46" s="85"/>
      <c r="W46" s="85"/>
      <c r="X46" s="85"/>
      <c r="Y46" s="85"/>
    </row>
    <row r="47" spans="1:25" ht="13.8">
      <c r="A47" s="85"/>
      <c r="B47" s="85"/>
      <c r="C47" s="85"/>
      <c r="D47" s="85"/>
      <c r="E47" s="85"/>
      <c r="F47" s="85"/>
      <c r="G47" s="85"/>
      <c r="H47" s="85"/>
      <c r="I47" s="85"/>
      <c r="J47" s="85"/>
      <c r="K47" s="85"/>
      <c r="L47" s="85"/>
      <c r="M47" s="85"/>
      <c r="N47" s="85"/>
      <c r="O47" s="85"/>
      <c r="P47" s="85"/>
      <c r="Q47" s="85"/>
      <c r="R47" s="85"/>
      <c r="S47" s="85"/>
      <c r="T47" s="85"/>
      <c r="U47" s="85"/>
      <c r="V47" s="85"/>
      <c r="W47" s="85"/>
      <c r="X47" s="85"/>
      <c r="Y47" s="85"/>
    </row>
    <row r="48" spans="1:25" ht="13.8">
      <c r="A48" s="85"/>
      <c r="B48" s="85"/>
      <c r="C48" s="85"/>
      <c r="D48" s="85"/>
      <c r="E48" s="85"/>
      <c r="F48" s="85"/>
      <c r="G48" s="85"/>
      <c r="H48" s="85"/>
      <c r="I48" s="85"/>
      <c r="J48" s="85"/>
      <c r="K48" s="85"/>
      <c r="L48" s="85"/>
      <c r="M48" s="85"/>
      <c r="N48" s="85"/>
      <c r="O48" s="85"/>
      <c r="P48" s="85"/>
      <c r="Q48" s="85"/>
      <c r="R48" s="85"/>
      <c r="S48" s="85"/>
      <c r="T48" s="85"/>
      <c r="U48" s="85"/>
      <c r="V48" s="85"/>
      <c r="W48" s="85"/>
      <c r="X48" s="85"/>
      <c r="Y48" s="85"/>
    </row>
    <row r="49" spans="1:25" ht="13.8">
      <c r="A49" s="85"/>
      <c r="B49" s="85"/>
      <c r="C49" s="85"/>
      <c r="D49" s="85"/>
      <c r="E49" s="85"/>
      <c r="F49" s="85"/>
      <c r="G49" s="85"/>
      <c r="H49" s="85"/>
      <c r="I49" s="85"/>
      <c r="J49" s="85"/>
      <c r="K49" s="85"/>
      <c r="L49" s="85"/>
      <c r="M49" s="85"/>
      <c r="N49" s="85"/>
      <c r="O49" s="85"/>
      <c r="P49" s="85"/>
      <c r="Q49" s="85"/>
      <c r="R49" s="85"/>
      <c r="S49" s="85"/>
      <c r="T49" s="85"/>
      <c r="U49" s="85"/>
      <c r="V49" s="85"/>
      <c r="W49" s="85"/>
      <c r="X49" s="85"/>
      <c r="Y49" s="85"/>
    </row>
    <row r="50" spans="1:25" ht="13.8">
      <c r="A50" s="85"/>
      <c r="B50" s="85"/>
      <c r="C50" s="85"/>
      <c r="D50" s="85"/>
      <c r="E50" s="85"/>
      <c r="F50" s="85"/>
      <c r="G50" s="85"/>
      <c r="H50" s="85"/>
      <c r="I50" s="85"/>
      <c r="J50" s="85"/>
      <c r="K50" s="85"/>
      <c r="L50" s="85"/>
      <c r="M50" s="85"/>
      <c r="N50" s="85"/>
      <c r="O50" s="85"/>
      <c r="P50" s="85"/>
      <c r="Q50" s="85"/>
      <c r="R50" s="85"/>
      <c r="S50" s="85"/>
      <c r="T50" s="85"/>
      <c r="U50" s="85"/>
      <c r="V50" s="85"/>
      <c r="W50" s="85"/>
      <c r="X50" s="85"/>
      <c r="Y50" s="85"/>
    </row>
    <row r="51" spans="1:25" ht="13.8">
      <c r="A51" s="85"/>
      <c r="B51" s="85"/>
      <c r="C51" s="85"/>
      <c r="D51" s="85"/>
      <c r="E51" s="85"/>
      <c r="F51" s="85"/>
      <c r="G51" s="85"/>
      <c r="H51" s="85"/>
      <c r="I51" s="85"/>
      <c r="J51" s="85"/>
      <c r="K51" s="85"/>
      <c r="L51" s="85"/>
      <c r="M51" s="85"/>
      <c r="N51" s="85"/>
      <c r="O51" s="85"/>
      <c r="P51" s="85"/>
      <c r="Q51" s="85"/>
      <c r="R51" s="85"/>
      <c r="S51" s="85"/>
      <c r="T51" s="85"/>
      <c r="U51" s="85"/>
      <c r="V51" s="85"/>
      <c r="W51" s="85"/>
      <c r="X51" s="85"/>
      <c r="Y51" s="85"/>
    </row>
    <row r="52" spans="1:25" ht="13.8">
      <c r="A52" s="85"/>
      <c r="B52" s="85"/>
      <c r="C52" s="85"/>
      <c r="D52" s="85"/>
      <c r="E52" s="85"/>
      <c r="F52" s="85"/>
      <c r="G52" s="85"/>
      <c r="H52" s="85"/>
      <c r="I52" s="85"/>
      <c r="J52" s="85"/>
      <c r="K52" s="85"/>
      <c r="L52" s="85"/>
      <c r="M52" s="85"/>
      <c r="N52" s="85"/>
      <c r="O52" s="85"/>
      <c r="P52" s="85"/>
      <c r="Q52" s="85"/>
      <c r="R52" s="85"/>
      <c r="S52" s="85"/>
      <c r="T52" s="85"/>
      <c r="U52" s="85"/>
      <c r="V52" s="85"/>
      <c r="W52" s="85"/>
      <c r="X52" s="85"/>
      <c r="Y52" s="85"/>
    </row>
    <row r="53" spans="1:25" ht="13.8">
      <c r="A53" s="85"/>
      <c r="B53" s="85"/>
      <c r="C53" s="85"/>
      <c r="D53" s="85"/>
      <c r="E53" s="85"/>
      <c r="F53" s="85"/>
      <c r="G53" s="85"/>
      <c r="H53" s="85"/>
      <c r="I53" s="85"/>
      <c r="J53" s="85"/>
      <c r="K53" s="85"/>
      <c r="L53" s="85"/>
      <c r="M53" s="85"/>
      <c r="N53" s="85"/>
      <c r="O53" s="85"/>
      <c r="P53" s="85"/>
      <c r="Q53" s="85"/>
      <c r="R53" s="85"/>
      <c r="S53" s="85"/>
      <c r="T53" s="85"/>
      <c r="U53" s="85"/>
      <c r="V53" s="85"/>
      <c r="W53" s="85"/>
      <c r="X53" s="85"/>
      <c r="Y53" s="85"/>
    </row>
    <row r="54" spans="1:25" ht="13.8">
      <c r="A54" s="85"/>
      <c r="B54" s="85"/>
      <c r="C54" s="85"/>
      <c r="D54" s="85"/>
      <c r="E54" s="85"/>
      <c r="F54" s="85"/>
      <c r="G54" s="85"/>
      <c r="H54" s="85"/>
      <c r="I54" s="85"/>
      <c r="J54" s="85"/>
      <c r="K54" s="85"/>
      <c r="L54" s="85"/>
      <c r="M54" s="85"/>
      <c r="N54" s="85"/>
      <c r="O54" s="85"/>
      <c r="P54" s="85"/>
      <c r="Q54" s="85"/>
      <c r="R54" s="85"/>
      <c r="S54" s="85"/>
      <c r="T54" s="85"/>
      <c r="U54" s="85"/>
      <c r="V54" s="85"/>
      <c r="W54" s="85"/>
      <c r="X54" s="85"/>
      <c r="Y54" s="85"/>
    </row>
    <row r="55" spans="1:25" ht="13.8">
      <c r="A55" s="85"/>
      <c r="B55" s="85"/>
      <c r="C55" s="85"/>
      <c r="D55" s="85"/>
      <c r="E55" s="85"/>
      <c r="F55" s="85"/>
      <c r="G55" s="85"/>
      <c r="H55" s="85"/>
      <c r="I55" s="85"/>
      <c r="J55" s="85"/>
      <c r="K55" s="85"/>
      <c r="L55" s="85"/>
      <c r="M55" s="85"/>
      <c r="N55" s="85"/>
      <c r="O55" s="85"/>
      <c r="P55" s="85"/>
      <c r="Q55" s="85"/>
      <c r="R55" s="85"/>
      <c r="S55" s="85"/>
      <c r="T55" s="85"/>
      <c r="U55" s="85"/>
      <c r="V55" s="85"/>
      <c r="W55" s="85"/>
      <c r="X55" s="85"/>
      <c r="Y55" s="85"/>
    </row>
    <row r="56" spans="1:25" ht="13.8">
      <c r="A56" s="85"/>
      <c r="B56" s="85"/>
      <c r="C56" s="85"/>
      <c r="D56" s="85"/>
      <c r="E56" s="85"/>
      <c r="F56" s="85"/>
      <c r="G56" s="85"/>
      <c r="H56" s="85"/>
      <c r="I56" s="85"/>
      <c r="J56" s="85"/>
      <c r="K56" s="85"/>
      <c r="L56" s="85"/>
      <c r="M56" s="85"/>
      <c r="N56" s="85"/>
      <c r="O56" s="85"/>
      <c r="P56" s="85"/>
      <c r="Q56" s="85"/>
      <c r="R56" s="85"/>
      <c r="S56" s="85"/>
      <c r="T56" s="85"/>
      <c r="U56" s="85"/>
      <c r="V56" s="85"/>
      <c r="W56" s="85"/>
      <c r="X56" s="85"/>
      <c r="Y56" s="85"/>
    </row>
    <row r="57" spans="1:25" ht="13.8">
      <c r="A57" s="85"/>
      <c r="B57" s="85"/>
      <c r="C57" s="85"/>
      <c r="D57" s="85"/>
      <c r="E57" s="85"/>
      <c r="F57" s="85"/>
      <c r="G57" s="85"/>
      <c r="H57" s="85"/>
      <c r="I57" s="85"/>
      <c r="J57" s="85"/>
      <c r="K57" s="85"/>
      <c r="L57" s="85"/>
      <c r="M57" s="85"/>
      <c r="N57" s="85"/>
      <c r="O57" s="85"/>
      <c r="P57" s="85"/>
      <c r="Q57" s="85"/>
      <c r="R57" s="85"/>
      <c r="S57" s="85"/>
      <c r="T57" s="85"/>
      <c r="U57" s="85"/>
      <c r="V57" s="85"/>
      <c r="W57" s="85"/>
      <c r="X57" s="85"/>
      <c r="Y57" s="85"/>
    </row>
    <row r="58" spans="1:25" ht="13.8">
      <c r="A58" s="85"/>
      <c r="B58" s="85"/>
      <c r="C58" s="85"/>
      <c r="D58" s="85"/>
      <c r="E58" s="85"/>
      <c r="F58" s="85"/>
      <c r="G58" s="85"/>
      <c r="H58" s="85"/>
      <c r="I58" s="85"/>
      <c r="J58" s="85"/>
      <c r="K58" s="85"/>
      <c r="L58" s="85"/>
      <c r="M58" s="85"/>
      <c r="N58" s="85"/>
      <c r="O58" s="85"/>
      <c r="P58" s="85"/>
      <c r="Q58" s="85"/>
      <c r="R58" s="85"/>
      <c r="S58" s="85"/>
      <c r="T58" s="85"/>
      <c r="U58" s="85"/>
      <c r="V58" s="85"/>
      <c r="W58" s="85"/>
      <c r="X58" s="85"/>
      <c r="Y58" s="85"/>
    </row>
    <row r="59" spans="1:25" ht="13.8">
      <c r="A59" s="85"/>
      <c r="B59" s="85"/>
      <c r="C59" s="85"/>
      <c r="D59" s="85"/>
      <c r="E59" s="85"/>
      <c r="F59" s="85"/>
      <c r="G59" s="85"/>
      <c r="H59" s="85"/>
      <c r="I59" s="85"/>
      <c r="J59" s="85"/>
      <c r="K59" s="85"/>
      <c r="L59" s="85"/>
      <c r="M59" s="85"/>
      <c r="N59" s="85"/>
      <c r="O59" s="85"/>
      <c r="P59" s="85"/>
      <c r="Q59" s="85"/>
      <c r="R59" s="85"/>
      <c r="S59" s="85"/>
      <c r="T59" s="85"/>
      <c r="U59" s="85"/>
      <c r="V59" s="85"/>
      <c r="W59" s="85"/>
      <c r="X59" s="85"/>
      <c r="Y59" s="85"/>
    </row>
    <row r="60" spans="1:25" ht="13.8">
      <c r="A60" s="85"/>
      <c r="B60" s="85"/>
      <c r="C60" s="85"/>
      <c r="D60" s="85"/>
      <c r="E60" s="85"/>
      <c r="F60" s="85"/>
      <c r="G60" s="85"/>
      <c r="H60" s="85"/>
      <c r="I60" s="85"/>
      <c r="J60" s="85"/>
      <c r="K60" s="85"/>
      <c r="L60" s="85"/>
      <c r="M60" s="85"/>
      <c r="N60" s="85"/>
      <c r="O60" s="85"/>
      <c r="P60" s="85"/>
      <c r="Q60" s="85"/>
      <c r="R60" s="85"/>
      <c r="S60" s="85"/>
      <c r="T60" s="85"/>
      <c r="U60" s="85"/>
      <c r="V60" s="85"/>
      <c r="W60" s="85"/>
      <c r="X60" s="85"/>
      <c r="Y60" s="85"/>
    </row>
    <row r="61" spans="1:25" ht="13.8">
      <c r="A61" s="85"/>
      <c r="B61" s="85"/>
      <c r="C61" s="85"/>
      <c r="D61" s="85"/>
      <c r="E61" s="85"/>
      <c r="F61" s="85"/>
      <c r="G61" s="85"/>
      <c r="H61" s="85"/>
      <c r="I61" s="85"/>
      <c r="J61" s="85"/>
      <c r="K61" s="85"/>
      <c r="L61" s="85"/>
      <c r="M61" s="85"/>
      <c r="N61" s="85"/>
      <c r="O61" s="85"/>
      <c r="P61" s="85"/>
      <c r="Q61" s="85"/>
      <c r="R61" s="85"/>
      <c r="S61" s="85"/>
      <c r="T61" s="85"/>
      <c r="U61" s="85"/>
      <c r="V61" s="85"/>
      <c r="W61" s="85"/>
      <c r="X61" s="85"/>
      <c r="Y61" s="85"/>
    </row>
    <row r="62" spans="1:25" ht="13.8">
      <c r="A62" s="85"/>
      <c r="B62" s="85"/>
      <c r="C62" s="85"/>
      <c r="D62" s="85"/>
      <c r="E62" s="85"/>
      <c r="F62" s="85"/>
      <c r="G62" s="85"/>
      <c r="H62" s="85"/>
      <c r="I62" s="85"/>
      <c r="J62" s="85"/>
      <c r="K62" s="85"/>
      <c r="L62" s="85"/>
      <c r="M62" s="85"/>
      <c r="N62" s="85"/>
      <c r="O62" s="85"/>
      <c r="P62" s="85"/>
      <c r="Q62" s="85"/>
      <c r="R62" s="85"/>
      <c r="S62" s="85"/>
      <c r="T62" s="85"/>
      <c r="U62" s="85"/>
      <c r="V62" s="85"/>
      <c r="W62" s="85"/>
      <c r="X62" s="85"/>
      <c r="Y62" s="85"/>
    </row>
    <row r="63" spans="1:25" ht="13.8">
      <c r="A63" s="85"/>
      <c r="B63" s="85"/>
      <c r="C63" s="85"/>
      <c r="D63" s="85"/>
      <c r="E63" s="85"/>
      <c r="F63" s="85"/>
      <c r="G63" s="85"/>
      <c r="H63" s="85"/>
      <c r="I63" s="85"/>
      <c r="J63" s="85"/>
      <c r="K63" s="85"/>
      <c r="L63" s="85"/>
      <c r="M63" s="85"/>
      <c r="N63" s="85"/>
      <c r="O63" s="85"/>
      <c r="P63" s="85"/>
      <c r="Q63" s="85"/>
      <c r="R63" s="85"/>
      <c r="S63" s="85"/>
      <c r="T63" s="85"/>
      <c r="U63" s="85"/>
      <c r="V63" s="85"/>
      <c r="W63" s="85"/>
      <c r="X63" s="85"/>
      <c r="Y63" s="85"/>
    </row>
    <row r="64" spans="1:25" ht="13.8">
      <c r="A64" s="85"/>
      <c r="B64" s="85"/>
      <c r="C64" s="85"/>
      <c r="D64" s="85"/>
      <c r="E64" s="85"/>
      <c r="F64" s="85"/>
      <c r="G64" s="85"/>
      <c r="H64" s="85"/>
      <c r="I64" s="85"/>
      <c r="J64" s="85"/>
      <c r="K64" s="85"/>
      <c r="L64" s="85"/>
      <c r="M64" s="85"/>
      <c r="N64" s="85"/>
      <c r="O64" s="85"/>
      <c r="P64" s="85"/>
      <c r="Q64" s="85"/>
      <c r="R64" s="85"/>
      <c r="S64" s="85"/>
      <c r="T64" s="85"/>
      <c r="U64" s="85"/>
      <c r="V64" s="85"/>
      <c r="W64" s="85"/>
      <c r="X64" s="85"/>
      <c r="Y64" s="85"/>
    </row>
    <row r="65" spans="1:25" ht="13.8">
      <c r="A65" s="85"/>
      <c r="B65" s="85"/>
      <c r="C65" s="85"/>
      <c r="D65" s="85"/>
      <c r="E65" s="85"/>
      <c r="F65" s="85"/>
      <c r="G65" s="85"/>
      <c r="H65" s="85"/>
      <c r="I65" s="85"/>
      <c r="J65" s="85"/>
      <c r="K65" s="85"/>
      <c r="L65" s="85"/>
      <c r="M65" s="85"/>
      <c r="N65" s="85"/>
      <c r="O65" s="85"/>
      <c r="P65" s="85"/>
      <c r="Q65" s="85"/>
      <c r="R65" s="85"/>
      <c r="S65" s="85"/>
      <c r="T65" s="85"/>
      <c r="U65" s="85"/>
      <c r="V65" s="85"/>
      <c r="W65" s="85"/>
      <c r="X65" s="85"/>
      <c r="Y65" s="85"/>
    </row>
    <row r="66" spans="1:25" ht="13.8">
      <c r="A66" s="85"/>
      <c r="B66" s="85"/>
      <c r="C66" s="85"/>
      <c r="D66" s="85"/>
      <c r="E66" s="85"/>
      <c r="F66" s="85"/>
      <c r="G66" s="85"/>
      <c r="H66" s="85"/>
      <c r="I66" s="85"/>
      <c r="J66" s="85"/>
      <c r="K66" s="85"/>
      <c r="L66" s="85"/>
      <c r="M66" s="85"/>
      <c r="N66" s="85"/>
      <c r="O66" s="85"/>
      <c r="P66" s="85"/>
      <c r="Q66" s="85"/>
      <c r="R66" s="85"/>
      <c r="S66" s="85"/>
      <c r="T66" s="85"/>
      <c r="U66" s="85"/>
      <c r="V66" s="85"/>
      <c r="W66" s="85"/>
      <c r="X66" s="85"/>
      <c r="Y66" s="85"/>
    </row>
    <row r="67" spans="1:25" ht="13.8">
      <c r="A67" s="85"/>
      <c r="B67" s="85"/>
      <c r="C67" s="85"/>
      <c r="D67" s="85"/>
      <c r="E67" s="85"/>
      <c r="F67" s="85"/>
      <c r="G67" s="85"/>
      <c r="H67" s="85"/>
      <c r="I67" s="85"/>
      <c r="J67" s="85"/>
      <c r="K67" s="85"/>
      <c r="L67" s="85"/>
      <c r="M67" s="85"/>
      <c r="N67" s="85"/>
      <c r="O67" s="85"/>
      <c r="P67" s="85"/>
      <c r="Q67" s="85"/>
      <c r="R67" s="85"/>
      <c r="S67" s="85"/>
      <c r="T67" s="85"/>
      <c r="U67" s="85"/>
      <c r="V67" s="85"/>
      <c r="W67" s="85"/>
      <c r="X67" s="85"/>
      <c r="Y67" s="85"/>
    </row>
    <row r="68" spans="1:25" ht="13.8">
      <c r="A68" s="85"/>
      <c r="B68" s="85"/>
      <c r="C68" s="85"/>
      <c r="D68" s="85"/>
      <c r="E68" s="85"/>
      <c r="F68" s="85"/>
      <c r="G68" s="85"/>
      <c r="H68" s="85"/>
      <c r="I68" s="85"/>
      <c r="J68" s="85"/>
      <c r="K68" s="85"/>
      <c r="L68" s="85"/>
      <c r="M68" s="85"/>
      <c r="N68" s="85"/>
      <c r="O68" s="85"/>
      <c r="P68" s="85"/>
      <c r="Q68" s="85"/>
      <c r="R68" s="85"/>
      <c r="S68" s="85"/>
      <c r="T68" s="85"/>
      <c r="U68" s="85"/>
      <c r="V68" s="85"/>
      <c r="W68" s="85"/>
      <c r="X68" s="85"/>
      <c r="Y68" s="85"/>
    </row>
    <row r="69" spans="1:25" ht="13.8">
      <c r="A69" s="85"/>
      <c r="B69" s="85"/>
      <c r="C69" s="85"/>
      <c r="D69" s="85"/>
      <c r="E69" s="85"/>
      <c r="F69" s="85"/>
      <c r="G69" s="85"/>
      <c r="H69" s="85"/>
      <c r="I69" s="85"/>
      <c r="J69" s="85"/>
      <c r="K69" s="85"/>
      <c r="L69" s="85"/>
      <c r="M69" s="85"/>
      <c r="N69" s="85"/>
      <c r="O69" s="85"/>
      <c r="P69" s="85"/>
      <c r="Q69" s="85"/>
      <c r="R69" s="85"/>
      <c r="S69" s="85"/>
      <c r="T69" s="85"/>
      <c r="U69" s="85"/>
      <c r="V69" s="85"/>
      <c r="W69" s="85"/>
      <c r="X69" s="85"/>
      <c r="Y69" s="85"/>
    </row>
    <row r="70" spans="1:25" ht="13.8">
      <c r="A70" s="85"/>
      <c r="B70" s="85"/>
      <c r="C70" s="85"/>
      <c r="D70" s="85"/>
      <c r="E70" s="85"/>
      <c r="F70" s="85"/>
      <c r="G70" s="85"/>
      <c r="H70" s="85"/>
      <c r="I70" s="85"/>
      <c r="J70" s="85"/>
      <c r="K70" s="85"/>
      <c r="L70" s="85"/>
      <c r="M70" s="85"/>
      <c r="N70" s="85"/>
      <c r="O70" s="85"/>
      <c r="P70" s="85"/>
      <c r="Q70" s="85"/>
      <c r="R70" s="85"/>
      <c r="S70" s="85"/>
      <c r="T70" s="85"/>
      <c r="U70" s="85"/>
      <c r="V70" s="85"/>
      <c r="W70" s="85"/>
      <c r="X70" s="85"/>
      <c r="Y70" s="85"/>
    </row>
    <row r="71" spans="1:25" ht="13.8">
      <c r="A71" s="85"/>
      <c r="B71" s="85"/>
      <c r="C71" s="85"/>
      <c r="D71" s="85"/>
      <c r="E71" s="85"/>
      <c r="F71" s="85"/>
      <c r="G71" s="85"/>
      <c r="H71" s="85"/>
      <c r="I71" s="85"/>
      <c r="J71" s="85"/>
      <c r="K71" s="85"/>
      <c r="L71" s="85"/>
      <c r="M71" s="85"/>
      <c r="N71" s="85"/>
      <c r="O71" s="85"/>
      <c r="P71" s="85"/>
      <c r="Q71" s="85"/>
      <c r="R71" s="85"/>
      <c r="S71" s="85"/>
      <c r="T71" s="85"/>
      <c r="U71" s="85"/>
      <c r="V71" s="85"/>
      <c r="W71" s="85"/>
      <c r="X71" s="85"/>
      <c r="Y71" s="85"/>
    </row>
    <row r="72" spans="1:25" ht="13.8">
      <c r="A72" s="85"/>
      <c r="B72" s="85"/>
      <c r="C72" s="85"/>
      <c r="D72" s="85"/>
      <c r="E72" s="85"/>
      <c r="F72" s="85"/>
      <c r="G72" s="85"/>
      <c r="H72" s="85"/>
      <c r="I72" s="85"/>
      <c r="J72" s="85"/>
      <c r="K72" s="85"/>
      <c r="L72" s="85"/>
      <c r="M72" s="85"/>
      <c r="N72" s="85"/>
      <c r="O72" s="85"/>
      <c r="P72" s="85"/>
      <c r="Q72" s="85"/>
      <c r="R72" s="85"/>
      <c r="S72" s="85"/>
      <c r="T72" s="85"/>
      <c r="U72" s="85"/>
      <c r="V72" s="85"/>
      <c r="W72" s="85"/>
      <c r="X72" s="85"/>
      <c r="Y72" s="85"/>
    </row>
    <row r="73" spans="1:25" ht="13.8">
      <c r="A73" s="85"/>
      <c r="B73" s="85"/>
      <c r="C73" s="85"/>
      <c r="D73" s="85"/>
      <c r="E73" s="85"/>
      <c r="F73" s="85"/>
      <c r="G73" s="85"/>
      <c r="H73" s="85"/>
      <c r="I73" s="85"/>
      <c r="J73" s="85"/>
      <c r="K73" s="85"/>
      <c r="L73" s="85"/>
      <c r="M73" s="85"/>
      <c r="N73" s="85"/>
      <c r="O73" s="85"/>
      <c r="P73" s="85"/>
      <c r="Q73" s="85"/>
      <c r="R73" s="85"/>
      <c r="S73" s="85"/>
      <c r="T73" s="85"/>
      <c r="U73" s="85"/>
      <c r="V73" s="85"/>
      <c r="W73" s="85"/>
      <c r="X73" s="85"/>
      <c r="Y73" s="85"/>
    </row>
    <row r="74" spans="1:25" ht="13.8">
      <c r="A74" s="85"/>
      <c r="B74" s="85"/>
      <c r="C74" s="85"/>
      <c r="D74" s="85"/>
      <c r="E74" s="85"/>
      <c r="F74" s="85"/>
      <c r="G74" s="85"/>
      <c r="H74" s="85"/>
      <c r="I74" s="85"/>
      <c r="J74" s="85"/>
      <c r="K74" s="85"/>
      <c r="L74" s="85"/>
      <c r="M74" s="85"/>
      <c r="N74" s="85"/>
      <c r="O74" s="85"/>
      <c r="P74" s="85"/>
      <c r="Q74" s="85"/>
      <c r="R74" s="85"/>
      <c r="S74" s="85"/>
      <c r="T74" s="85"/>
      <c r="U74" s="85"/>
      <c r="V74" s="85"/>
      <c r="W74" s="85"/>
      <c r="X74" s="85"/>
      <c r="Y74" s="85"/>
    </row>
    <row r="75" spans="1:25" ht="13.8">
      <c r="A75" s="85"/>
      <c r="B75" s="85"/>
      <c r="C75" s="85"/>
      <c r="D75" s="85"/>
      <c r="E75" s="85"/>
      <c r="F75" s="85"/>
      <c r="G75" s="85"/>
      <c r="H75" s="85"/>
      <c r="I75" s="85"/>
      <c r="J75" s="85"/>
      <c r="K75" s="85"/>
      <c r="L75" s="85"/>
      <c r="M75" s="85"/>
      <c r="N75" s="85"/>
      <c r="O75" s="85"/>
      <c r="P75" s="85"/>
      <c r="Q75" s="85"/>
      <c r="R75" s="85"/>
      <c r="S75" s="85"/>
      <c r="T75" s="85"/>
      <c r="U75" s="85"/>
      <c r="V75" s="85"/>
      <c r="W75" s="85"/>
      <c r="X75" s="85"/>
      <c r="Y75" s="85"/>
    </row>
    <row r="76" spans="1:25" ht="13.8">
      <c r="A76" s="85"/>
      <c r="B76" s="85"/>
      <c r="C76" s="85"/>
      <c r="D76" s="85"/>
      <c r="E76" s="85"/>
      <c r="F76" s="85"/>
      <c r="G76" s="85"/>
      <c r="H76" s="85"/>
      <c r="I76" s="85"/>
      <c r="J76" s="85"/>
      <c r="K76" s="85"/>
      <c r="L76" s="85"/>
      <c r="M76" s="85"/>
      <c r="N76" s="85"/>
      <c r="O76" s="85"/>
      <c r="P76" s="85"/>
      <c r="Q76" s="85"/>
      <c r="R76" s="85"/>
      <c r="S76" s="85"/>
      <c r="T76" s="85"/>
      <c r="U76" s="85"/>
      <c r="V76" s="85"/>
      <c r="W76" s="85"/>
      <c r="X76" s="85"/>
      <c r="Y76" s="85"/>
    </row>
    <row r="77" spans="1:25" ht="13.8">
      <c r="A77" s="85"/>
      <c r="B77" s="85"/>
      <c r="C77" s="85"/>
      <c r="D77" s="85"/>
      <c r="E77" s="85"/>
      <c r="F77" s="85"/>
      <c r="G77" s="85"/>
      <c r="H77" s="85"/>
      <c r="I77" s="85"/>
      <c r="J77" s="85"/>
      <c r="K77" s="85"/>
      <c r="L77" s="85"/>
      <c r="M77" s="85"/>
      <c r="N77" s="85"/>
      <c r="O77" s="85"/>
      <c r="P77" s="85"/>
      <c r="Q77" s="85"/>
      <c r="R77" s="85"/>
      <c r="S77" s="85"/>
      <c r="T77" s="85"/>
      <c r="U77" s="85"/>
      <c r="V77" s="85"/>
      <c r="W77" s="85"/>
      <c r="X77" s="85"/>
      <c r="Y77" s="85"/>
    </row>
    <row r="78" spans="1:25" ht="13.8">
      <c r="A78" s="85"/>
      <c r="B78" s="85"/>
      <c r="C78" s="85"/>
      <c r="D78" s="85"/>
      <c r="E78" s="85"/>
      <c r="F78" s="85"/>
      <c r="G78" s="85"/>
      <c r="H78" s="85"/>
      <c r="I78" s="85"/>
      <c r="J78" s="85"/>
      <c r="K78" s="85"/>
      <c r="L78" s="85"/>
      <c r="M78" s="85"/>
      <c r="N78" s="85"/>
      <c r="O78" s="85"/>
      <c r="P78" s="85"/>
      <c r="Q78" s="85"/>
      <c r="R78" s="85"/>
      <c r="S78" s="85"/>
      <c r="T78" s="85"/>
      <c r="U78" s="85"/>
      <c r="V78" s="85"/>
      <c r="W78" s="85"/>
      <c r="X78" s="85"/>
      <c r="Y78" s="85"/>
    </row>
    <row r="79" spans="1:25" ht="13.8">
      <c r="A79" s="85"/>
      <c r="B79" s="85"/>
      <c r="C79" s="85"/>
      <c r="D79" s="85"/>
      <c r="E79" s="85"/>
      <c r="F79" s="85"/>
      <c r="G79" s="85"/>
      <c r="H79" s="85"/>
      <c r="I79" s="85"/>
      <c r="J79" s="85"/>
      <c r="K79" s="85"/>
      <c r="L79" s="85"/>
      <c r="M79" s="85"/>
      <c r="N79" s="85"/>
      <c r="O79" s="85"/>
      <c r="P79" s="85"/>
      <c r="Q79" s="85"/>
      <c r="R79" s="85"/>
      <c r="S79" s="85"/>
      <c r="T79" s="85"/>
      <c r="U79" s="85"/>
      <c r="V79" s="85"/>
      <c r="W79" s="85"/>
      <c r="X79" s="85"/>
      <c r="Y79" s="85"/>
    </row>
    <row r="80" spans="1:25" ht="13.8">
      <c r="A80" s="85"/>
      <c r="B80" s="85"/>
      <c r="C80" s="85"/>
      <c r="D80" s="85"/>
      <c r="E80" s="85"/>
      <c r="F80" s="85"/>
      <c r="G80" s="85"/>
      <c r="H80" s="85"/>
      <c r="I80" s="85"/>
      <c r="J80" s="85"/>
      <c r="K80" s="85"/>
      <c r="L80" s="85"/>
      <c r="M80" s="85"/>
      <c r="N80" s="85"/>
      <c r="O80" s="85"/>
      <c r="P80" s="85"/>
      <c r="Q80" s="85"/>
      <c r="R80" s="85"/>
      <c r="S80" s="85"/>
      <c r="T80" s="85"/>
      <c r="U80" s="85"/>
      <c r="V80" s="85"/>
      <c r="W80" s="85"/>
      <c r="X80" s="85"/>
      <c r="Y80" s="85"/>
    </row>
    <row r="81" spans="1:25" ht="13.8">
      <c r="A81" s="85"/>
      <c r="B81" s="85"/>
      <c r="C81" s="85"/>
      <c r="D81" s="85"/>
      <c r="E81" s="85"/>
      <c r="F81" s="85"/>
      <c r="G81" s="85"/>
      <c r="H81" s="85"/>
      <c r="I81" s="85"/>
      <c r="J81" s="85"/>
      <c r="K81" s="85"/>
      <c r="L81" s="85"/>
      <c r="M81" s="85"/>
      <c r="N81" s="85"/>
      <c r="O81" s="85"/>
      <c r="P81" s="85"/>
      <c r="Q81" s="85"/>
      <c r="R81" s="85"/>
      <c r="S81" s="85"/>
      <c r="T81" s="85"/>
      <c r="U81" s="85"/>
      <c r="V81" s="85"/>
      <c r="W81" s="85"/>
      <c r="X81" s="85"/>
      <c r="Y81" s="85"/>
    </row>
    <row r="82" spans="1:25" ht="13.8">
      <c r="A82" s="85"/>
      <c r="B82" s="85"/>
      <c r="C82" s="85"/>
      <c r="D82" s="85"/>
      <c r="E82" s="85"/>
      <c r="F82" s="85"/>
      <c r="G82" s="85"/>
      <c r="H82" s="85"/>
      <c r="I82" s="85"/>
      <c r="J82" s="85"/>
      <c r="K82" s="85"/>
      <c r="L82" s="85"/>
      <c r="M82" s="85"/>
      <c r="N82" s="85"/>
      <c r="O82" s="85"/>
      <c r="P82" s="85"/>
      <c r="Q82" s="85"/>
      <c r="R82" s="85"/>
      <c r="S82" s="85"/>
      <c r="T82" s="85"/>
      <c r="U82" s="85"/>
      <c r="V82" s="85"/>
      <c r="W82" s="85"/>
      <c r="X82" s="85"/>
      <c r="Y82" s="85"/>
    </row>
    <row r="83" spans="1:25" ht="13.8">
      <c r="A83" s="85"/>
      <c r="B83" s="85"/>
      <c r="C83" s="85"/>
      <c r="D83" s="85"/>
      <c r="E83" s="85"/>
      <c r="F83" s="85"/>
      <c r="G83" s="85"/>
      <c r="H83" s="85"/>
      <c r="I83" s="85"/>
      <c r="J83" s="85"/>
      <c r="K83" s="85"/>
      <c r="L83" s="85"/>
      <c r="M83" s="85"/>
      <c r="N83" s="85"/>
      <c r="O83" s="85"/>
      <c r="P83" s="85"/>
      <c r="Q83" s="85"/>
      <c r="R83" s="85"/>
      <c r="S83" s="85"/>
      <c r="T83" s="85"/>
      <c r="U83" s="85"/>
      <c r="V83" s="85"/>
      <c r="W83" s="85"/>
      <c r="X83" s="85"/>
      <c r="Y83" s="85"/>
    </row>
    <row r="84" spans="1:25" ht="13.8">
      <c r="A84" s="85"/>
      <c r="B84" s="85"/>
      <c r="C84" s="85"/>
      <c r="D84" s="85"/>
      <c r="E84" s="85"/>
      <c r="F84" s="85"/>
      <c r="G84" s="85"/>
      <c r="H84" s="85"/>
      <c r="I84" s="85"/>
      <c r="J84" s="85"/>
      <c r="K84" s="85"/>
      <c r="L84" s="85"/>
      <c r="M84" s="85"/>
      <c r="N84" s="85"/>
      <c r="O84" s="85"/>
      <c r="P84" s="85"/>
      <c r="Q84" s="85"/>
      <c r="R84" s="85"/>
      <c r="S84" s="85"/>
      <c r="T84" s="85"/>
      <c r="U84" s="85"/>
      <c r="V84" s="85"/>
      <c r="W84" s="85"/>
      <c r="X84" s="85"/>
      <c r="Y84" s="85"/>
    </row>
    <row r="85" spans="1:25" ht="13.8">
      <c r="A85" s="85"/>
      <c r="B85" s="85"/>
      <c r="C85" s="85"/>
      <c r="D85" s="85"/>
      <c r="E85" s="85"/>
      <c r="F85" s="85"/>
      <c r="G85" s="85"/>
      <c r="H85" s="85"/>
      <c r="I85" s="85"/>
      <c r="J85" s="85"/>
      <c r="K85" s="85"/>
      <c r="L85" s="85"/>
      <c r="M85" s="85"/>
      <c r="N85" s="85"/>
      <c r="O85" s="85"/>
      <c r="P85" s="85"/>
      <c r="Q85" s="85"/>
      <c r="R85" s="85"/>
      <c r="S85" s="85"/>
      <c r="T85" s="85"/>
      <c r="U85" s="85"/>
      <c r="V85" s="85"/>
      <c r="W85" s="85"/>
      <c r="X85" s="85"/>
      <c r="Y85" s="85"/>
    </row>
    <row r="86" spans="1:25" ht="13.8">
      <c r="A86" s="85"/>
      <c r="B86" s="85"/>
      <c r="C86" s="85"/>
      <c r="D86" s="85"/>
      <c r="E86" s="85"/>
      <c r="F86" s="85"/>
      <c r="G86" s="85"/>
      <c r="H86" s="85"/>
      <c r="I86" s="85"/>
      <c r="J86" s="85"/>
      <c r="K86" s="85"/>
      <c r="L86" s="85"/>
      <c r="M86" s="85"/>
      <c r="N86" s="85"/>
      <c r="O86" s="85"/>
      <c r="P86" s="85"/>
      <c r="Q86" s="85"/>
      <c r="R86" s="85"/>
      <c r="S86" s="85"/>
      <c r="T86" s="85"/>
      <c r="U86" s="85"/>
      <c r="V86" s="85"/>
      <c r="W86" s="85"/>
      <c r="X86" s="85"/>
      <c r="Y86" s="85"/>
    </row>
    <row r="87" spans="1:25" ht="13.8">
      <c r="A87" s="85"/>
      <c r="B87" s="85"/>
      <c r="C87" s="85"/>
      <c r="D87" s="85"/>
      <c r="E87" s="85"/>
      <c r="F87" s="85"/>
      <c r="G87" s="85"/>
      <c r="H87" s="85"/>
      <c r="I87" s="85"/>
      <c r="J87" s="85"/>
      <c r="K87" s="85"/>
      <c r="L87" s="85"/>
      <c r="M87" s="85"/>
      <c r="N87" s="85"/>
      <c r="O87" s="85"/>
      <c r="P87" s="85"/>
      <c r="Q87" s="85"/>
      <c r="R87" s="85"/>
      <c r="S87" s="85"/>
      <c r="T87" s="85"/>
      <c r="U87" s="85"/>
      <c r="V87" s="85"/>
      <c r="W87" s="85"/>
      <c r="X87" s="85"/>
      <c r="Y87" s="85"/>
    </row>
    <row r="88" spans="1:25" ht="13.8">
      <c r="A88" s="85"/>
      <c r="B88" s="85"/>
      <c r="C88" s="85"/>
      <c r="D88" s="85"/>
      <c r="E88" s="85"/>
      <c r="F88" s="85"/>
      <c r="G88" s="85"/>
      <c r="H88" s="85"/>
      <c r="I88" s="85"/>
      <c r="J88" s="85"/>
      <c r="K88" s="85"/>
      <c r="L88" s="85"/>
      <c r="M88" s="85"/>
      <c r="N88" s="85"/>
      <c r="O88" s="85"/>
      <c r="P88" s="85"/>
      <c r="Q88" s="85"/>
      <c r="R88" s="85"/>
      <c r="S88" s="85"/>
      <c r="T88" s="85"/>
      <c r="U88" s="85"/>
      <c r="V88" s="85"/>
      <c r="W88" s="85"/>
      <c r="X88" s="85"/>
      <c r="Y88" s="85"/>
    </row>
    <row r="89" spans="1:25" ht="13.8">
      <c r="A89" s="85"/>
      <c r="B89" s="85"/>
      <c r="C89" s="85"/>
      <c r="D89" s="85"/>
      <c r="E89" s="85"/>
      <c r="F89" s="85"/>
      <c r="G89" s="85"/>
      <c r="H89" s="85"/>
      <c r="I89" s="85"/>
      <c r="J89" s="85"/>
      <c r="K89" s="85"/>
      <c r="L89" s="85"/>
      <c r="M89" s="85"/>
      <c r="N89" s="85"/>
      <c r="O89" s="85"/>
      <c r="P89" s="85"/>
      <c r="Q89" s="85"/>
      <c r="R89" s="85"/>
      <c r="S89" s="85"/>
      <c r="T89" s="85"/>
      <c r="U89" s="85"/>
      <c r="V89" s="85"/>
      <c r="W89" s="85"/>
      <c r="X89" s="85"/>
      <c r="Y89" s="85"/>
    </row>
    <row r="90" spans="1:25" ht="13.8">
      <c r="A90" s="85"/>
      <c r="B90" s="85"/>
      <c r="C90" s="85"/>
      <c r="D90" s="85"/>
      <c r="E90" s="85"/>
      <c r="F90" s="85"/>
      <c r="G90" s="85"/>
      <c r="H90" s="85"/>
      <c r="I90" s="85"/>
      <c r="J90" s="85"/>
      <c r="K90" s="85"/>
      <c r="L90" s="85"/>
      <c r="M90" s="85"/>
      <c r="N90" s="85"/>
      <c r="O90" s="85"/>
      <c r="P90" s="85"/>
      <c r="Q90" s="85"/>
      <c r="R90" s="85"/>
      <c r="S90" s="85"/>
      <c r="T90" s="85"/>
      <c r="U90" s="85"/>
      <c r="V90" s="85"/>
      <c r="W90" s="85"/>
      <c r="X90" s="85"/>
      <c r="Y90" s="85"/>
    </row>
    <row r="91" spans="1:25" ht="13.8">
      <c r="A91" s="85"/>
      <c r="B91" s="85"/>
      <c r="C91" s="85"/>
      <c r="D91" s="85"/>
      <c r="E91" s="85"/>
      <c r="F91" s="85"/>
      <c r="G91" s="85"/>
      <c r="H91" s="85"/>
      <c r="I91" s="85"/>
      <c r="J91" s="85"/>
      <c r="K91" s="85"/>
      <c r="L91" s="85"/>
      <c r="M91" s="85"/>
      <c r="N91" s="85"/>
      <c r="O91" s="85"/>
      <c r="P91" s="85"/>
      <c r="Q91" s="85"/>
      <c r="R91" s="85"/>
      <c r="S91" s="85"/>
      <c r="T91" s="85"/>
      <c r="U91" s="85"/>
      <c r="V91" s="85"/>
      <c r="W91" s="85"/>
      <c r="X91" s="85"/>
      <c r="Y91" s="85"/>
    </row>
    <row r="92" spans="1:25" ht="13.8">
      <c r="A92" s="85"/>
      <c r="B92" s="85"/>
      <c r="C92" s="85"/>
      <c r="D92" s="85"/>
      <c r="E92" s="85"/>
      <c r="F92" s="85"/>
      <c r="G92" s="85"/>
      <c r="H92" s="85"/>
      <c r="I92" s="85"/>
      <c r="J92" s="85"/>
      <c r="K92" s="85"/>
      <c r="L92" s="85"/>
      <c r="M92" s="85"/>
      <c r="N92" s="85"/>
      <c r="O92" s="85"/>
      <c r="P92" s="85"/>
      <c r="Q92" s="85"/>
      <c r="R92" s="85"/>
      <c r="S92" s="85"/>
      <c r="T92" s="85"/>
      <c r="U92" s="85"/>
      <c r="V92" s="85"/>
      <c r="W92" s="85"/>
      <c r="X92" s="85"/>
      <c r="Y92" s="85"/>
    </row>
    <row r="93" spans="1:25" ht="13.8">
      <c r="A93" s="85"/>
      <c r="B93" s="85"/>
      <c r="C93" s="85"/>
      <c r="D93" s="85"/>
      <c r="E93" s="85"/>
      <c r="F93" s="85"/>
      <c r="G93" s="85"/>
      <c r="H93" s="85"/>
      <c r="I93" s="85"/>
      <c r="J93" s="85"/>
      <c r="K93" s="85"/>
      <c r="L93" s="85"/>
      <c r="M93" s="85"/>
      <c r="N93" s="85"/>
      <c r="O93" s="85"/>
      <c r="P93" s="85"/>
      <c r="Q93" s="85"/>
      <c r="R93" s="85"/>
      <c r="S93" s="85"/>
      <c r="T93" s="85"/>
      <c r="U93" s="85"/>
      <c r="V93" s="85"/>
      <c r="W93" s="85"/>
      <c r="X93" s="85"/>
      <c r="Y93" s="85"/>
    </row>
    <row r="94" spans="1:25" ht="13.8">
      <c r="A94" s="85"/>
      <c r="B94" s="85"/>
      <c r="C94" s="85"/>
      <c r="D94" s="85"/>
      <c r="E94" s="85"/>
      <c r="F94" s="85"/>
      <c r="G94" s="85"/>
      <c r="H94" s="85"/>
      <c r="I94" s="85"/>
      <c r="J94" s="85"/>
      <c r="K94" s="85"/>
      <c r="L94" s="85"/>
      <c r="M94" s="85"/>
      <c r="N94" s="85"/>
      <c r="O94" s="85"/>
      <c r="P94" s="85"/>
      <c r="Q94" s="85"/>
      <c r="R94" s="85"/>
      <c r="S94" s="85"/>
      <c r="T94" s="85"/>
      <c r="U94" s="85"/>
      <c r="V94" s="85"/>
      <c r="W94" s="85"/>
      <c r="X94" s="85"/>
      <c r="Y94" s="85"/>
    </row>
    <row r="95" spans="1:25" ht="13.8">
      <c r="A95" s="85"/>
      <c r="B95" s="85"/>
      <c r="C95" s="85"/>
      <c r="D95" s="85"/>
      <c r="E95" s="85"/>
      <c r="F95" s="85"/>
      <c r="G95" s="85"/>
      <c r="H95" s="85"/>
      <c r="I95" s="85"/>
      <c r="J95" s="85"/>
      <c r="K95" s="85"/>
      <c r="L95" s="85"/>
      <c r="M95" s="85"/>
      <c r="N95" s="85"/>
      <c r="O95" s="85"/>
      <c r="P95" s="85"/>
      <c r="Q95" s="85"/>
      <c r="R95" s="85"/>
      <c r="S95" s="85"/>
      <c r="T95" s="85"/>
      <c r="U95" s="85"/>
      <c r="V95" s="85"/>
      <c r="W95" s="85"/>
      <c r="X95" s="85"/>
      <c r="Y95" s="85"/>
    </row>
    <row r="96" spans="1:25" ht="13.8">
      <c r="A96" s="85"/>
      <c r="B96" s="85"/>
      <c r="C96" s="85"/>
      <c r="D96" s="85"/>
      <c r="E96" s="85"/>
      <c r="F96" s="85"/>
      <c r="G96" s="85"/>
      <c r="H96" s="85"/>
      <c r="I96" s="85"/>
      <c r="J96" s="85"/>
      <c r="K96" s="85"/>
      <c r="L96" s="85"/>
      <c r="M96" s="85"/>
      <c r="N96" s="85"/>
      <c r="O96" s="85"/>
      <c r="P96" s="85"/>
      <c r="Q96" s="85"/>
      <c r="R96" s="85"/>
      <c r="S96" s="85"/>
      <c r="T96" s="85"/>
      <c r="U96" s="85"/>
      <c r="V96" s="85"/>
      <c r="W96" s="85"/>
      <c r="X96" s="85"/>
      <c r="Y96" s="85"/>
    </row>
    <row r="97" spans="1:25" ht="13.8">
      <c r="A97" s="85"/>
      <c r="B97" s="85"/>
      <c r="C97" s="85"/>
      <c r="D97" s="85"/>
      <c r="E97" s="85"/>
      <c r="F97" s="85"/>
      <c r="G97" s="85"/>
      <c r="H97" s="85"/>
      <c r="I97" s="85"/>
      <c r="J97" s="85"/>
      <c r="K97" s="85"/>
      <c r="L97" s="85"/>
      <c r="M97" s="85"/>
      <c r="N97" s="85"/>
      <c r="O97" s="85"/>
      <c r="P97" s="85"/>
      <c r="Q97" s="85"/>
      <c r="R97" s="85"/>
      <c r="S97" s="85"/>
      <c r="T97" s="85"/>
      <c r="U97" s="85"/>
      <c r="V97" s="85"/>
      <c r="W97" s="85"/>
      <c r="X97" s="85"/>
      <c r="Y97" s="85"/>
    </row>
    <row r="98" spans="1:25" ht="13.8">
      <c r="A98" s="85"/>
      <c r="B98" s="85"/>
      <c r="C98" s="85"/>
      <c r="D98" s="85"/>
      <c r="E98" s="85"/>
      <c r="F98" s="85"/>
      <c r="G98" s="85"/>
      <c r="H98" s="85"/>
      <c r="I98" s="85"/>
      <c r="J98" s="85"/>
      <c r="K98" s="85"/>
      <c r="L98" s="85"/>
      <c r="M98" s="85"/>
      <c r="N98" s="85"/>
      <c r="O98" s="85"/>
      <c r="P98" s="85"/>
      <c r="Q98" s="85"/>
      <c r="R98" s="85"/>
      <c r="S98" s="85"/>
      <c r="T98" s="85"/>
      <c r="U98" s="85"/>
      <c r="V98" s="85"/>
      <c r="W98" s="85"/>
      <c r="X98" s="85"/>
      <c r="Y98" s="85"/>
    </row>
    <row r="99" spans="1:25" ht="13.8">
      <c r="A99" s="85"/>
      <c r="B99" s="85"/>
      <c r="C99" s="85"/>
      <c r="D99" s="85"/>
      <c r="E99" s="85"/>
      <c r="F99" s="85"/>
      <c r="G99" s="85"/>
      <c r="H99" s="85"/>
      <c r="I99" s="85"/>
      <c r="J99" s="85"/>
      <c r="K99" s="85"/>
      <c r="L99" s="85"/>
      <c r="M99" s="85"/>
      <c r="N99" s="85"/>
      <c r="O99" s="85"/>
      <c r="P99" s="85"/>
      <c r="Q99" s="85"/>
      <c r="R99" s="85"/>
      <c r="S99" s="85"/>
      <c r="T99" s="85"/>
      <c r="U99" s="85"/>
      <c r="V99" s="85"/>
      <c r="W99" s="85"/>
      <c r="X99" s="85"/>
      <c r="Y99" s="85"/>
    </row>
    <row r="100" spans="1:25" ht="13.8">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row>
    <row r="101" spans="1:25" ht="13.8">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row>
    <row r="102" spans="1:25" ht="13.8">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row>
    <row r="103" spans="1:25" ht="13.8">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row>
    <row r="104" spans="1:25" ht="13.8">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row>
    <row r="105" spans="1:25" ht="13.8">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row>
    <row r="106" spans="1:25" ht="13.8">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row>
    <row r="107" spans="1:25" ht="13.8">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row>
    <row r="108" spans="1:25" ht="13.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row>
    <row r="109" spans="1:25" ht="13.8">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row>
    <row r="110" spans="1:25" ht="13.8">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row>
    <row r="111" spans="1:25" ht="13.8">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row>
    <row r="112" spans="1:25" ht="13.8">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row>
    <row r="113" spans="1:25" ht="13.8">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row>
    <row r="114" spans="1:25" ht="13.8">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row>
    <row r="115" spans="1:25" ht="13.8">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row>
    <row r="116" spans="1:25" ht="13.8">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row>
    <row r="117" spans="1:25" ht="13.8">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row>
    <row r="118" spans="1:25" ht="13.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row>
    <row r="119" spans="1:25" ht="13.8">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row>
    <row r="120" spans="1:25" ht="13.8">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row>
    <row r="121" spans="1:25" ht="13.8">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row>
    <row r="122" spans="1:25" ht="13.8">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row>
    <row r="123" spans="1:25" ht="13.8">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row>
    <row r="124" spans="1:25" ht="13.8">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row>
    <row r="125" spans="1:25" ht="13.8">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row>
    <row r="126" spans="1:25" ht="13.8">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row>
    <row r="127" spans="1:25" ht="13.8">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row>
    <row r="128" spans="1:25" ht="13.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row>
    <row r="129" spans="1:25" ht="13.8">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row>
    <row r="130" spans="1:25" ht="13.8">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row>
    <row r="131" spans="1:25" ht="13.8">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row>
    <row r="132" spans="1:25" ht="13.8">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row>
    <row r="133" spans="1:25" ht="13.8">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row>
    <row r="134" spans="1:25" ht="13.8">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row>
    <row r="135" spans="1:25" ht="13.8">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row>
    <row r="136" spans="1:25" ht="13.8">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row>
    <row r="137" spans="1:25" ht="13.8">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row>
    <row r="138" spans="1:25" ht="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row>
    <row r="139" spans="1:25" ht="13.8">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row>
    <row r="140" spans="1:25" ht="13.8">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row>
    <row r="141" spans="1:25" ht="13.8">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row>
    <row r="142" spans="1:25" ht="13.8">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row>
    <row r="143" spans="1:25" ht="13.8">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row>
    <row r="144" spans="1:25" ht="13.8">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row>
    <row r="145" spans="1:25" ht="13.8">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row>
    <row r="146" spans="1:25" ht="13.8">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row>
    <row r="147" spans="1:25" ht="13.8">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row>
    <row r="148" spans="1:25" ht="13.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row>
    <row r="149" spans="1:25" ht="13.8">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row>
    <row r="150" spans="1:25" ht="13.8">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row>
    <row r="151" spans="1:25" ht="13.8">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row>
    <row r="152" spans="1:25" ht="13.8">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row>
    <row r="153" spans="1:25" ht="13.8">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row>
    <row r="154" spans="1:25" ht="13.8">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row>
    <row r="155" spans="1:25" ht="13.8">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row>
    <row r="156" spans="1:25" ht="13.8">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row>
    <row r="157" spans="1:25" ht="13.8">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row>
    <row r="158" spans="1:25" ht="13.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row>
    <row r="159" spans="1:25" ht="13.8">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row>
    <row r="160" spans="1:25" ht="13.8">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row>
    <row r="161" spans="1:25" ht="13.8">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row>
    <row r="162" spans="1:25" ht="13.8">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row>
    <row r="163" spans="1:25" ht="13.8">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row>
    <row r="164" spans="1:25" ht="13.8">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row>
    <row r="165" spans="1:25" ht="13.8">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row>
    <row r="166" spans="1:25" ht="13.8">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row>
    <row r="167" spans="1:25" ht="13.8">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row>
    <row r="168" spans="1:25" ht="13.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row>
    <row r="169" spans="1:25" ht="13.8">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row>
    <row r="170" spans="1:25" ht="13.8">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row>
    <row r="171" spans="1:25" ht="13.8">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row>
    <row r="172" spans="1:25" ht="13.8">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row>
    <row r="173" spans="1:25" ht="13.8">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row>
    <row r="174" spans="1:25" ht="13.8">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row>
    <row r="175" spans="1:25" ht="13.8">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row>
    <row r="176" spans="1:25" ht="13.8">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row>
    <row r="177" spans="1:25" ht="13.8">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row>
    <row r="178" spans="1:25" ht="13.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row>
    <row r="179" spans="1:25" ht="13.8">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row>
    <row r="180" spans="1:25" ht="13.8">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row>
    <row r="181" spans="1:25" ht="13.8">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row>
    <row r="182" spans="1:25" ht="13.8">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row>
    <row r="183" spans="1:25" ht="13.8">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row>
    <row r="184" spans="1:25" ht="13.8">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row>
    <row r="185" spans="1:25" ht="13.8">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row>
    <row r="186" spans="1:25" ht="13.8">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row>
    <row r="187" spans="1:25" ht="13.8">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row>
    <row r="188" spans="1:25" ht="13.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row>
    <row r="189" spans="1:25" ht="13.8">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row>
    <row r="190" spans="1:25" ht="13.8">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row>
    <row r="191" spans="1:25" ht="13.8">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row>
    <row r="192" spans="1:25" ht="13.8">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row>
    <row r="193" spans="1:25" ht="13.8">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row>
    <row r="194" spans="1:25" ht="13.8">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row>
    <row r="195" spans="1:25" ht="13.8">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row>
    <row r="196" spans="1:25" ht="13.8">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row>
    <row r="197" spans="1:25" ht="13.8">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row>
    <row r="198" spans="1:25" ht="13.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row>
    <row r="199" spans="1:25" ht="13.8">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row>
    <row r="200" spans="1:25" ht="13.8">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row>
    <row r="201" spans="1:25" ht="13.8">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row>
    <row r="202" spans="1:25" ht="13.8">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row>
    <row r="203" spans="1:25" ht="13.8">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row>
    <row r="204" spans="1:25" ht="13.8">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row>
    <row r="205" spans="1:25" ht="13.8">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row>
    <row r="206" spans="1:25" ht="13.8">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row>
    <row r="207" spans="1:25" ht="13.8">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row>
    <row r="208" spans="1:25" ht="13.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row>
    <row r="209" spans="1:25" ht="13.8">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row>
    <row r="210" spans="1:25" ht="13.8">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row>
    <row r="211" spans="1:25" ht="13.8">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row>
    <row r="212" spans="1:25" ht="13.8">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row>
    <row r="213" spans="1:25" ht="13.8">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row>
    <row r="214" spans="1:25" ht="13.8">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row>
    <row r="215" spans="1:25" ht="13.8">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row>
    <row r="216" spans="1:25" ht="13.8">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row>
    <row r="217" spans="1:25" ht="13.8">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row>
    <row r="218" spans="1:25" ht="13.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row>
    <row r="219" spans="1:25" ht="13.8">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row>
    <row r="220" spans="1:25" ht="13.8">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row>
    <row r="221" spans="1:25" ht="13.8">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row>
    <row r="222" spans="1:25" ht="13.8">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row>
    <row r="223" spans="1:25" ht="13.8">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row>
    <row r="224" spans="1:25" ht="13.8">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row>
    <row r="225" spans="1:25" ht="13.8">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row>
    <row r="226" spans="1:25" ht="13.8">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row>
    <row r="227" spans="1:25" ht="13.8">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row>
    <row r="228" spans="1:25" ht="13.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row>
    <row r="229" spans="1:25" ht="13.8">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row>
    <row r="230" spans="1:25" ht="13.8">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row>
    <row r="231" spans="1:25" ht="13.8">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row>
    <row r="232" spans="1:25" ht="13.8">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row>
    <row r="233" spans="1:25" ht="13.8">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row>
    <row r="234" spans="1:25" ht="13.8">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row>
    <row r="235" spans="1:25" ht="13.8">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row>
    <row r="236" spans="1:25" ht="13.8">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row>
    <row r="237" spans="1:25" ht="13.8">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row>
    <row r="238" spans="1:25" ht="1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row>
    <row r="239" spans="1:25" ht="13.8">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row>
    <row r="240" spans="1:25" ht="13.8">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row>
    <row r="241" spans="1:25" ht="13.8">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row>
    <row r="242" spans="1:25" ht="13.8">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row>
    <row r="243" spans="1:25" ht="13.8">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row>
    <row r="244" spans="1:25" ht="13.8">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row>
    <row r="245" spans="1:25" ht="13.8">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row>
    <row r="246" spans="1:25" ht="13.8">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row>
    <row r="247" spans="1:25" ht="13.8">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row>
    <row r="248" spans="1:25" ht="13.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row>
    <row r="249" spans="1:25" ht="13.8">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row>
    <row r="250" spans="1:25" ht="13.8">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row>
    <row r="251" spans="1:25" ht="13.8">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row>
    <row r="252" spans="1:25" ht="13.8">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row>
    <row r="253" spans="1:25" ht="13.8">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row>
    <row r="254" spans="1:25" ht="13.8">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row>
    <row r="255" spans="1:25" ht="13.8">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row>
    <row r="256" spans="1:25" ht="13.8">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row>
    <row r="257" spans="1:25" ht="13.8">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row>
    <row r="258" spans="1:25" ht="13.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row>
    <row r="259" spans="1:25" ht="13.8">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row>
    <row r="260" spans="1:25" ht="13.8">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row>
    <row r="261" spans="1:25" ht="13.8">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row>
    <row r="262" spans="1:25" ht="13.8">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row>
    <row r="263" spans="1:25" ht="13.8">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row>
    <row r="264" spans="1:25" ht="13.8">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row>
    <row r="265" spans="1:25" ht="13.8">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row>
    <row r="266" spans="1:25" ht="13.8">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row>
    <row r="267" spans="1:25" ht="13.8">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row>
    <row r="268" spans="1:25" ht="13.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row>
    <row r="269" spans="1:25" ht="13.8">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row>
    <row r="270" spans="1:25" ht="13.8">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row>
    <row r="271" spans="1:25" ht="13.8">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row>
    <row r="272" spans="1:25" ht="13.8">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row>
    <row r="273" spans="1:25" ht="13.8">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row>
    <row r="274" spans="1:25" ht="13.8">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row>
    <row r="275" spans="1:25" ht="13.8">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row>
    <row r="276" spans="1:25" ht="13.8">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row>
    <row r="277" spans="1:25" ht="13.8">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row>
    <row r="278" spans="1:25" ht="13.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row>
    <row r="279" spans="1:25" ht="13.8">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row>
    <row r="280" spans="1:25" ht="13.8">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row>
    <row r="281" spans="1:25" ht="13.8">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row>
    <row r="282" spans="1:25" ht="13.8">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row>
    <row r="283" spans="1:25" ht="13.8">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row>
    <row r="284" spans="1:25" ht="13.8">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row>
    <row r="285" spans="1:25" ht="13.8">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row>
    <row r="286" spans="1:25" ht="13.8">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row>
    <row r="287" spans="1:25" ht="13.8">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row>
    <row r="288" spans="1:25" ht="13.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row>
    <row r="289" spans="1:25" ht="13.8">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row>
    <row r="290" spans="1:25" ht="13.8">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row>
    <row r="291" spans="1:25" ht="13.8">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row>
    <row r="292" spans="1:25" ht="13.8">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row>
    <row r="293" spans="1:25" ht="13.8">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row>
    <row r="294" spans="1:25" ht="13.8">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row>
    <row r="295" spans="1:25" ht="13.8">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row>
    <row r="296" spans="1:25" ht="13.8">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row>
    <row r="297" spans="1:25" ht="13.8">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row>
    <row r="298" spans="1:25" ht="13.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row>
    <row r="299" spans="1:25" ht="13.8">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row>
    <row r="300" spans="1:25" ht="13.8">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row>
    <row r="301" spans="1:25" ht="13.8">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row>
    <row r="302" spans="1:25" ht="13.8">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row>
    <row r="303" spans="1:25" ht="13.8">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row>
    <row r="304" spans="1:25" ht="13.8">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row>
    <row r="305" spans="1:25" ht="13.8">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row>
    <row r="306" spans="1:25" ht="13.8">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row>
    <row r="307" spans="1:25" ht="13.8">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row>
    <row r="308" spans="1:25" ht="13.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row>
    <row r="309" spans="1:25" ht="13.8">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row>
    <row r="310" spans="1:25" ht="13.8">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row>
    <row r="311" spans="1:25" ht="13.8">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row>
    <row r="312" spans="1:25" ht="13.8">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row>
    <row r="313" spans="1:25" ht="13.8">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row>
    <row r="314" spans="1:25" ht="13.8">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row>
    <row r="315" spans="1:25" ht="13.8">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row>
    <row r="316" spans="1:25" ht="13.8">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row>
    <row r="317" spans="1:25" ht="13.8">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row>
    <row r="318" spans="1:25" ht="13.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row>
    <row r="319" spans="1:25" ht="13.8">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row>
    <row r="320" spans="1:25" ht="13.8">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row>
    <row r="321" spans="1:25" ht="13.8">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row>
    <row r="322" spans="1:25" ht="13.8">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row>
    <row r="323" spans="1:25" ht="13.8">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row>
    <row r="324" spans="1:25" ht="13.8">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row>
    <row r="325" spans="1:25" ht="13.8">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row>
    <row r="326" spans="1:25" ht="13.8">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row>
    <row r="327" spans="1:25" ht="13.8">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row>
    <row r="328" spans="1:25" ht="13.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row>
    <row r="329" spans="1:25" ht="13.8">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row>
    <row r="330" spans="1:25" ht="13.8">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row>
    <row r="331" spans="1:25" ht="13.8">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row>
    <row r="332" spans="1:25" ht="13.8">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row>
    <row r="333" spans="1:25" ht="13.8">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row>
    <row r="334" spans="1:25" ht="13.8">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row>
    <row r="335" spans="1:25" ht="13.8">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row>
    <row r="336" spans="1:25" ht="13.8">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row>
    <row r="337" spans="1:25" ht="13.8">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row>
    <row r="338" spans="1:25" ht="1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row>
    <row r="339" spans="1:25" ht="13.8">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row>
    <row r="340" spans="1:25" ht="13.8">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row>
    <row r="341" spans="1:25" ht="13.8">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row>
    <row r="342" spans="1:25" ht="13.8">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row>
    <row r="343" spans="1:25" ht="13.8">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row>
    <row r="344" spans="1:25" ht="13.8">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row>
    <row r="345" spans="1:25" ht="13.8">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row>
    <row r="346" spans="1:25" ht="13.8">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row>
    <row r="347" spans="1:25" ht="13.8">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row>
    <row r="348" spans="1:25" ht="13.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row>
    <row r="349" spans="1:25" ht="13.8">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row>
    <row r="350" spans="1:25" ht="13.8">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row>
    <row r="351" spans="1:25" ht="13.8">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row>
    <row r="352" spans="1:25" ht="13.8">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row>
    <row r="353" spans="1:25" ht="13.8">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row>
    <row r="354" spans="1:25" ht="13.8">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row>
    <row r="355" spans="1:25" ht="13.8">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row>
    <row r="356" spans="1:25" ht="13.8">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row>
    <row r="357" spans="1:25" ht="13.8">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row>
    <row r="358" spans="1:25" ht="13.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row>
    <row r="359" spans="1:25" ht="13.8">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row>
    <row r="360" spans="1:25" ht="13.8">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row>
    <row r="361" spans="1:25" ht="13.8">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row>
    <row r="362" spans="1:25" ht="13.8">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row>
    <row r="363" spans="1:25" ht="13.8">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row>
    <row r="364" spans="1:25" ht="13.8">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row>
    <row r="365" spans="1:25" ht="13.8">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row>
    <row r="366" spans="1:25" ht="13.8">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row>
    <row r="367" spans="1:25" ht="13.8">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row>
    <row r="368" spans="1:25" ht="13.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row>
    <row r="369" spans="1:25" ht="13.8">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row>
    <row r="370" spans="1:25" ht="13.8">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row>
    <row r="371" spans="1:25" ht="13.8">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row>
    <row r="372" spans="1:25" ht="13.8">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row>
    <row r="373" spans="1:25" ht="13.8">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row>
    <row r="374" spans="1:25" ht="13.8">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row>
    <row r="375" spans="1:25" ht="13.8">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row>
    <row r="376" spans="1:25" ht="13.8">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row>
    <row r="377" spans="1:25" ht="13.8">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row>
    <row r="378" spans="1:25" ht="13.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row>
    <row r="379" spans="1:25" ht="13.8">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row>
    <row r="380" spans="1:25" ht="13.8">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row>
    <row r="381" spans="1:25" ht="13.8">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row>
    <row r="382" spans="1:25" ht="13.8">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row>
    <row r="383" spans="1:25" ht="13.8">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row>
    <row r="384" spans="1:25" ht="13.8">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row>
    <row r="385" spans="1:25" ht="13.8">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row>
    <row r="386" spans="1:25" ht="13.8">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row>
    <row r="387" spans="1:25" ht="13.8">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row>
    <row r="388" spans="1:25" ht="13.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row>
    <row r="389" spans="1:25" ht="13.8">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row>
    <row r="390" spans="1:25" ht="13.8">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row>
    <row r="391" spans="1:25" ht="13.8">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row>
    <row r="392" spans="1:25" ht="13.8">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row>
    <row r="393" spans="1:25" ht="13.8">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row>
    <row r="394" spans="1:25" ht="13.8">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row>
    <row r="395" spans="1:25" ht="13.8">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row>
    <row r="396" spans="1:25" ht="13.8">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row>
    <row r="397" spans="1:25" ht="13.8">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row>
    <row r="398" spans="1:25" ht="13.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row>
    <row r="399" spans="1:25" ht="13.8">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row>
    <row r="400" spans="1:25" ht="13.8">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row>
    <row r="401" spans="1:25" ht="13.8">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row>
    <row r="402" spans="1:25" ht="13.8">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row>
    <row r="403" spans="1:25" ht="13.8">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row>
    <row r="404" spans="1:25" ht="13.8">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row>
    <row r="405" spans="1:25" ht="13.8">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row>
    <row r="406" spans="1:25" ht="13.8">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row>
    <row r="407" spans="1:25" ht="13.8">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row>
    <row r="408" spans="1:25" ht="13.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row>
    <row r="409" spans="1:25" ht="13.8">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row>
    <row r="410" spans="1:25" ht="13.8">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row>
    <row r="411" spans="1:25" ht="13.8">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row>
    <row r="412" spans="1:25" ht="13.8">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row>
    <row r="413" spans="1:25" ht="13.8">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row>
    <row r="414" spans="1:25" ht="13.8">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row>
    <row r="415" spans="1:25" ht="13.8">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row>
    <row r="416" spans="1:25" ht="13.8">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row>
    <row r="417" spans="1:25" ht="13.8">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row>
    <row r="418" spans="1:25" ht="13.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row>
    <row r="419" spans="1:25" ht="13.8">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row>
    <row r="420" spans="1:25" ht="13.8">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row>
    <row r="421" spans="1:25" ht="13.8">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row>
    <row r="422" spans="1:25" ht="13.8">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row>
    <row r="423" spans="1:25" ht="13.8">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row>
    <row r="424" spans="1:25" ht="13.8">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row>
    <row r="425" spans="1:25" ht="13.8">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row>
    <row r="426" spans="1:25" ht="13.8">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row>
    <row r="427" spans="1:25" ht="13.8">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row>
    <row r="428" spans="1:25" ht="13.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row>
    <row r="429" spans="1:25" ht="13.8">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row>
    <row r="430" spans="1:25" ht="13.8">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row>
    <row r="431" spans="1:25" ht="13.8">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row>
    <row r="432" spans="1:25" ht="13.8">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row>
    <row r="433" spans="1:25" ht="13.8">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row>
    <row r="434" spans="1:25" ht="13.8">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row>
    <row r="435" spans="1:25" ht="13.8">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row>
    <row r="436" spans="1:25" ht="13.8">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row>
    <row r="437" spans="1:25" ht="13.8">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row>
    <row r="438" spans="1:25" ht="1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row>
    <row r="439" spans="1:25" ht="13.8">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row>
    <row r="440" spans="1:25" ht="13.8">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row>
    <row r="441" spans="1:25" ht="13.8">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row>
    <row r="442" spans="1:25" ht="13.8">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row>
    <row r="443" spans="1:25" ht="13.8">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row>
    <row r="444" spans="1:25" ht="13.8">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row>
    <row r="445" spans="1:25" ht="13.8">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row>
    <row r="446" spans="1:25" ht="13.8">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row>
    <row r="447" spans="1:25" ht="13.8">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row>
    <row r="448" spans="1:25" ht="13.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row>
    <row r="449" spans="1:25" ht="13.8">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row>
    <row r="450" spans="1:25" ht="13.8">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row>
    <row r="451" spans="1:25" ht="13.8">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row>
    <row r="452" spans="1:25" ht="13.8">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row>
    <row r="453" spans="1:25" ht="13.8">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row>
    <row r="454" spans="1:25" ht="13.8">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row>
    <row r="455" spans="1:25" ht="13.8">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row>
    <row r="456" spans="1:25" ht="13.8">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row>
    <row r="457" spans="1:25" ht="13.8">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row>
    <row r="458" spans="1:25" ht="13.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row>
    <row r="459" spans="1:25" ht="13.8">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row>
    <row r="460" spans="1:25" ht="13.8">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row>
    <row r="461" spans="1:25" ht="13.8">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row>
    <row r="462" spans="1:25" ht="13.8">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row>
    <row r="463" spans="1:25" ht="13.8">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row>
    <row r="464" spans="1:25" ht="13.8">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row>
    <row r="465" spans="1:25" ht="13.8">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row>
    <row r="466" spans="1:25" ht="13.8">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row>
    <row r="467" spans="1:25" ht="13.8">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row>
    <row r="468" spans="1:25" ht="13.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row>
    <row r="469" spans="1:25" ht="13.8">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row>
    <row r="470" spans="1:25" ht="13.8">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row>
    <row r="471" spans="1:25" ht="13.8">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row>
    <row r="472" spans="1:25" ht="13.8">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row>
    <row r="473" spans="1:25" ht="13.8">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row>
    <row r="474" spans="1:25" ht="13.8">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row>
    <row r="475" spans="1:25" ht="13.8">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row>
    <row r="476" spans="1:25" ht="13.8">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row>
    <row r="477" spans="1:25" ht="13.8">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row>
    <row r="478" spans="1:25" ht="13.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row>
    <row r="479" spans="1:25" ht="13.8">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row>
    <row r="480" spans="1:25" ht="13.8">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row>
    <row r="481" spans="1:25" ht="13.8">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row>
    <row r="482" spans="1:25" ht="13.8">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row>
    <row r="483" spans="1:25" ht="13.8">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row>
    <row r="484" spans="1:25" ht="13.8">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row>
    <row r="485" spans="1:25" ht="13.8">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row>
    <row r="486" spans="1:25" ht="13.8">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row>
    <row r="487" spans="1:25" ht="13.8">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row>
    <row r="488" spans="1:25" ht="13.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row>
    <row r="489" spans="1:25" ht="13.8">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row>
    <row r="490" spans="1:25" ht="13.8">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row>
    <row r="491" spans="1:25" ht="13.8">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row>
    <row r="492" spans="1:25" ht="13.8">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row>
    <row r="493" spans="1:25" ht="13.8">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row>
    <row r="494" spans="1:25" ht="13.8">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row>
    <row r="495" spans="1:25" ht="13.8">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row>
    <row r="496" spans="1:25" ht="13.8">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row>
    <row r="497" spans="1:25" ht="13.8">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row>
    <row r="498" spans="1:25" ht="13.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row>
    <row r="499" spans="1:25" ht="13.8">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row>
    <row r="500" spans="1:25" ht="13.8">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row>
    <row r="501" spans="1:25" ht="13.8">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row>
    <row r="502" spans="1:25" ht="13.8">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row>
    <row r="503" spans="1:25" ht="13.8">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row>
    <row r="504" spans="1:25" ht="13.8">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row>
    <row r="505" spans="1:25" ht="13.8">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row>
    <row r="506" spans="1:25" ht="13.8">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row>
    <row r="507" spans="1:25" ht="13.8">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row>
    <row r="508" spans="1:25" ht="13.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row>
    <row r="509" spans="1:25" ht="13.8">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row>
    <row r="510" spans="1:25" ht="13.8">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row>
    <row r="511" spans="1:25" ht="13.8">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row>
    <row r="512" spans="1:25" ht="13.8">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row>
    <row r="513" spans="1:25" ht="13.8">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row>
    <row r="514" spans="1:25" ht="13.8">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row>
    <row r="515" spans="1:25" ht="13.8">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row>
    <row r="516" spans="1:25" ht="13.8">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row>
    <row r="517" spans="1:25" ht="13.8">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row>
    <row r="518" spans="1:25" ht="13.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row>
    <row r="519" spans="1:25" ht="13.8">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row>
    <row r="520" spans="1:25" ht="13.8">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row>
    <row r="521" spans="1:25" ht="13.8">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row>
    <row r="522" spans="1:25" ht="13.8">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row>
    <row r="523" spans="1:25" ht="13.8">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row>
    <row r="524" spans="1:25" ht="13.8">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row>
    <row r="525" spans="1:25" ht="13.8">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row>
    <row r="526" spans="1:25" ht="13.8">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row>
    <row r="527" spans="1:25" ht="13.8">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row>
    <row r="528" spans="1:25" ht="13.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row>
    <row r="529" spans="1:25" ht="13.8">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row>
    <row r="530" spans="1:25" ht="13.8">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row>
    <row r="531" spans="1:25" ht="13.8">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row>
    <row r="532" spans="1:25" ht="13.8">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row>
    <row r="533" spans="1:25" ht="13.8">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row>
    <row r="534" spans="1:25" ht="13.8">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row>
    <row r="535" spans="1:25" ht="13.8">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row>
    <row r="536" spans="1:25" ht="13.8">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row>
    <row r="537" spans="1:25" ht="13.8">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row>
    <row r="538" spans="1:25" ht="1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row>
    <row r="539" spans="1:25" ht="13.8">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row>
    <row r="540" spans="1:25" ht="13.8">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row>
    <row r="541" spans="1:25" ht="13.8">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row>
    <row r="542" spans="1:25" ht="13.8">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row>
    <row r="543" spans="1:25" ht="13.8">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row>
    <row r="544" spans="1:25" ht="13.8">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row>
    <row r="545" spans="1:25" ht="13.8">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row>
    <row r="546" spans="1:25" ht="13.8">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row>
    <row r="547" spans="1:25" ht="13.8">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row>
    <row r="548" spans="1:25" ht="13.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row>
    <row r="549" spans="1:25" ht="13.8">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row>
    <row r="550" spans="1:25" ht="13.8">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row>
    <row r="551" spans="1:25" ht="13.8">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row>
    <row r="552" spans="1:25" ht="13.8">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row>
    <row r="553" spans="1:25" ht="13.8">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row>
    <row r="554" spans="1:25" ht="13.8">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row>
    <row r="555" spans="1:25" ht="13.8">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row>
    <row r="556" spans="1:25" ht="13.8">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row>
    <row r="557" spans="1:25" ht="13.8">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row>
    <row r="558" spans="1:25" ht="13.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row>
    <row r="559" spans="1:25" ht="13.8">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row>
    <row r="560" spans="1:25" ht="13.8">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row>
    <row r="561" spans="1:25" ht="13.8">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row>
    <row r="562" spans="1:25" ht="13.8">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row>
    <row r="563" spans="1:25" ht="13.8">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row>
    <row r="564" spans="1:25" ht="13.8">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row>
    <row r="565" spans="1:25" ht="13.8">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row>
    <row r="566" spans="1:25" ht="13.8">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row>
    <row r="567" spans="1:25" ht="13.8">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row>
    <row r="568" spans="1:25" ht="13.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row>
    <row r="569" spans="1:25" ht="13.8">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row>
    <row r="570" spans="1:25" ht="13.8">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row>
    <row r="571" spans="1:25" ht="13.8">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row>
    <row r="572" spans="1:25" ht="13.8">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row>
    <row r="573" spans="1:25" ht="13.8">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row>
    <row r="574" spans="1:25" ht="13.8">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row>
    <row r="575" spans="1:25" ht="13.8">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row>
    <row r="576" spans="1:25" ht="13.8">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row>
    <row r="577" spans="1:25" ht="13.8">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row>
    <row r="578" spans="1:25" ht="13.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row>
    <row r="579" spans="1:25" ht="13.8">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row>
    <row r="580" spans="1:25" ht="13.8">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row>
    <row r="581" spans="1:25" ht="13.8">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row>
    <row r="582" spans="1:25" ht="13.8">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row>
    <row r="583" spans="1:25" ht="13.8">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row>
    <row r="584" spans="1:25" ht="13.8">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row>
    <row r="585" spans="1:25" ht="13.8">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row>
    <row r="586" spans="1:25" ht="13.8">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row>
    <row r="587" spans="1:25" ht="13.8">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row>
    <row r="588" spans="1:25" ht="13.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row>
    <row r="589" spans="1:25" ht="13.8">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row>
    <row r="590" spans="1:25" ht="13.8">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row>
    <row r="591" spans="1:25" ht="13.8">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row>
    <row r="592" spans="1:25" ht="13.8">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row>
    <row r="593" spans="1:25" ht="13.8">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row>
    <row r="594" spans="1:25" ht="13.8">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row>
    <row r="595" spans="1:25" ht="13.8">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row>
    <row r="596" spans="1:25" ht="13.8">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row>
    <row r="597" spans="1:25" ht="13.8">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row>
    <row r="598" spans="1:25" ht="13.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row>
    <row r="599" spans="1:25" ht="13.8">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row>
    <row r="600" spans="1:25" ht="13.8">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row>
    <row r="601" spans="1:25" ht="13.8">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row>
    <row r="602" spans="1:25" ht="13.8">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row>
    <row r="603" spans="1:25" ht="13.8">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row>
    <row r="604" spans="1:25" ht="13.8">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row>
    <row r="605" spans="1:25" ht="13.8">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row>
    <row r="606" spans="1:25" ht="13.8">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row>
    <row r="607" spans="1:25" ht="13.8">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row>
    <row r="608" spans="1:25" ht="13.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row>
    <row r="609" spans="1:25" ht="13.8">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row>
    <row r="610" spans="1:25" ht="13.8">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row>
    <row r="611" spans="1:25" ht="13.8">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row>
    <row r="612" spans="1:25" ht="13.8">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row>
    <row r="613" spans="1:25" ht="13.8">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row>
    <row r="614" spans="1:25" ht="13.8">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row>
    <row r="615" spans="1:25" ht="13.8">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row>
    <row r="616" spans="1:25" ht="13.8">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row>
    <row r="617" spans="1:25" ht="13.8">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row>
    <row r="618" spans="1:25" ht="13.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row>
    <row r="619" spans="1:25" ht="13.8">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row>
    <row r="620" spans="1:25" ht="13.8">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row>
    <row r="621" spans="1:25" ht="13.8">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row>
    <row r="622" spans="1:25" ht="13.8">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row>
    <row r="623" spans="1:25" ht="13.8">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row>
    <row r="624" spans="1:25" ht="13.8">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row>
    <row r="625" spans="1:25" ht="13.8">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row>
    <row r="626" spans="1:25" ht="13.8">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row>
    <row r="627" spans="1:25" ht="13.8">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row>
    <row r="628" spans="1:25" ht="13.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row>
    <row r="629" spans="1:25" ht="13.8">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row>
    <row r="630" spans="1:25" ht="13.8">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row>
    <row r="631" spans="1:25" ht="13.8">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row>
    <row r="632" spans="1:25" ht="13.8">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row>
    <row r="633" spans="1:25" ht="13.8">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row>
    <row r="634" spans="1:25" ht="13.8">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row>
    <row r="635" spans="1:25" ht="13.8">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row>
    <row r="636" spans="1:25" ht="13.8">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row>
    <row r="637" spans="1:25" ht="13.8">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row>
    <row r="638" spans="1:25" ht="1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row>
    <row r="639" spans="1:25" ht="13.8">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row>
    <row r="640" spans="1:25" ht="13.8">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row>
    <row r="641" spans="1:25" ht="13.8">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row>
    <row r="642" spans="1:25" ht="13.8">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row>
    <row r="643" spans="1:25" ht="13.8">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row>
    <row r="644" spans="1:25" ht="13.8">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row>
    <row r="645" spans="1:25" ht="13.8">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row>
    <row r="646" spans="1:25" ht="13.8">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row>
    <row r="647" spans="1:25" ht="13.8">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row>
    <row r="648" spans="1:25" ht="13.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row>
    <row r="649" spans="1:25" ht="13.8">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row>
    <row r="650" spans="1:25" ht="13.8">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row>
    <row r="651" spans="1:25" ht="13.8">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row>
    <row r="652" spans="1:25" ht="13.8">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row>
    <row r="653" spans="1:25" ht="13.8">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row>
    <row r="654" spans="1:25" ht="13.8">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row>
    <row r="655" spans="1:25" ht="13.8">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row>
    <row r="656" spans="1:25" ht="13.8">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row>
    <row r="657" spans="1:25" ht="13.8">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row>
    <row r="658" spans="1:25" ht="13.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row>
    <row r="659" spans="1:25" ht="13.8">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row>
    <row r="660" spans="1:25" ht="13.8">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row>
    <row r="661" spans="1:25" ht="13.8">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row>
    <row r="662" spans="1:25" ht="13.8">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row>
    <row r="663" spans="1:25" ht="13.8">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row>
    <row r="664" spans="1:25" ht="13.8">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row>
    <row r="665" spans="1:25" ht="13.8">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row>
    <row r="666" spans="1:25" ht="13.8">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row>
    <row r="667" spans="1:25" ht="13.8">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row>
    <row r="668" spans="1:25" ht="13.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row>
    <row r="669" spans="1:25" ht="13.8">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row>
    <row r="670" spans="1:25" ht="13.8">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row>
    <row r="671" spans="1:25" ht="13.8">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row>
    <row r="672" spans="1:25" ht="13.8">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row>
    <row r="673" spans="1:25" ht="13.8">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row>
    <row r="674" spans="1:25" ht="13.8">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row>
    <row r="675" spans="1:25" ht="13.8">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row>
    <row r="676" spans="1:25" ht="13.8">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row>
    <row r="677" spans="1:25" ht="13.8">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row>
    <row r="678" spans="1:25" ht="13.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row>
    <row r="679" spans="1:25" ht="13.8">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row>
    <row r="680" spans="1:25" ht="13.8">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row>
    <row r="681" spans="1:25" ht="13.8">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row>
    <row r="682" spans="1:25" ht="13.8">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row>
    <row r="683" spans="1:25" ht="13.8">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row>
    <row r="684" spans="1:25" ht="13.8">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row>
    <row r="685" spans="1:25" ht="13.8">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row>
    <row r="686" spans="1:25" ht="13.8">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row>
    <row r="687" spans="1:25" ht="13.8">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row>
    <row r="688" spans="1:25" ht="13.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row>
    <row r="689" spans="1:25" ht="13.8">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row>
    <row r="690" spans="1:25" ht="13.8">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row>
    <row r="691" spans="1:25" ht="13.8">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row>
    <row r="692" spans="1:25" ht="13.8">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row>
    <row r="693" spans="1:25" ht="13.8">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row>
    <row r="694" spans="1:25" ht="13.8">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row>
    <row r="695" spans="1:25" ht="13.8">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row>
    <row r="696" spans="1:25" ht="13.8">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row>
    <row r="697" spans="1:25" ht="13.8">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row>
    <row r="698" spans="1:25" ht="13.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row>
    <row r="699" spans="1:25" ht="13.8">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row>
    <row r="700" spans="1:25" ht="13.8">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row>
    <row r="701" spans="1:25" ht="13.8">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row>
    <row r="702" spans="1:25" ht="13.8">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row>
    <row r="703" spans="1:25" ht="13.8">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row>
    <row r="704" spans="1:25" ht="13.8">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row>
    <row r="705" spans="1:25" ht="13.8">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row>
    <row r="706" spans="1:25" ht="13.8">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row>
    <row r="707" spans="1:25" ht="13.8">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row>
    <row r="708" spans="1:25" ht="13.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row>
    <row r="709" spans="1:25" ht="13.8">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row>
    <row r="710" spans="1:25" ht="13.8">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row>
    <row r="711" spans="1:25" ht="13.8">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row>
    <row r="712" spans="1:25" ht="13.8">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row>
    <row r="713" spans="1:25" ht="13.8">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row>
    <row r="714" spans="1:25" ht="13.8">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row>
    <row r="715" spans="1:25" ht="13.8">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row>
    <row r="716" spans="1:25" ht="13.8">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row>
    <row r="717" spans="1:25" ht="13.8">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row>
    <row r="718" spans="1:25" ht="13.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row>
    <row r="719" spans="1:25" ht="13.8">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row>
    <row r="720" spans="1:25" ht="13.8">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row>
    <row r="721" spans="1:25" ht="13.8">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row>
    <row r="722" spans="1:25" ht="13.8">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row>
    <row r="723" spans="1:25" ht="13.8">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row>
    <row r="724" spans="1:25" ht="13.8">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row>
    <row r="725" spans="1:25" ht="13.8">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row>
    <row r="726" spans="1:25" ht="13.8">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row>
    <row r="727" spans="1:25" ht="13.8">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row>
    <row r="728" spans="1:25" ht="13.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row>
    <row r="729" spans="1:25" ht="13.8">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row>
    <row r="730" spans="1:25" ht="13.8">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row>
    <row r="731" spans="1:25" ht="13.8">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row>
    <row r="732" spans="1:25" ht="13.8">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row>
    <row r="733" spans="1:25" ht="13.8">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row>
    <row r="734" spans="1:25" ht="13.8">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row>
    <row r="735" spans="1:25" ht="13.8">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row>
    <row r="736" spans="1:25" ht="13.8">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row>
    <row r="737" spans="1:25" ht="13.8">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row>
    <row r="738" spans="1:25" ht="1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row>
    <row r="739" spans="1:25" ht="13.8">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row>
    <row r="740" spans="1:25" ht="13.8">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row>
    <row r="741" spans="1:25" ht="13.8">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row>
    <row r="742" spans="1:25" ht="13.8">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row>
    <row r="743" spans="1:25" ht="13.8">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row>
    <row r="744" spans="1:25" ht="13.8">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row>
    <row r="745" spans="1:25" ht="13.8">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row>
    <row r="746" spans="1:25" ht="13.8">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row>
    <row r="747" spans="1:25" ht="13.8">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row>
    <row r="748" spans="1:25" ht="13.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row>
    <row r="749" spans="1:25" ht="13.8">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row>
    <row r="750" spans="1:25" ht="13.8">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row>
    <row r="751" spans="1:25" ht="13.8">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row>
    <row r="752" spans="1:25" ht="13.8">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row>
    <row r="753" spans="1:25" ht="13.8">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row>
    <row r="754" spans="1:25" ht="13.8">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row>
    <row r="755" spans="1:25" ht="13.8">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row>
    <row r="756" spans="1:25" ht="13.8">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row>
    <row r="757" spans="1:25" ht="13.8">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row>
    <row r="758" spans="1:25" ht="13.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row>
    <row r="759" spans="1:25" ht="13.8">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row>
    <row r="760" spans="1:25" ht="13.8">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row>
    <row r="761" spans="1:25" ht="13.8">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row>
    <row r="762" spans="1:25" ht="13.8">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row>
    <row r="763" spans="1:25" ht="13.8">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row>
    <row r="764" spans="1:25" ht="13.8">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row>
    <row r="765" spans="1:25" ht="13.8">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row>
    <row r="766" spans="1:25" ht="13.8">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row>
    <row r="767" spans="1:25" ht="13.8">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row>
    <row r="768" spans="1:25" ht="13.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row>
    <row r="769" spans="1:25" ht="13.8">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row>
    <row r="770" spans="1:25" ht="13.8">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row>
    <row r="771" spans="1:25" ht="13.8">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row>
    <row r="772" spans="1:25" ht="13.8">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row>
    <row r="773" spans="1:25" ht="13.8">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row>
    <row r="774" spans="1:25" ht="13.8">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row>
    <row r="775" spans="1:25" ht="13.8">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row>
    <row r="776" spans="1:25" ht="13.8">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row>
    <row r="777" spans="1:25" ht="13.8">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row>
    <row r="778" spans="1:25" ht="13.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row>
    <row r="779" spans="1:25" ht="13.8">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row>
    <row r="780" spans="1:25" ht="13.8">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row>
    <row r="781" spans="1:25" ht="13.8">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row>
    <row r="782" spans="1:25" ht="13.8">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row>
    <row r="783" spans="1:25" ht="13.8">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row>
    <row r="784" spans="1:25" ht="13.8">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row>
    <row r="785" spans="1:25" ht="13.8">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row>
    <row r="786" spans="1:25" ht="13.8">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row>
    <row r="787" spans="1:25" ht="13.8">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row>
    <row r="788" spans="1:25" ht="13.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row>
    <row r="789" spans="1:25" ht="13.8">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row>
    <row r="790" spans="1:25" ht="13.8">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row>
    <row r="791" spans="1:25" ht="13.8">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row>
    <row r="792" spans="1:25" ht="13.8">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row>
    <row r="793" spans="1:25" ht="13.8">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row>
    <row r="794" spans="1:25" ht="13.8">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row>
    <row r="795" spans="1:25" ht="13.8">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row>
    <row r="796" spans="1:25" ht="13.8">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row>
    <row r="797" spans="1:25" ht="13.8">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row>
    <row r="798" spans="1:25" ht="13.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row>
    <row r="799" spans="1:25" ht="13.8">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row>
    <row r="800" spans="1:25" ht="13.8">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row>
    <row r="801" spans="1:25" ht="13.8">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row>
    <row r="802" spans="1:25" ht="13.8">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row>
    <row r="803" spans="1:25" ht="13.8">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row>
    <row r="804" spans="1:25" ht="13.8">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row>
    <row r="805" spans="1:25" ht="13.8">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row>
    <row r="806" spans="1:25" ht="13.8">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row>
    <row r="807" spans="1:25" ht="13.8">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row>
    <row r="808" spans="1:25" ht="13.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row>
    <row r="809" spans="1:25" ht="13.8">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row>
    <row r="810" spans="1:25" ht="13.8">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row>
    <row r="811" spans="1:25" ht="13.8">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row>
    <row r="812" spans="1:25" ht="13.8">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row>
    <row r="813" spans="1:25" ht="13.8">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row>
    <row r="814" spans="1:25" ht="13.8">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row>
    <row r="815" spans="1:25" ht="13.8">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row>
    <row r="816" spans="1:25" ht="13.8">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row>
    <row r="817" spans="1:25" ht="13.8">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row>
    <row r="818" spans="1:25" ht="13.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row>
    <row r="819" spans="1:25" ht="13.8">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row>
    <row r="820" spans="1:25" ht="13.8">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row>
    <row r="821" spans="1:25" ht="13.8">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row>
    <row r="822" spans="1:25" ht="13.8">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row>
    <row r="823" spans="1:25" ht="13.8">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row>
    <row r="824" spans="1:25" ht="13.8">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row>
    <row r="825" spans="1:25" ht="13.8">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row>
    <row r="826" spans="1:25" ht="13.8">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row>
    <row r="827" spans="1:25" ht="13.8">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row>
    <row r="828" spans="1:25" ht="13.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row>
    <row r="829" spans="1:25" ht="13.8">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row>
    <row r="830" spans="1:25" ht="13.8">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row>
    <row r="831" spans="1:25" ht="13.8">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row>
    <row r="832" spans="1:25" ht="13.8">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row>
    <row r="833" spans="1:25" ht="13.8">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row>
    <row r="834" spans="1:25" ht="13.8">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row>
    <row r="835" spans="1:25" ht="13.8">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row>
    <row r="836" spans="1:25" ht="13.8">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row>
    <row r="837" spans="1:25" ht="13.8">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row>
    <row r="838" spans="1:25" ht="1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row>
    <row r="839" spans="1:25" ht="13.8">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row>
    <row r="840" spans="1:25" ht="13.8">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row>
    <row r="841" spans="1:25" ht="13.8">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row>
    <row r="842" spans="1:25" ht="13.8">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row>
    <row r="843" spans="1:25" ht="13.8">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row>
    <row r="844" spans="1:25" ht="13.8">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row>
    <row r="845" spans="1:25" ht="13.8">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row>
    <row r="846" spans="1:25" ht="13.8">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row>
    <row r="847" spans="1:25" ht="13.8">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row>
    <row r="848" spans="1:25" ht="13.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row>
    <row r="849" spans="1:25" ht="13.8">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row>
    <row r="850" spans="1:25" ht="13.8">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row>
    <row r="851" spans="1:25" ht="13.8">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row>
    <row r="852" spans="1:25" ht="13.8">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row>
    <row r="853" spans="1:25" ht="13.8">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row>
    <row r="854" spans="1:25" ht="13.8">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row>
    <row r="855" spans="1:25" ht="13.8">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row>
    <row r="856" spans="1:25" ht="13.8">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row>
    <row r="857" spans="1:25" ht="13.8">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row>
    <row r="858" spans="1:25" ht="13.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row>
    <row r="859" spans="1:25" ht="13.8">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row>
    <row r="860" spans="1:25" ht="13.8">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row>
    <row r="861" spans="1:25" ht="13.8">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row>
    <row r="862" spans="1:25" ht="13.8">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row>
    <row r="863" spans="1:25" ht="13.8">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row>
    <row r="864" spans="1:25" ht="13.8">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row>
    <row r="865" spans="1:25" ht="13.8">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row>
    <row r="866" spans="1:25" ht="13.8">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row>
    <row r="867" spans="1:25" ht="13.8">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row>
    <row r="868" spans="1:25" ht="13.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row>
    <row r="869" spans="1:25" ht="13.8">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row>
    <row r="870" spans="1:25" ht="13.8">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row>
    <row r="871" spans="1:25" ht="13.8">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row>
    <row r="872" spans="1:25" ht="13.8">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row>
    <row r="873" spans="1:25" ht="13.8">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row>
    <row r="874" spans="1:25" ht="13.8">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row>
    <row r="875" spans="1:25" ht="13.8">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row>
    <row r="876" spans="1:25" ht="13.8">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row>
    <row r="877" spans="1:25" ht="13.8">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row>
    <row r="878" spans="1:25" ht="13.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row>
    <row r="879" spans="1:25" ht="13.8">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row>
    <row r="880" spans="1:25" ht="13.8">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row>
    <row r="881" spans="1:25" ht="13.8">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row>
    <row r="882" spans="1:25" ht="13.8">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row>
    <row r="883" spans="1:25" ht="13.8">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row>
    <row r="884" spans="1:25" ht="13.8">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row>
    <row r="885" spans="1:25" ht="13.8">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row>
    <row r="886" spans="1:25" ht="13.8">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row>
    <row r="887" spans="1:25" ht="13.8">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row>
    <row r="888" spans="1:25" ht="13.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row>
    <row r="889" spans="1:25" ht="13.8">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row>
    <row r="890" spans="1:25" ht="13.8">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row>
    <row r="891" spans="1:25" ht="13.8">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row>
    <row r="892" spans="1:25" ht="13.8">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row>
    <row r="893" spans="1:25" ht="13.8">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row>
    <row r="894" spans="1:25" ht="13.8">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row>
    <row r="895" spans="1:25" ht="13.8">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row>
    <row r="896" spans="1:25" ht="13.8">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row>
    <row r="897" spans="1:25" ht="13.8">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row>
    <row r="898" spans="1:25" ht="13.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row>
    <row r="899" spans="1:25" ht="13.8">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row>
    <row r="900" spans="1:25" ht="13.8">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row>
    <row r="901" spans="1:25" ht="13.8">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row>
    <row r="902" spans="1:25" ht="13.8">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row>
    <row r="903" spans="1:25" ht="13.8">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row>
    <row r="904" spans="1:25" ht="13.8">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row>
    <row r="905" spans="1:25" ht="13.8">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row>
    <row r="906" spans="1:25" ht="13.8">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row>
    <row r="907" spans="1:25" ht="13.8">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row>
    <row r="908" spans="1:25" ht="13.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row>
    <row r="909" spans="1:25" ht="13.8">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row>
    <row r="910" spans="1:25" ht="13.8">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row>
    <row r="911" spans="1:25" ht="13.8">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row>
    <row r="912" spans="1:25" ht="13.8">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row>
    <row r="913" spans="1:25" ht="13.8">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row>
    <row r="914" spans="1:25" ht="13.8">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row>
    <row r="915" spans="1:25" ht="13.8">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row>
    <row r="916" spans="1:25" ht="13.8">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row>
    <row r="917" spans="1:25" ht="13.8">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row>
    <row r="918" spans="1:25" ht="13.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row>
    <row r="919" spans="1:25" ht="13.8">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row>
    <row r="920" spans="1:25" ht="13.8">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row>
    <row r="921" spans="1:25" ht="13.8">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row>
    <row r="922" spans="1:25" ht="13.8">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row>
    <row r="923" spans="1:25" ht="13.8">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row>
    <row r="924" spans="1:25" ht="13.8">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row>
    <row r="925" spans="1:25" ht="13.8">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row>
    <row r="926" spans="1:25" ht="13.8">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row>
    <row r="927" spans="1:25" ht="13.8">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row>
    <row r="928" spans="1:25" ht="13.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row>
    <row r="929" spans="1:25" ht="13.8">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row>
    <row r="930" spans="1:25" ht="13.8">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row>
    <row r="931" spans="1:25" ht="13.8">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row>
    <row r="932" spans="1:25" ht="13.8">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row>
    <row r="933" spans="1:25" ht="13.8">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row>
    <row r="934" spans="1:25" ht="13.8">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row>
    <row r="935" spans="1:25" ht="13.8">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row>
    <row r="936" spans="1:25" ht="13.8">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row>
    <row r="937" spans="1:25" ht="13.8">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row>
    <row r="938" spans="1:25" ht="1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row>
    <row r="939" spans="1:25" ht="13.8">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row>
    <row r="940" spans="1:25" ht="13.8">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row>
    <row r="941" spans="1:25" ht="13.8">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row>
    <row r="942" spans="1:25" ht="13.8">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row>
    <row r="943" spans="1:25" ht="13.8">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row>
    <row r="944" spans="1:25" ht="13.8">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row>
    <row r="945" spans="1:25" ht="13.8">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row>
    <row r="946" spans="1:25" ht="13.8">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row>
    <row r="947" spans="1:25" ht="13.8">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row>
    <row r="948" spans="1:25" ht="13.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row>
    <row r="949" spans="1:25" ht="13.8">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row>
    <row r="950" spans="1:25" ht="13.8">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row>
    <row r="951" spans="1:25" ht="13.8">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row>
    <row r="952" spans="1:25" ht="13.8">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row>
    <row r="953" spans="1:25" ht="13.8">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row>
    <row r="954" spans="1:25" ht="13.8">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row>
    <row r="955" spans="1:25" ht="13.8">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row>
    <row r="956" spans="1:25" ht="13.8">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row>
    <row r="957" spans="1:25" ht="13.8">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row>
    <row r="958" spans="1:25" ht="13.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row>
    <row r="959" spans="1:25" ht="13.8">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row>
    <row r="960" spans="1:25" ht="13.8">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row>
    <row r="961" spans="1:25" ht="13.8">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row>
    <row r="962" spans="1:25" ht="13.8">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row>
    <row r="963" spans="1:25" ht="13.8">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row>
    <row r="964" spans="1:25" ht="13.8">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row>
    <row r="965" spans="1:25" ht="13.8">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row>
    <row r="966" spans="1:25" ht="13.8">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row>
    <row r="967" spans="1:25" ht="13.8">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row>
    <row r="968" spans="1:25" ht="13.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row>
    <row r="969" spans="1:25" ht="13.8">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row>
    <row r="970" spans="1:25" ht="13.8">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row>
    <row r="971" spans="1:25" ht="13.8">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row>
    <row r="972" spans="1:25" ht="13.8">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row>
    <row r="973" spans="1:25" ht="13.8">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row>
    <row r="974" spans="1:25" ht="13.8">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row>
    <row r="975" spans="1:25" ht="13.8">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row>
    <row r="976" spans="1:25" ht="13.8">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row>
    <row r="977" spans="1:25" ht="13.8">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row>
    <row r="978" spans="1:25" ht="13.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row>
    <row r="979" spans="1:25" ht="13.8">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row>
    <row r="980" spans="1:25" ht="13.8">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row>
    <row r="981" spans="1:25" ht="13.8">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row>
    <row r="982" spans="1:25" ht="13.8">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row>
    <row r="983" spans="1:25" ht="13.8">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row>
    <row r="984" spans="1:25" ht="13.8">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row>
    <row r="985" spans="1:25" ht="13.8">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row>
    <row r="986" spans="1:25" ht="13.8">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row>
    <row r="987" spans="1:25" ht="13.8">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row>
    <row r="988" spans="1:25" ht="13.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row>
    <row r="989" spans="1:25" ht="13.8">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row>
    <row r="990" spans="1:25" ht="13.8">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row>
    <row r="991" spans="1:25" ht="13.8">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row>
    <row r="992" spans="1:25" ht="13.8">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row>
    <row r="993" spans="1:25" ht="13.8">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row>
    <row r="994" spans="1:25" ht="13.8">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row>
    <row r="995" spans="1:25" ht="13.8">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row>
    <row r="996" spans="1:25" ht="13.8">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row>
    <row r="997" spans="1:25" ht="13.8">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row>
    <row r="998" spans="1:25" ht="13.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row>
    <row r="999" spans="1:25" ht="13.8">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row>
    <row r="1000" spans="1:25" ht="13.8">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zoomScale="80" zoomScaleNormal="80" workbookViewId="0">
      <pane xSplit="1" topLeftCell="B1" activePane="topRight" state="frozen"/>
      <selection pane="topRight" activeCell="U24" sqref="A5:U24"/>
    </sheetView>
  </sheetViews>
  <sheetFormatPr defaultColWidth="12.6640625" defaultRowHeight="15.75" customHeight="1"/>
  <cols>
    <col min="1" max="1" width="23.77734375" style="86" customWidth="1"/>
    <col min="2" max="2" width="4.44140625" style="86" hidden="1" customWidth="1"/>
    <col min="3" max="8" width="0" style="86" hidden="1" customWidth="1"/>
    <col min="9" max="16384" width="12.6640625" style="86"/>
  </cols>
  <sheetData>
    <row r="1" spans="1:26" ht="15.75" customHeight="1">
      <c r="A1" s="138" t="s">
        <v>4</v>
      </c>
      <c r="B1" s="85"/>
      <c r="C1" s="85"/>
      <c r="D1" s="85"/>
      <c r="E1" s="85"/>
      <c r="F1" s="85"/>
      <c r="G1" s="85"/>
      <c r="H1" s="85"/>
      <c r="I1" s="85"/>
      <c r="J1" s="85"/>
      <c r="K1" s="85"/>
      <c r="L1" s="85"/>
      <c r="M1" s="85"/>
      <c r="N1" s="85"/>
      <c r="O1" s="85"/>
      <c r="P1" s="85"/>
      <c r="Q1" s="85"/>
      <c r="R1" s="85"/>
      <c r="S1" s="85"/>
      <c r="T1" s="85"/>
      <c r="U1" s="85"/>
      <c r="V1" s="85"/>
      <c r="W1" s="85"/>
      <c r="X1" s="85"/>
      <c r="Y1" s="85"/>
      <c r="Z1" s="85"/>
    </row>
    <row r="2" spans="1:26" ht="13.8">
      <c r="A2" s="139" t="s">
        <v>275</v>
      </c>
      <c r="B2" s="85"/>
      <c r="C2" s="85"/>
      <c r="D2" s="85"/>
      <c r="E2" s="85"/>
      <c r="F2" s="85"/>
      <c r="G2" s="85"/>
      <c r="H2" s="85"/>
      <c r="I2" s="85"/>
      <c r="J2" s="85"/>
      <c r="K2" s="85"/>
      <c r="L2" s="85"/>
      <c r="M2" s="85"/>
      <c r="N2" s="85"/>
      <c r="O2" s="85"/>
      <c r="P2" s="85"/>
      <c r="Q2" s="85"/>
      <c r="R2" s="85"/>
      <c r="S2" s="85"/>
      <c r="T2" s="85"/>
      <c r="U2" s="85"/>
      <c r="V2" s="85"/>
      <c r="W2" s="85"/>
      <c r="X2" s="85"/>
      <c r="Y2" s="85"/>
      <c r="Z2" s="85"/>
    </row>
    <row r="3" spans="1:26" ht="13.8">
      <c r="A3" s="89" t="s">
        <v>276</v>
      </c>
      <c r="B3" s="85"/>
      <c r="C3" s="85"/>
      <c r="D3" s="85"/>
      <c r="E3" s="85"/>
      <c r="F3" s="85"/>
      <c r="G3" s="85"/>
      <c r="H3" s="85"/>
      <c r="I3" s="85"/>
      <c r="J3" s="85"/>
      <c r="K3" s="85"/>
      <c r="L3" s="85"/>
      <c r="M3" s="85"/>
      <c r="N3" s="85"/>
      <c r="O3" s="85"/>
      <c r="P3" s="85"/>
      <c r="Q3" s="85"/>
      <c r="R3" s="85"/>
      <c r="S3" s="85"/>
      <c r="T3" s="85"/>
      <c r="U3" s="85"/>
      <c r="V3" s="85"/>
      <c r="W3" s="85"/>
      <c r="X3" s="85"/>
      <c r="Y3" s="85"/>
      <c r="Z3" s="85"/>
    </row>
    <row r="4" spans="1:26" ht="13.8">
      <c r="A4" s="85"/>
      <c r="B4" s="85"/>
      <c r="C4" s="85"/>
      <c r="D4" s="85"/>
      <c r="E4" s="85"/>
      <c r="F4" s="85"/>
      <c r="G4" s="85"/>
      <c r="H4" s="85"/>
      <c r="I4" s="85"/>
      <c r="J4" s="89" t="s">
        <v>277</v>
      </c>
      <c r="K4" s="85"/>
      <c r="L4" s="85"/>
      <c r="M4" s="85"/>
      <c r="N4" s="85"/>
      <c r="O4" s="85"/>
      <c r="P4" s="85"/>
      <c r="Q4" s="85"/>
      <c r="R4" s="85"/>
      <c r="S4" s="85"/>
      <c r="T4" s="85"/>
      <c r="U4" s="85"/>
      <c r="V4" s="85"/>
      <c r="W4" s="85"/>
      <c r="X4" s="85"/>
      <c r="Y4" s="85"/>
      <c r="Z4" s="85"/>
    </row>
    <row r="5" spans="1:26" ht="13.8">
      <c r="A5" s="218"/>
      <c r="B5" s="85"/>
      <c r="C5" s="102">
        <v>2016</v>
      </c>
      <c r="D5" s="102">
        <v>2017</v>
      </c>
      <c r="E5" s="102">
        <v>2018</v>
      </c>
      <c r="F5" s="102">
        <v>2019</v>
      </c>
      <c r="G5" s="102">
        <v>2020</v>
      </c>
      <c r="H5" s="102">
        <v>2021</v>
      </c>
      <c r="I5" s="102">
        <v>2022</v>
      </c>
      <c r="J5" s="102">
        <v>2023</v>
      </c>
      <c r="K5" s="102">
        <v>2024</v>
      </c>
      <c r="L5" s="102">
        <v>2025</v>
      </c>
      <c r="M5" s="102">
        <v>2026</v>
      </c>
      <c r="N5" s="102">
        <v>2027</v>
      </c>
      <c r="O5" s="102">
        <v>2028</v>
      </c>
      <c r="P5" s="102">
        <v>2029</v>
      </c>
      <c r="Q5" s="102">
        <v>2030</v>
      </c>
      <c r="R5" s="102">
        <v>2031</v>
      </c>
      <c r="S5" s="102">
        <v>2032</v>
      </c>
      <c r="T5" s="102">
        <v>2033</v>
      </c>
      <c r="U5" s="102">
        <v>2034</v>
      </c>
      <c r="V5" s="85"/>
      <c r="W5" s="85"/>
      <c r="X5" s="85"/>
      <c r="Y5" s="85"/>
      <c r="Z5" s="85"/>
    </row>
    <row r="6" spans="1:26" ht="13.8">
      <c r="A6" s="139" t="s">
        <v>278</v>
      </c>
      <c r="B6" s="85"/>
      <c r="C6" s="85"/>
      <c r="D6" s="85"/>
      <c r="E6" s="85"/>
      <c r="F6" s="85"/>
      <c r="G6" s="85"/>
      <c r="H6" s="85"/>
      <c r="I6" s="85"/>
      <c r="J6" s="85"/>
      <c r="K6" s="85"/>
      <c r="L6" s="85"/>
      <c r="M6" s="85"/>
      <c r="N6" s="85"/>
      <c r="O6" s="85"/>
      <c r="P6" s="85"/>
      <c r="Q6" s="85"/>
      <c r="R6" s="85"/>
      <c r="S6" s="85"/>
      <c r="T6" s="85"/>
      <c r="U6" s="85"/>
      <c r="V6" s="85"/>
      <c r="W6" s="85"/>
      <c r="X6" s="85"/>
      <c r="Y6" s="85"/>
      <c r="Z6" s="85"/>
    </row>
    <row r="7" spans="1:26" ht="13.8">
      <c r="A7" s="89" t="s">
        <v>279</v>
      </c>
      <c r="B7" s="85"/>
      <c r="C7" s="115">
        <f>'Balance Sheet'!C20-('Balance Sheet'!C8+'Balance Sheet'!C9)</f>
        <v>144516</v>
      </c>
      <c r="D7" s="115">
        <f>'Balance Sheet'!D20-('Balance Sheet'!D8+'Balance Sheet'!D9)</f>
        <v>194647</v>
      </c>
      <c r="E7" s="115">
        <f>'Balance Sheet'!E20-('Balance Sheet'!E8+'Balance Sheet'!E9)</f>
        <v>267287</v>
      </c>
      <c r="F7" s="115">
        <f>'Balance Sheet'!F20-('Balance Sheet'!F8+'Balance Sheet'!F9)</f>
        <v>954755</v>
      </c>
      <c r="G7" s="115">
        <f>'Balance Sheet'!G20-('Balance Sheet'!G8+'Balance Sheet'!G9)</f>
        <v>1177727</v>
      </c>
      <c r="H7" s="115">
        <f>'Balance Sheet'!H20-('Balance Sheet'!H8+'Balance Sheet'!H9)</f>
        <v>1936102</v>
      </c>
      <c r="I7" s="115">
        <f>'Balance Sheet'!I20-('Balance Sheet'!I8+'Balance Sheet'!I9)</f>
        <v>2450645</v>
      </c>
      <c r="J7" s="115">
        <f>'Balance Sheet'!J20-('Balance Sheet'!J8+'Balance Sheet'!J9)</f>
        <v>2945740.3922805307</v>
      </c>
      <c r="K7" s="115">
        <f>'Balance Sheet'!K20-('Balance Sheet'!K8+'Balance Sheet'!K9)</f>
        <v>3400473.5891966941</v>
      </c>
      <c r="L7" s="115">
        <f>'Balance Sheet'!L20-('Balance Sheet'!L8+'Balance Sheet'!L9)</f>
        <v>3747358.8347342038</v>
      </c>
      <c r="M7" s="115">
        <f>'Balance Sheet'!M20-('Balance Sheet'!M8+'Balance Sheet'!M9)</f>
        <v>4278550.3566974783</v>
      </c>
      <c r="N7" s="115">
        <f>'Balance Sheet'!N20-('Balance Sheet'!N8+'Balance Sheet'!N9)</f>
        <v>4810207.4922992866</v>
      </c>
      <c r="O7" s="115">
        <f>'Balance Sheet'!O20-('Balance Sheet'!O8+'Balance Sheet'!O9)</f>
        <v>5344533.6070506033</v>
      </c>
      <c r="P7" s="115">
        <f>'Balance Sheet'!P20-('Balance Sheet'!P8+'Balance Sheet'!P9)</f>
        <v>5805983.1119464859</v>
      </c>
      <c r="Q7" s="115">
        <f>'Balance Sheet'!Q20-('Balance Sheet'!Q8+'Balance Sheet'!Q9)</f>
        <v>6220394.314768143</v>
      </c>
      <c r="R7" s="115">
        <f>'Balance Sheet'!R20-('Balance Sheet'!R8+'Balance Sheet'!R9)</f>
        <v>6625597.8345491942</v>
      </c>
      <c r="S7" s="115">
        <f>'Balance Sheet'!S20-('Balance Sheet'!S8+'Balance Sheet'!S9)</f>
        <v>7060026.4414135236</v>
      </c>
      <c r="T7" s="115">
        <f>'Balance Sheet'!T20-('Balance Sheet'!T8+'Balance Sheet'!T9)</f>
        <v>7522834.5705175763</v>
      </c>
      <c r="U7" s="115">
        <f>'Balance Sheet'!U20-('Balance Sheet'!U8+'Balance Sheet'!U9)</f>
        <v>8015188.2525059627</v>
      </c>
      <c r="V7" s="85"/>
      <c r="W7" s="85"/>
      <c r="X7" s="85"/>
      <c r="Y7" s="85"/>
      <c r="Z7" s="85"/>
    </row>
    <row r="8" spans="1:26" ht="13.8">
      <c r="A8" s="89" t="s">
        <v>280</v>
      </c>
      <c r="B8" s="85"/>
      <c r="C8" s="219">
        <f>'Balance Sheet'!C36-'Balance Sheet'!C32-'Balance Sheet'!C27</f>
        <v>144722</v>
      </c>
      <c r="D8" s="219">
        <f>'Balance Sheet'!D36-'Balance Sheet'!D32-'Balance Sheet'!D27</f>
        <v>219618</v>
      </c>
      <c r="E8" s="219">
        <f>'Balance Sheet'!E36-'Balance Sheet'!E32-'Balance Sheet'!E27</f>
        <v>220346</v>
      </c>
      <c r="F8" s="219">
        <f>'Balance Sheet'!F36-'Balance Sheet'!F32-'Balance Sheet'!F27</f>
        <v>672200</v>
      </c>
      <c r="G8" s="219">
        <f>'Balance Sheet'!G36-'Balance Sheet'!G32-'Balance Sheet'!G27</f>
        <v>847785</v>
      </c>
      <c r="H8" s="219">
        <f>'Balance Sheet'!H36-'Balance Sheet'!H32-'Balance Sheet'!H27</f>
        <v>1225671</v>
      </c>
      <c r="I8" s="219">
        <f>'Balance Sheet'!I36-'Balance Sheet'!I32-'Balance Sheet'!I27</f>
        <v>1686060</v>
      </c>
      <c r="J8" s="219">
        <f>'Balance Sheet'!J36-('Balance Sheet'!J32+'Balance Sheet'!J27)</f>
        <v>2106378.6934096832</v>
      </c>
      <c r="K8" s="219">
        <f>'Balance Sheet'!K36-('Balance Sheet'!K32+'Balance Sheet'!K27)</f>
        <v>2513237.0758788795</v>
      </c>
      <c r="L8" s="219">
        <f>'Balance Sheet'!L36-('Balance Sheet'!L32+'Balance Sheet'!L27)</f>
        <v>2798415.7026117765</v>
      </c>
      <c r="M8" s="219">
        <f>'Balance Sheet'!M36-('Balance Sheet'!M32+'Balance Sheet'!M27)</f>
        <v>3160734.1044234987</v>
      </c>
      <c r="N8" s="219">
        <f>'Balance Sheet'!N36-('Balance Sheet'!N32+'Balance Sheet'!N27)</f>
        <v>3521351.0976419705</v>
      </c>
      <c r="O8" s="219">
        <f>'Balance Sheet'!O36-('Balance Sheet'!O32+'Balance Sheet'!O27)</f>
        <v>3847512.4619058017</v>
      </c>
      <c r="P8" s="219">
        <f>'Balance Sheet'!P36-('Balance Sheet'!P32+'Balance Sheet'!P27)</f>
        <v>4106784.2093356452</v>
      </c>
      <c r="Q8" s="219">
        <f>'Balance Sheet'!Q36-('Balance Sheet'!Q32+'Balance Sheet'!Q27)</f>
        <v>4313735.6692435471</v>
      </c>
      <c r="R8" s="219">
        <f>'Balance Sheet'!R36-('Balance Sheet'!R32+'Balance Sheet'!R27)</f>
        <v>4501798.086486713</v>
      </c>
      <c r="S8" s="219">
        <f>'Balance Sheet'!S36-('Balance Sheet'!S32+'Balance Sheet'!S27)</f>
        <v>4708981.8567760792</v>
      </c>
      <c r="T8" s="219">
        <f>'Balance Sheet'!T36-('Balance Sheet'!T32+'Balance Sheet'!T27)</f>
        <v>4928917.3749744371</v>
      </c>
      <c r="U8" s="219">
        <f>'Balance Sheet'!U36-('Balance Sheet'!U32+'Balance Sheet'!U27)</f>
        <v>5162525.8012870857</v>
      </c>
      <c r="V8" s="85"/>
      <c r="W8" s="85"/>
      <c r="X8" s="85"/>
      <c r="Y8" s="85"/>
      <c r="Z8" s="85"/>
    </row>
    <row r="9" spans="1:26" ht="13.8">
      <c r="A9" s="89" t="s">
        <v>281</v>
      </c>
      <c r="B9" s="85"/>
      <c r="C9" s="216">
        <f t="shared" ref="C9:U9" si="0">C7-C8</f>
        <v>-206</v>
      </c>
      <c r="D9" s="216">
        <f t="shared" si="0"/>
        <v>-24971</v>
      </c>
      <c r="E9" s="216">
        <f t="shared" si="0"/>
        <v>46941</v>
      </c>
      <c r="F9" s="216">
        <f t="shared" si="0"/>
        <v>282555</v>
      </c>
      <c r="G9" s="216">
        <f t="shared" si="0"/>
        <v>329942</v>
      </c>
      <c r="H9" s="216">
        <f t="shared" si="0"/>
        <v>710431</v>
      </c>
      <c r="I9" s="216">
        <f t="shared" si="0"/>
        <v>764585</v>
      </c>
      <c r="J9" s="216">
        <f t="shared" si="0"/>
        <v>839361.69887084747</v>
      </c>
      <c r="K9" s="216">
        <f t="shared" si="0"/>
        <v>887236.51331781456</v>
      </c>
      <c r="L9" s="216">
        <f t="shared" si="0"/>
        <v>948943.13212242723</v>
      </c>
      <c r="M9" s="216">
        <f t="shared" si="0"/>
        <v>1117816.2522739796</v>
      </c>
      <c r="N9" s="216">
        <f t="shared" si="0"/>
        <v>1288856.3946573162</v>
      </c>
      <c r="O9" s="216">
        <f t="shared" si="0"/>
        <v>1497021.1451448016</v>
      </c>
      <c r="P9" s="216">
        <f t="shared" si="0"/>
        <v>1699198.9026108407</v>
      </c>
      <c r="Q9" s="216">
        <f t="shared" si="0"/>
        <v>1906658.6455245959</v>
      </c>
      <c r="R9" s="216">
        <f t="shared" si="0"/>
        <v>2123799.7480624812</v>
      </c>
      <c r="S9" s="216">
        <f t="shared" si="0"/>
        <v>2351044.5846374445</v>
      </c>
      <c r="T9" s="216">
        <f t="shared" si="0"/>
        <v>2593917.1955431392</v>
      </c>
      <c r="U9" s="216">
        <f t="shared" si="0"/>
        <v>2852662.451218877</v>
      </c>
      <c r="V9" s="85"/>
      <c r="W9" s="85"/>
      <c r="X9" s="85"/>
      <c r="Y9" s="85"/>
      <c r="Z9" s="85"/>
    </row>
    <row r="10" spans="1:26" ht="13.8">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3.8">
      <c r="A11" s="139" t="s">
        <v>282</v>
      </c>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3.8">
      <c r="A12" s="89" t="s">
        <v>283</v>
      </c>
      <c r="B12" s="85"/>
      <c r="C12" s="115">
        <f>'Income Statement'!C9</f>
        <v>398649</v>
      </c>
      <c r="D12" s="115">
        <f>'Income Statement'!D9</f>
        <v>512763</v>
      </c>
      <c r="E12" s="115">
        <f>'Income Statement'!E9</f>
        <v>742506</v>
      </c>
      <c r="F12" s="115">
        <f>'Income Statement'!F9</f>
        <v>1128921</v>
      </c>
      <c r="G12" s="115">
        <f>'Income Statement'!G9</f>
        <v>1778388</v>
      </c>
      <c r="H12" s="115">
        <f>'Income Statement'!H9</f>
        <v>2764584</v>
      </c>
      <c r="I12" s="115">
        <f>'Income Statement'!I9</f>
        <v>3126534</v>
      </c>
      <c r="J12" s="115">
        <f>'Income Statement'!J9</f>
        <v>3877685.8549425676</v>
      </c>
      <c r="K12" s="115">
        <f>'Income Statement'!K9</f>
        <v>4452725.9014118174</v>
      </c>
      <c r="L12" s="115">
        <f>'Income Statement'!L9</f>
        <v>5124947.7032658625</v>
      </c>
      <c r="M12" s="115">
        <f>'Income Statement'!M9</f>
        <v>5854498.920849991</v>
      </c>
      <c r="N12" s="115">
        <f>'Income Statement'!N9</f>
        <v>6588218.2580561079</v>
      </c>
      <c r="O12" s="115">
        <f>'Income Statement'!O9</f>
        <v>7262369.9233528934</v>
      </c>
      <c r="P12" s="115">
        <f>'Income Statement'!P9</f>
        <v>7797278.8658096306</v>
      </c>
      <c r="Q12" s="115">
        <f>'Income Statement'!Q9</f>
        <v>8225725.5456357189</v>
      </c>
      <c r="R12" s="115">
        <f>'Income Statement'!R9</f>
        <v>8624614.7601464186</v>
      </c>
      <c r="S12" s="115">
        <f>'Income Statement'!S9</f>
        <v>9038021.4893075507</v>
      </c>
      <c r="T12" s="115">
        <f>'Income Statement'!T9</f>
        <v>9477920.0908275731</v>
      </c>
      <c r="U12" s="115">
        <f>'Income Statement'!U9</f>
        <v>9944811.7124952264</v>
      </c>
      <c r="V12" s="85"/>
      <c r="W12" s="85"/>
      <c r="X12" s="85"/>
      <c r="Y12" s="85"/>
      <c r="Z12" s="85"/>
    </row>
    <row r="13" spans="1:26" ht="13.8">
      <c r="A13" s="89" t="s">
        <v>284</v>
      </c>
      <c r="B13" s="85"/>
      <c r="C13" s="219">
        <f>'Income Statement'!C15</f>
        <v>277604</v>
      </c>
      <c r="D13" s="219">
        <f>'Income Statement'!D15</f>
        <v>312930</v>
      </c>
      <c r="E13" s="219">
        <f>'Income Statement'!E15</f>
        <v>410358</v>
      </c>
      <c r="F13" s="219">
        <f>'Income Statement'!F15</f>
        <v>633697</v>
      </c>
      <c r="G13" s="219">
        <f>'Income Statement'!G15</f>
        <v>970169</v>
      </c>
      <c r="H13" s="219">
        <f>'Income Statement'!H15</f>
        <v>1355984</v>
      </c>
      <c r="I13" s="219">
        <f>'Income Statement'!I15</f>
        <v>1685412</v>
      </c>
      <c r="J13" s="219">
        <f>'Income Statement'!J15</f>
        <v>2056575.1565501003</v>
      </c>
      <c r="K13" s="219">
        <f>'Income Statement'!K15</f>
        <v>2194920.4494276233</v>
      </c>
      <c r="L13" s="219">
        <f>'Income Statement'!L15</f>
        <v>2376270.9682587683</v>
      </c>
      <c r="M13" s="219">
        <f>'Income Statement'!M15</f>
        <v>2551693.160182646</v>
      </c>
      <c r="N13" s="219">
        <f>'Income Statement'!N15</f>
        <v>2699442.9162307852</v>
      </c>
      <c r="O13" s="219">
        <f>'Income Statement'!O15</f>
        <v>2794999.9021364204</v>
      </c>
      <c r="P13" s="219">
        <f>'Income Statement'!P15</f>
        <v>2891145.6736448854</v>
      </c>
      <c r="Q13" s="219">
        <f>'Income Statement'!Q15</f>
        <v>2941950.7165428861</v>
      </c>
      <c r="R13" s="219">
        <f>'Income Statement'!R15</f>
        <v>2943600.0078655472</v>
      </c>
      <c r="S13" s="219">
        <f>'Income Statement'!S15</f>
        <v>3065762.5324729662</v>
      </c>
      <c r="T13" s="219">
        <f>'Income Statement'!T15</f>
        <v>3199146.9586596759</v>
      </c>
      <c r="U13" s="219">
        <f>'Income Statement'!U15</f>
        <v>3343510.6320860782</v>
      </c>
      <c r="V13" s="85"/>
      <c r="W13" s="85"/>
      <c r="X13" s="85"/>
      <c r="Y13" s="85"/>
      <c r="Z13" s="85"/>
    </row>
    <row r="14" spans="1:26" ht="13.8">
      <c r="A14" s="89" t="s">
        <v>285</v>
      </c>
      <c r="B14" s="85"/>
      <c r="C14" s="114">
        <f t="shared" ref="C14:U14" si="1">C12-C13</f>
        <v>121045</v>
      </c>
      <c r="D14" s="114">
        <f t="shared" si="1"/>
        <v>199833</v>
      </c>
      <c r="E14" s="114">
        <f t="shared" si="1"/>
        <v>332148</v>
      </c>
      <c r="F14" s="114">
        <f t="shared" si="1"/>
        <v>495224</v>
      </c>
      <c r="G14" s="114">
        <f t="shared" si="1"/>
        <v>808219</v>
      </c>
      <c r="H14" s="114">
        <f t="shared" si="1"/>
        <v>1408600</v>
      </c>
      <c r="I14" s="114">
        <f t="shared" si="1"/>
        <v>1441122</v>
      </c>
      <c r="J14" s="114">
        <f t="shared" si="1"/>
        <v>1821110.6983924673</v>
      </c>
      <c r="K14" s="114">
        <f t="shared" si="1"/>
        <v>2257805.4519841941</v>
      </c>
      <c r="L14" s="114">
        <f t="shared" si="1"/>
        <v>2748676.7350070942</v>
      </c>
      <c r="M14" s="114">
        <f t="shared" si="1"/>
        <v>3302805.760667345</v>
      </c>
      <c r="N14" s="114">
        <f t="shared" si="1"/>
        <v>3888775.3418253227</v>
      </c>
      <c r="O14" s="114">
        <f t="shared" si="1"/>
        <v>4467370.0212164726</v>
      </c>
      <c r="P14" s="114">
        <f t="shared" si="1"/>
        <v>4906133.1921647452</v>
      </c>
      <c r="Q14" s="114">
        <f t="shared" si="1"/>
        <v>5283774.8290928323</v>
      </c>
      <c r="R14" s="114">
        <f t="shared" si="1"/>
        <v>5681014.7522808714</v>
      </c>
      <c r="S14" s="114">
        <f t="shared" si="1"/>
        <v>5972258.9568345845</v>
      </c>
      <c r="T14" s="114">
        <f t="shared" si="1"/>
        <v>6278773.1321678972</v>
      </c>
      <c r="U14" s="114">
        <f t="shared" si="1"/>
        <v>6601301.0804091487</v>
      </c>
      <c r="V14" s="85"/>
      <c r="W14" s="85"/>
      <c r="X14" s="85"/>
      <c r="Y14" s="85"/>
      <c r="Z14" s="85"/>
    </row>
    <row r="15" spans="1:26" ht="13.8">
      <c r="A15" s="89" t="s">
        <v>286</v>
      </c>
      <c r="B15" s="85"/>
      <c r="C15" s="219">
        <f>'Income Statement'!C26</f>
        <v>164406</v>
      </c>
      <c r="D15" s="219">
        <f>'Income Statement'!D26</f>
        <v>219449</v>
      </c>
      <c r="E15" s="219">
        <f>'Income Statement'!E26</f>
        <v>345444</v>
      </c>
      <c r="F15" s="219">
        <f>'Income Statement'!F26</f>
        <v>560283</v>
      </c>
      <c r="G15" s="219">
        <f>'Income Statement'!G26</f>
        <v>828472</v>
      </c>
      <c r="H15" s="219">
        <f>'Income Statement'!H26</f>
        <v>1173500</v>
      </c>
      <c r="I15" s="219">
        <f>'Income Statement'!I26</f>
        <v>1972010</v>
      </c>
      <c r="J15" s="219">
        <f>'Income Statement'!J26</f>
        <v>2561175.6056537302</v>
      </c>
      <c r="K15" s="219">
        <f>'Income Statement'!K26</f>
        <v>3074566.0093835201</v>
      </c>
      <c r="L15" s="219">
        <f>'Income Statement'!L26</f>
        <v>2972469.6678942004</v>
      </c>
      <c r="M15" s="219">
        <f>'Income Statement'!M26</f>
        <v>3299010.1418989706</v>
      </c>
      <c r="N15" s="219">
        <f>'Income Statement'!N26</f>
        <v>3603755.3871566909</v>
      </c>
      <c r="O15" s="219">
        <f>'Income Statement'!O26</f>
        <v>3852687.2443387103</v>
      </c>
      <c r="P15" s="219">
        <f>'Income Statement'!P26</f>
        <v>4046787.7313551982</v>
      </c>
      <c r="Q15" s="219">
        <f>'Income Statement'!Q26</f>
        <v>4265038.6954121199</v>
      </c>
      <c r="R15" s="219">
        <f>'Income Statement'!R26</f>
        <v>4467550.4457558449</v>
      </c>
      <c r="S15" s="219">
        <f>'Income Statement'!S26</f>
        <v>4677176.1207166566</v>
      </c>
      <c r="T15" s="219">
        <f>'Income Statement'!T26</f>
        <v>4900084.6869578548</v>
      </c>
      <c r="U15" s="219">
        <f>'Income Statement'!U26</f>
        <v>5136495.2495037839</v>
      </c>
      <c r="V15" s="85"/>
      <c r="W15" s="85"/>
      <c r="X15" s="85"/>
      <c r="Y15" s="85"/>
      <c r="Z15" s="85"/>
    </row>
    <row r="16" spans="1:26" ht="13.8">
      <c r="A16" s="89" t="s">
        <v>287</v>
      </c>
      <c r="B16" s="85"/>
      <c r="C16" s="114">
        <f t="shared" ref="C16:U16" si="2">C14-C15</f>
        <v>-43361</v>
      </c>
      <c r="D16" s="114">
        <f t="shared" si="2"/>
        <v>-19616</v>
      </c>
      <c r="E16" s="114">
        <f t="shared" si="2"/>
        <v>-13296</v>
      </c>
      <c r="F16" s="114">
        <f t="shared" si="2"/>
        <v>-65059</v>
      </c>
      <c r="G16" s="114">
        <f t="shared" si="2"/>
        <v>-20253</v>
      </c>
      <c r="H16" s="114">
        <f t="shared" si="2"/>
        <v>235100</v>
      </c>
      <c r="I16" s="114">
        <f t="shared" si="2"/>
        <v>-530888</v>
      </c>
      <c r="J16" s="114">
        <f t="shared" si="2"/>
        <v>-740064.90726126288</v>
      </c>
      <c r="K16" s="114">
        <f t="shared" si="2"/>
        <v>-816760.557399326</v>
      </c>
      <c r="L16" s="114">
        <f t="shared" si="2"/>
        <v>-223792.9328871062</v>
      </c>
      <c r="M16" s="114">
        <f t="shared" si="2"/>
        <v>3795.6187683744356</v>
      </c>
      <c r="N16" s="114">
        <f t="shared" si="2"/>
        <v>285019.95466863178</v>
      </c>
      <c r="O16" s="114">
        <f t="shared" si="2"/>
        <v>614682.77687776228</v>
      </c>
      <c r="P16" s="114">
        <f t="shared" si="2"/>
        <v>859345.46080954699</v>
      </c>
      <c r="Q16" s="114">
        <f t="shared" si="2"/>
        <v>1018736.1336807124</v>
      </c>
      <c r="R16" s="114">
        <f t="shared" si="2"/>
        <v>1213464.3065250264</v>
      </c>
      <c r="S16" s="114">
        <f t="shared" si="2"/>
        <v>1295082.8361179279</v>
      </c>
      <c r="T16" s="114">
        <f t="shared" si="2"/>
        <v>1378688.4452100424</v>
      </c>
      <c r="U16" s="114">
        <f t="shared" si="2"/>
        <v>1464805.8309053648</v>
      </c>
      <c r="V16" s="85"/>
      <c r="W16" s="85"/>
      <c r="X16" s="85"/>
      <c r="Y16" s="85"/>
      <c r="Z16" s="85"/>
    </row>
    <row r="17" spans="1:26" ht="13.8">
      <c r="A17" s="89" t="s">
        <v>288</v>
      </c>
      <c r="B17" s="85"/>
      <c r="C17" s="117">
        <f t="shared" ref="C17:L17" si="3">C16*0</f>
        <v>0</v>
      </c>
      <c r="D17" s="117">
        <f t="shared" si="3"/>
        <v>0</v>
      </c>
      <c r="E17" s="117">
        <f t="shared" si="3"/>
        <v>0</v>
      </c>
      <c r="F17" s="117">
        <f t="shared" si="3"/>
        <v>0</v>
      </c>
      <c r="G17" s="117">
        <f t="shared" si="3"/>
        <v>0</v>
      </c>
      <c r="H17" s="117">
        <f t="shared" si="3"/>
        <v>0</v>
      </c>
      <c r="I17" s="117">
        <f t="shared" si="3"/>
        <v>0</v>
      </c>
      <c r="J17" s="117">
        <f t="shared" si="3"/>
        <v>0</v>
      </c>
      <c r="K17" s="117">
        <f t="shared" si="3"/>
        <v>0</v>
      </c>
      <c r="L17" s="117">
        <f t="shared" si="3"/>
        <v>0</v>
      </c>
      <c r="M17" s="220">
        <f t="shared" ref="M17:U17" si="4">M16*0.21</f>
        <v>797.07994135863146</v>
      </c>
      <c r="N17" s="220">
        <f t="shared" si="4"/>
        <v>59854.190480412668</v>
      </c>
      <c r="O17" s="220">
        <f t="shared" si="4"/>
        <v>129083.38314433007</v>
      </c>
      <c r="P17" s="220">
        <f t="shared" si="4"/>
        <v>180462.54677000485</v>
      </c>
      <c r="Q17" s="220">
        <f t="shared" si="4"/>
        <v>213934.58807294961</v>
      </c>
      <c r="R17" s="220">
        <f t="shared" si="4"/>
        <v>254827.50437025554</v>
      </c>
      <c r="S17" s="220">
        <f t="shared" si="4"/>
        <v>271967.39558476483</v>
      </c>
      <c r="T17" s="220">
        <f t="shared" si="4"/>
        <v>289524.57349410892</v>
      </c>
      <c r="U17" s="220">
        <f t="shared" si="4"/>
        <v>307609.22449012659</v>
      </c>
      <c r="V17" s="85"/>
      <c r="W17" s="85"/>
      <c r="X17" s="85"/>
      <c r="Y17" s="85"/>
      <c r="Z17" s="85"/>
    </row>
    <row r="18" spans="1:26" ht="13.8">
      <c r="A18" s="89" t="s">
        <v>289</v>
      </c>
      <c r="B18" s="85"/>
      <c r="C18" s="216">
        <f t="shared" ref="C18:U18" si="5">C16-C17</f>
        <v>-43361</v>
      </c>
      <c r="D18" s="216">
        <f t="shared" si="5"/>
        <v>-19616</v>
      </c>
      <c r="E18" s="216">
        <f t="shared" si="5"/>
        <v>-13296</v>
      </c>
      <c r="F18" s="216">
        <f t="shared" si="5"/>
        <v>-65059</v>
      </c>
      <c r="G18" s="216">
        <f t="shared" si="5"/>
        <v>-20253</v>
      </c>
      <c r="H18" s="216">
        <f t="shared" si="5"/>
        <v>235100</v>
      </c>
      <c r="I18" s="216">
        <f t="shared" si="5"/>
        <v>-530888</v>
      </c>
      <c r="J18" s="216">
        <f t="shared" si="5"/>
        <v>-740064.90726126288</v>
      </c>
      <c r="K18" s="216">
        <f t="shared" si="5"/>
        <v>-816760.557399326</v>
      </c>
      <c r="L18" s="216">
        <f t="shared" si="5"/>
        <v>-223792.9328871062</v>
      </c>
      <c r="M18" s="216">
        <f t="shared" si="5"/>
        <v>2998.5388270158041</v>
      </c>
      <c r="N18" s="216">
        <f t="shared" si="5"/>
        <v>225165.76418821909</v>
      </c>
      <c r="O18" s="216">
        <f t="shared" si="5"/>
        <v>485599.39373343223</v>
      </c>
      <c r="P18" s="216">
        <f t="shared" si="5"/>
        <v>678882.9140395422</v>
      </c>
      <c r="Q18" s="216">
        <f t="shared" si="5"/>
        <v>804801.54560776288</v>
      </c>
      <c r="R18" s="216">
        <f t="shared" si="5"/>
        <v>958636.80215477094</v>
      </c>
      <c r="S18" s="216">
        <f t="shared" si="5"/>
        <v>1023115.440533163</v>
      </c>
      <c r="T18" s="216">
        <f t="shared" si="5"/>
        <v>1089163.8717159336</v>
      </c>
      <c r="U18" s="216">
        <f t="shared" si="5"/>
        <v>1157196.6064152382</v>
      </c>
      <c r="V18" s="85"/>
      <c r="W18" s="85"/>
      <c r="X18" s="85"/>
      <c r="Y18" s="85"/>
      <c r="Z18" s="85"/>
    </row>
    <row r="19" spans="1:26" ht="13.8">
      <c r="A19" s="85"/>
      <c r="B19" s="85"/>
      <c r="C19" s="85"/>
      <c r="D19" s="85"/>
      <c r="E19" s="85"/>
      <c r="F19" s="85"/>
      <c r="G19" s="85"/>
      <c r="H19" s="85"/>
      <c r="I19" s="85"/>
      <c r="J19" s="85"/>
      <c r="K19" s="85"/>
      <c r="L19" s="85"/>
      <c r="M19" s="85"/>
      <c r="N19" s="85"/>
      <c r="O19" s="85"/>
      <c r="P19" s="85"/>
      <c r="Q19" s="85"/>
      <c r="R19" s="85"/>
      <c r="S19" s="85"/>
      <c r="T19" s="85"/>
      <c r="U19" s="85"/>
      <c r="V19" s="85"/>
      <c r="W19" s="85"/>
      <c r="X19" s="85"/>
      <c r="Y19" s="85"/>
      <c r="Z19" s="85"/>
    </row>
    <row r="20" spans="1:26" ht="13.8">
      <c r="A20" s="89" t="s">
        <v>290</v>
      </c>
      <c r="B20" s="85"/>
      <c r="C20" s="85"/>
      <c r="D20" s="114">
        <f t="shared" ref="D20:U20" si="6">D9-C9</f>
        <v>-24765</v>
      </c>
      <c r="E20" s="114">
        <f t="shared" si="6"/>
        <v>71912</v>
      </c>
      <c r="F20" s="114">
        <f t="shared" si="6"/>
        <v>235614</v>
      </c>
      <c r="G20" s="114">
        <f t="shared" si="6"/>
        <v>47387</v>
      </c>
      <c r="H20" s="114">
        <f t="shared" si="6"/>
        <v>380489</v>
      </c>
      <c r="I20" s="114">
        <f t="shared" si="6"/>
        <v>54154</v>
      </c>
      <c r="J20" s="114">
        <f t="shared" si="6"/>
        <v>74776.698870847467</v>
      </c>
      <c r="K20" s="114">
        <f t="shared" si="6"/>
        <v>47874.814446967095</v>
      </c>
      <c r="L20" s="114">
        <f t="shared" si="6"/>
        <v>61706.618804612663</v>
      </c>
      <c r="M20" s="114">
        <f t="shared" si="6"/>
        <v>168873.12015155237</v>
      </c>
      <c r="N20" s="114">
        <f t="shared" si="6"/>
        <v>171040.14238333656</v>
      </c>
      <c r="O20" s="114">
        <f t="shared" si="6"/>
        <v>208164.75048748543</v>
      </c>
      <c r="P20" s="114">
        <f t="shared" si="6"/>
        <v>202177.75746603915</v>
      </c>
      <c r="Q20" s="114">
        <f t="shared" si="6"/>
        <v>207459.74291375512</v>
      </c>
      <c r="R20" s="114">
        <f t="shared" si="6"/>
        <v>217141.10253788531</v>
      </c>
      <c r="S20" s="114">
        <f t="shared" si="6"/>
        <v>227244.83657496329</v>
      </c>
      <c r="T20" s="114">
        <f t="shared" si="6"/>
        <v>242872.61090569478</v>
      </c>
      <c r="U20" s="114">
        <f t="shared" si="6"/>
        <v>258745.25567573775</v>
      </c>
      <c r="V20" s="85"/>
      <c r="W20" s="85"/>
      <c r="X20" s="85"/>
      <c r="Y20" s="85"/>
      <c r="Z20" s="85"/>
    </row>
    <row r="21" spans="1:26" ht="13.8">
      <c r="A21" s="89" t="s">
        <v>291</v>
      </c>
      <c r="B21" s="85"/>
      <c r="C21" s="85"/>
      <c r="D21" s="140">
        <f t="shared" ref="D21:U21" si="7">D18/AVERAGE(C9,D9)</f>
        <v>1.5582476069428446</v>
      </c>
      <c r="E21" s="140">
        <f t="shared" si="7"/>
        <v>-1.2103777878925808</v>
      </c>
      <c r="F21" s="140">
        <f t="shared" si="7"/>
        <v>-0.39490008983417096</v>
      </c>
      <c r="G21" s="140">
        <f t="shared" si="7"/>
        <v>-6.6132568812581935E-2</v>
      </c>
      <c r="H21" s="140">
        <f t="shared" si="7"/>
        <v>0.45195328982970528</v>
      </c>
      <c r="I21" s="140">
        <f t="shared" si="7"/>
        <v>-0.71984032715577317</v>
      </c>
      <c r="J21" s="140">
        <f t="shared" si="7"/>
        <v>-0.92280486350607116</v>
      </c>
      <c r="K21" s="140">
        <f t="shared" si="7"/>
        <v>-0.94609220794221482</v>
      </c>
      <c r="L21" s="140">
        <f t="shared" si="7"/>
        <v>-0.2437593003961763</v>
      </c>
      <c r="M21" s="140">
        <f t="shared" si="7"/>
        <v>2.9016815887269063E-3</v>
      </c>
      <c r="N21" s="140">
        <f t="shared" si="7"/>
        <v>0.1871178986268231</v>
      </c>
      <c r="O21" s="140">
        <f t="shared" si="7"/>
        <v>0.34861503192127002</v>
      </c>
      <c r="P21" s="140">
        <f t="shared" si="7"/>
        <v>0.42480361420437734</v>
      </c>
      <c r="Q21" s="140">
        <f t="shared" si="7"/>
        <v>0.44638565715049949</v>
      </c>
      <c r="R21" s="140">
        <f t="shared" si="7"/>
        <v>0.47569616581581509</v>
      </c>
      <c r="S21" s="140">
        <f t="shared" si="7"/>
        <v>0.45727420418035408</v>
      </c>
      <c r="T21" s="140">
        <f t="shared" si="7"/>
        <v>0.44051457630322016</v>
      </c>
      <c r="U21" s="140">
        <f t="shared" si="7"/>
        <v>0.42492598344841609</v>
      </c>
      <c r="V21" s="85"/>
      <c r="W21" s="85"/>
      <c r="X21" s="85"/>
      <c r="Y21" s="85"/>
      <c r="Z21" s="85"/>
    </row>
    <row r="22" spans="1:26" ht="13.8">
      <c r="A22" s="89" t="s">
        <v>292</v>
      </c>
      <c r="B22" s="85"/>
      <c r="C22" s="85"/>
      <c r="D22" s="85"/>
      <c r="E22" s="140">
        <f t="shared" ref="E22:U22" si="8">(E18-D18)/(E20)</f>
        <v>8.7885193013683388E-2</v>
      </c>
      <c r="F22" s="140">
        <f t="shared" si="8"/>
        <v>-0.21969407590380877</v>
      </c>
      <c r="G22" s="140">
        <f t="shared" si="8"/>
        <v>0.94553358516048702</v>
      </c>
      <c r="H22" s="140">
        <f t="shared" si="8"/>
        <v>0.67111795610385583</v>
      </c>
      <c r="I22" s="140">
        <f t="shared" si="8"/>
        <v>-14.14462458913469</v>
      </c>
      <c r="J22" s="140">
        <f t="shared" si="8"/>
        <v>-2.7973541279556651</v>
      </c>
      <c r="K22" s="140">
        <f t="shared" si="8"/>
        <v>-1.6020041231287081</v>
      </c>
      <c r="L22" s="140">
        <f t="shared" si="8"/>
        <v>9.6094654997997484</v>
      </c>
      <c r="M22" s="140">
        <f t="shared" si="8"/>
        <v>1.3429696301613412</v>
      </c>
      <c r="N22" s="140">
        <f t="shared" si="8"/>
        <v>1.2989186179656018</v>
      </c>
      <c r="O22" s="140">
        <f t="shared" si="8"/>
        <v>1.2510938039957444</v>
      </c>
      <c r="P22" s="140">
        <f t="shared" si="8"/>
        <v>0.9560078355235333</v>
      </c>
      <c r="Q22" s="140">
        <f t="shared" si="8"/>
        <v>0.60695453392404619</v>
      </c>
      <c r="R22" s="140">
        <f t="shared" si="8"/>
        <v>0.708457563994214</v>
      </c>
      <c r="S22" s="140">
        <f t="shared" si="8"/>
        <v>0.28374082927566074</v>
      </c>
      <c r="T22" s="140">
        <f t="shared" si="8"/>
        <v>0.27194680757319534</v>
      </c>
      <c r="U22" s="140">
        <f t="shared" si="8"/>
        <v>0.26293326430906239</v>
      </c>
      <c r="V22" s="85"/>
      <c r="W22" s="85"/>
      <c r="X22" s="85"/>
      <c r="Y22" s="85"/>
      <c r="Z22" s="85"/>
    </row>
    <row r="23" spans="1:26" ht="13.8">
      <c r="A23" s="89" t="s">
        <v>293</v>
      </c>
      <c r="B23" s="85"/>
      <c r="C23" s="85"/>
      <c r="D23" s="110">
        <f t="shared" ref="D23:U23" si="9">D12/C12-1</f>
        <v>0.28625181550687451</v>
      </c>
      <c r="E23" s="110">
        <f t="shared" si="9"/>
        <v>0.44804909870641985</v>
      </c>
      <c r="F23" s="110">
        <f t="shared" si="9"/>
        <v>0.52042003700980199</v>
      </c>
      <c r="G23" s="110">
        <f t="shared" si="9"/>
        <v>0.57529889159648895</v>
      </c>
      <c r="H23" s="110">
        <f t="shared" si="9"/>
        <v>0.55454490246222976</v>
      </c>
      <c r="I23" s="110">
        <f t="shared" si="9"/>
        <v>0.13092385689854247</v>
      </c>
      <c r="J23" s="110">
        <f t="shared" si="9"/>
        <v>0.24025065933796586</v>
      </c>
      <c r="K23" s="110">
        <f t="shared" si="9"/>
        <v>0.14829464479085974</v>
      </c>
      <c r="L23" s="110">
        <f t="shared" si="9"/>
        <v>0.15096860142253643</v>
      </c>
      <c r="M23" s="110">
        <f t="shared" si="9"/>
        <v>0.14235290969295611</v>
      </c>
      <c r="N23" s="110">
        <f t="shared" si="9"/>
        <v>0.12532572763709582</v>
      </c>
      <c r="O23" s="110">
        <f t="shared" si="9"/>
        <v>0.10232685665391084</v>
      </c>
      <c r="P23" s="110">
        <f t="shared" si="9"/>
        <v>7.3654874111642732E-2</v>
      </c>
      <c r="Q23" s="110">
        <f t="shared" si="9"/>
        <v>5.4948230940512932E-2</v>
      </c>
      <c r="R23" s="110">
        <f t="shared" si="9"/>
        <v>4.8492891271133765E-2</v>
      </c>
      <c r="S23" s="110">
        <f t="shared" si="9"/>
        <v>4.7933355942047173E-2</v>
      </c>
      <c r="T23" s="110">
        <f t="shared" si="9"/>
        <v>4.8672002167780226E-2</v>
      </c>
      <c r="U23" s="110">
        <f t="shared" si="9"/>
        <v>4.9260978906067843E-2</v>
      </c>
      <c r="V23" s="85"/>
      <c r="W23" s="85"/>
      <c r="X23" s="85"/>
      <c r="Y23" s="85"/>
      <c r="Z23" s="85"/>
    </row>
    <row r="24" spans="1:26" ht="13.8">
      <c r="A24" s="89" t="s">
        <v>294</v>
      </c>
      <c r="B24" s="85"/>
      <c r="C24" s="85"/>
      <c r="D24" s="110">
        <f t="shared" ref="D24:U24" si="10">D18/C18-1</f>
        <v>-0.54761190931943449</v>
      </c>
      <c r="E24" s="110">
        <f t="shared" si="10"/>
        <v>-0.32218597063621535</v>
      </c>
      <c r="F24" s="110">
        <f t="shared" si="10"/>
        <v>3.8931257521058962</v>
      </c>
      <c r="G24" s="110">
        <f t="shared" si="10"/>
        <v>-0.68869795109054865</v>
      </c>
      <c r="H24" s="110">
        <f t="shared" si="10"/>
        <v>-12.608156816274132</v>
      </c>
      <c r="I24" s="110">
        <f t="shared" si="10"/>
        <v>-3.2581369629944703</v>
      </c>
      <c r="J24" s="110">
        <f t="shared" si="10"/>
        <v>0.39401325187471348</v>
      </c>
      <c r="K24" s="110">
        <f t="shared" si="10"/>
        <v>0.10363368048606514</v>
      </c>
      <c r="L24" s="110">
        <f t="shared" si="10"/>
        <v>-0.72599933865600397</v>
      </c>
      <c r="M24" s="110">
        <f t="shared" si="10"/>
        <v>-1.0133987199163632</v>
      </c>
      <c r="N24" s="110">
        <f t="shared" si="10"/>
        <v>74.091828779922054</v>
      </c>
      <c r="O24" s="110">
        <f t="shared" si="10"/>
        <v>1.1566306737800209</v>
      </c>
      <c r="P24" s="110">
        <f t="shared" si="10"/>
        <v>0.39803081058254408</v>
      </c>
      <c r="Q24" s="110">
        <f t="shared" si="10"/>
        <v>0.18547915842949969</v>
      </c>
      <c r="R24" s="110">
        <f t="shared" si="10"/>
        <v>0.19114682046346743</v>
      </c>
      <c r="S24" s="110">
        <f t="shared" si="10"/>
        <v>6.7260758436834989E-2</v>
      </c>
      <c r="T24" s="110">
        <f t="shared" si="10"/>
        <v>6.4556186492847223E-2</v>
      </c>
      <c r="U24" s="110">
        <f t="shared" si="10"/>
        <v>6.2463267893858587E-2</v>
      </c>
      <c r="V24" s="85"/>
      <c r="W24" s="85"/>
      <c r="X24" s="85"/>
      <c r="Y24" s="85"/>
      <c r="Z24" s="85"/>
    </row>
    <row r="25" spans="1:26" ht="13.8">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3.8">
      <c r="A26" s="85"/>
      <c r="B26" s="85"/>
      <c r="C26" s="85"/>
      <c r="D26" s="85"/>
      <c r="E26" s="85"/>
      <c r="F26" s="85"/>
      <c r="G26" s="85"/>
      <c r="H26" s="85"/>
      <c r="I26" s="85"/>
      <c r="J26" s="85"/>
      <c r="K26" s="85"/>
      <c r="L26" s="85"/>
      <c r="M26" s="85"/>
      <c r="N26" s="85"/>
      <c r="O26" s="85"/>
      <c r="P26" s="85"/>
      <c r="Q26" s="85"/>
      <c r="R26" s="85"/>
      <c r="S26" s="85"/>
      <c r="T26" s="85"/>
      <c r="U26" s="85"/>
      <c r="V26" s="85"/>
      <c r="W26" s="85"/>
      <c r="X26" s="85"/>
      <c r="Y26" s="85"/>
      <c r="Z26" s="85"/>
    </row>
    <row r="27" spans="1:26" ht="13.8">
      <c r="A27" s="85"/>
      <c r="B27" s="85"/>
      <c r="C27" s="85"/>
      <c r="D27" s="85"/>
      <c r="E27" s="85"/>
      <c r="F27" s="85"/>
      <c r="G27" s="85"/>
      <c r="H27" s="85"/>
      <c r="I27" s="85"/>
      <c r="J27" s="85"/>
      <c r="K27" s="85"/>
      <c r="L27" s="85"/>
      <c r="M27" s="85"/>
      <c r="N27" s="85"/>
      <c r="O27" s="85"/>
      <c r="P27" s="85"/>
      <c r="Q27" s="85"/>
      <c r="R27" s="85"/>
      <c r="S27" s="85"/>
      <c r="T27" s="85"/>
      <c r="U27" s="85"/>
      <c r="V27" s="85"/>
      <c r="W27" s="85"/>
      <c r="X27" s="85"/>
      <c r="Y27" s="85"/>
      <c r="Z27" s="85"/>
    </row>
    <row r="28" spans="1:26" ht="13.8">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row>
    <row r="29" spans="1:26" ht="13.8">
      <c r="A29" s="85"/>
      <c r="B29" s="85"/>
      <c r="C29" s="85"/>
      <c r="D29" s="85"/>
      <c r="E29" s="85"/>
      <c r="F29" s="85"/>
      <c r="G29" s="85"/>
      <c r="H29" s="85"/>
      <c r="I29" s="85"/>
      <c r="J29" s="85"/>
      <c r="K29" s="85"/>
      <c r="L29" s="85"/>
      <c r="M29" s="85"/>
      <c r="N29" s="85"/>
      <c r="O29" s="85"/>
      <c r="P29" s="85"/>
      <c r="Q29" s="85"/>
      <c r="R29" s="85"/>
      <c r="S29" s="85"/>
      <c r="T29" s="85"/>
      <c r="U29" s="85"/>
      <c r="V29" s="85"/>
      <c r="W29" s="85"/>
      <c r="X29" s="85"/>
      <c r="Y29" s="85"/>
      <c r="Z29" s="85"/>
    </row>
    <row r="30" spans="1:26" ht="13.8">
      <c r="A30" s="85"/>
      <c r="B30" s="85"/>
      <c r="C30" s="85"/>
      <c r="D30" s="85"/>
      <c r="E30" s="85"/>
      <c r="F30" s="85"/>
      <c r="G30" s="85"/>
      <c r="H30" s="85"/>
      <c r="I30" s="85"/>
      <c r="J30" s="85"/>
      <c r="K30" s="85"/>
      <c r="L30" s="85"/>
      <c r="M30" s="85"/>
      <c r="N30" s="85"/>
      <c r="O30" s="85"/>
      <c r="P30" s="85"/>
      <c r="Q30" s="85"/>
      <c r="R30" s="85"/>
      <c r="S30" s="85"/>
      <c r="T30" s="85"/>
      <c r="U30" s="85"/>
      <c r="V30" s="85"/>
      <c r="W30" s="85"/>
      <c r="X30" s="85"/>
      <c r="Y30" s="85"/>
      <c r="Z30" s="85"/>
    </row>
    <row r="31" spans="1:26" ht="13.8">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3.8">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3.8">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row>
    <row r="34" spans="1:26" ht="13.8">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row>
    <row r="35" spans="1:26" ht="13.8">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row>
    <row r="36" spans="1:26" ht="13.8">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row>
    <row r="37" spans="1:26" ht="13.8">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3.8">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3.8">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row>
    <row r="40" spans="1:26" ht="13.8">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row>
    <row r="41" spans="1:26" ht="13.8">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row>
    <row r="42" spans="1:26" ht="13.8">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row>
    <row r="43" spans="1:26" ht="13.8">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row>
    <row r="44" spans="1:26" ht="13.8">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row>
    <row r="45" spans="1:26" ht="13.8">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spans="1:26" ht="13.8">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spans="1:26" ht="13.8">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3.8">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3.8">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3.8">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3.8">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3.8">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3.8">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3.8">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3.8">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3.8">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3.8">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3.8">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3.8">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3.8">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3.8">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3.8">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3.8">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3.8">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3.8">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3.8">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3.8">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3.8">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3.8">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3.8">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3.8">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3.8">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3.8">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3.8">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3.8">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3.8">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3.8">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3.8">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3.8">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3.8">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3.8">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3.8">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3.8">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3.8">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3.8">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3.8">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3.8">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3.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3.8">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3.8">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3.8">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3.8">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3.8">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3.8">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3.8">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3.8">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3.8">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3.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3.8">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3.8">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3.8">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3.8">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3.8">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3.8">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3.8">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3.8">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3.8">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3.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3.8">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3.8">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3.8">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3.8">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3.8">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3.8">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3.8">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3.8">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3.8">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3.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3.8">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3.8">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3.8">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3.8">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3.8">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3.8">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3.8">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3.8">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3.8">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3.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3.8">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3.8">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3.8">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3.8">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3.8">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3.8">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3.8">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3.8">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3.8">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3.8">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3.8">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3.8">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3.8">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3.8">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3.8">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3.8">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3.8">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3.8">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3.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3.8">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3.8">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3.8">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3.8">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3.8">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3.8">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3.8">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3.8">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3.8">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3.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3.8">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3.8">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3.8">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3.8">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3.8">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3.8">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3.8">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3.8">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3.8">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3.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3.8">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3.8">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3.8">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3.8">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3.8">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3.8">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3.8">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3.8">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3.8">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3.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3.8">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3.8">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3.8">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3.8">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3.8">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3.8">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3.8">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3.8">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3.8">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3.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3.8">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3.8">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3.8">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3.8">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3.8">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3.8">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3.8">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3.8">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3.8">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3.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3.8">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3.8">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3.8">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3.8">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3.8">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3.8">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3.8">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3.8">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3.8">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3.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3.8">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3.8">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3.8">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3.8">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3.8">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3.8">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3.8">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3.8">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3.8">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3.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3.8">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3.8">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3.8">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3.8">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3.8">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3.8">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3.8">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3.8">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3.8">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3.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3.8">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3.8">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3.8">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3.8">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3.8">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3.8">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3.8">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3.8">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3.8">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3.8">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3.8">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3.8">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3.8">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3.8">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3.8">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3.8">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3.8">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3.8">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3.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3.8">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3.8">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3.8">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3.8">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3.8">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3.8">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3.8">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3.8">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3.8">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3.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3.8">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3.8">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3.8">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3.8">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3.8">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3.8">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3.8">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3.8">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3.8">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3.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3.8">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3.8">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3.8">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3.8">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3.8">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3.8">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3.8">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3.8">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3.8">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3.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3.8">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3.8">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3.8">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3.8">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3.8">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3.8">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3.8">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3.8">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3.8">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3.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3.8">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3.8">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3.8">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3.8">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3.8">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3.8">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3.8">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3.8">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3.8">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3.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3.8">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3.8">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3.8">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3.8">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3.8">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3.8">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3.8">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3.8">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3.8">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3.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3.8">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3.8">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3.8">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3.8">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3.8">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3.8">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3.8">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3.8">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3.8">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3.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3.8">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3.8">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3.8">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3.8">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3.8">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3.8">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3.8">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3.8">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3.8">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3.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3.8">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3.8">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3.8">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3.8">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3.8">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3.8">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3.8">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3.8">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3.8">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3.8">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3.8">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3.8">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3.8">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3.8">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3.8">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3.8">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3.8">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3.8">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3.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3.8">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3.8">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3.8">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3.8">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3.8">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3.8">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3.8">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3.8">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3.8">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3.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3.8">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3.8">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3.8">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3.8">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3.8">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3.8">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3.8">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3.8">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3.8">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3.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3.8">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3.8">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3.8">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3.8">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3.8">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3.8">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3.8">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3.8">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3.8">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3.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3.8">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3.8">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3.8">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3.8">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3.8">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3.8">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3.8">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3.8">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3.8">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3.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3.8">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3.8">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3.8">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3.8">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3.8">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3.8">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3.8">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3.8">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3.8">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3.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3.8">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3.8">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3.8">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3.8">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3.8">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3.8">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3.8">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3.8">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3.8">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3.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3.8">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3.8">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3.8">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3.8">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3.8">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3.8">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3.8">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3.8">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3.8">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3.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3.8">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3.8">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3.8">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3.8">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3.8">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3.8">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3.8">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3.8">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3.8">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3.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3.8">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3.8">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3.8">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3.8">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3.8">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3.8">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3.8">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3.8">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3.8">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3.8">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3.8">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3.8">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3.8">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3.8">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3.8">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3.8">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3.8">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3.8">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3.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3.8">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3.8">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3.8">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3.8">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3.8">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3.8">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3.8">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3.8">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3.8">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3.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3.8">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3.8">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3.8">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3.8">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3.8">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3.8">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3.8">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3.8">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3.8">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3.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3.8">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3.8">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3.8">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3.8">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3.8">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3.8">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3.8">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3.8">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3.8">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3.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3.8">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3.8">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3.8">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3.8">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3.8">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3.8">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3.8">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3.8">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3.8">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3.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3.8">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3.8">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3.8">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3.8">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3.8">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3.8">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3.8">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3.8">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3.8">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3.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3.8">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3.8">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3.8">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3.8">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3.8">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3.8">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3.8">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3.8">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3.8">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3.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3.8">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3.8">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3.8">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3.8">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3.8">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3.8">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3.8">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3.8">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3.8">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3.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3.8">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3.8">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3.8">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3.8">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3.8">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3.8">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3.8">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3.8">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3.8">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3.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3.8">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3.8">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3.8">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3.8">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3.8">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3.8">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3.8">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3.8">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3.8">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3.8">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3.8">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3.8">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3.8">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3.8">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3.8">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3.8">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3.8">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3.8">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3.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3.8">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3.8">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3.8">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3.8">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3.8">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3.8">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3.8">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3.8">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3.8">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3.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3.8">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3.8">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3.8">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3.8">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3.8">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3.8">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3.8">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3.8">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3.8">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3.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3.8">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3.8">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3.8">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3.8">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3.8">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3.8">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3.8">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3.8">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3.8">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3.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3.8">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3.8">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3.8">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3.8">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3.8">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3.8">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3.8">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3.8">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3.8">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3.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3.8">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3.8">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3.8">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3.8">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3.8">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3.8">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3.8">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3.8">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3.8">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3.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3.8">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3.8">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3.8">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3.8">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3.8">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3.8">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3.8">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3.8">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3.8">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3.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3.8">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3.8">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3.8">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3.8">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3.8">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3.8">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3.8">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3.8">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3.8">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3.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3.8">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3.8">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3.8">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3.8">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3.8">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3.8">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3.8">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3.8">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3.8">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3.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3.8">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3.8">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3.8">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3.8">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3.8">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3.8">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3.8">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3.8">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3.8">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3.8">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3.8">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3.8">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3.8">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3.8">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3.8">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3.8">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3.8">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3.8">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3.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3.8">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3.8">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3.8">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3.8">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3.8">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3.8">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3.8">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3.8">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3.8">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3.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3.8">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3.8">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3.8">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3.8">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3.8">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3.8">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3.8">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3.8">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3.8">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3.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3.8">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3.8">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3.8">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3.8">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3.8">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3.8">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3.8">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3.8">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3.8">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3.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3.8">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3.8">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3.8">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3.8">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3.8">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3.8">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3.8">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3.8">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3.8">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3.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3.8">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3.8">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3.8">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3.8">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3.8">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3.8">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3.8">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3.8">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3.8">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3.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3.8">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3.8">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3.8">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3.8">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3.8">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3.8">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3.8">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3.8">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3.8">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3.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3.8">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3.8">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3.8">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3.8">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3.8">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3.8">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3.8">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3.8">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3.8">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3.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3.8">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3.8">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3.8">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3.8">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3.8">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3.8">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3.8">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3.8">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3.8">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3.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3.8">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3.8">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3.8">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3.8">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3.8">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3.8">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3.8">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3.8">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3.8">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3.8">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3.8">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3.8">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3.8">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3.8">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3.8">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3.8">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3.8">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3.8">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3.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3.8">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3.8">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3.8">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3.8">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3.8">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3.8">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3.8">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3.8">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3.8">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3.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3.8">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3.8">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3.8">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3.8">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3.8">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3.8">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3.8">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3.8">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3.8">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3.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3.8">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3.8">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3.8">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3.8">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3.8">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3.8">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3.8">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3.8">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3.8">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3.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3.8">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3.8">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3.8">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3.8">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3.8">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3.8">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3.8">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3.8">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3.8">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3.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3.8">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3.8">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3.8">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3.8">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3.8">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3.8">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3.8">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3.8">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3.8">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3.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3.8">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3.8">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3.8">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3.8">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3.8">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3.8">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3.8">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3.8">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3.8">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3.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3.8">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3.8">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3.8">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3.8">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3.8">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3.8">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3.8">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3.8">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3.8">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3.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3.8">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3.8">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3.8">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3.8">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3.8">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3.8">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3.8">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3.8">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3.8">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3.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3.8">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3.8">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3.8">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3.8">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3.8">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3.8">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3.8">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3.8">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3.8">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3.8">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3.8">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3.8">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3.8">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3.8">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3.8">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3.8">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3.8">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3.8">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3.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3.8">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3.8">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3.8">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3.8">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3.8">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3.8">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3.8">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3.8">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3.8">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3.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3.8">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3.8">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3.8">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3.8">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3.8">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3.8">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3.8">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3.8">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3.8">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3.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3.8">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3.8">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3.8">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3.8">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3.8">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3.8">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3.8">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3.8">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3.8">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3.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3.8">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3.8">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3.8">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3.8">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3.8">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3.8">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3.8">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3.8">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3.8">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3.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3.8">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3.8">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3.8">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3.8">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3.8">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3.8">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3.8">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3.8">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3.8">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3.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3.8">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3.8">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3.8">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3.8">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3.8">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3.8">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3.8">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3.8">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3.8">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3.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3.8">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3.8">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3.8">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3.8">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3.8">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3.8">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3.8">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3.8">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3.8">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3.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3.8">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3.8">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3.8">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3.8">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3.8">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3.8">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3.8">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3.8">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3.8">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3.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3.8">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3.8">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3.8">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3.8">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3.8">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3.8">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3.8">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3.8">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3.8">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3.8">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3.8">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3.8">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3.8">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3.8">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3.8">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3.8">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3.8">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3.8">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3.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3.8">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3.8">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3.8">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3.8">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3.8">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3.8">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3.8">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3.8">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3.8">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3.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3.8">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3.8">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3.8">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3.8">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3.8">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3.8">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3.8">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3.8">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3.8">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3.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3.8">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3.8">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3.8">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3.8">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3.8">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3.8">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3.8">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3.8">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3.8">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3.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3.8">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3.8">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3.8">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3.8">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3.8">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3.8">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3.8">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3.8">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3.8">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3.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3.8">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3.8">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3.8">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3.8">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3.8">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3.8">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3.8">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3.8">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3.8">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ht="13.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ht="13.8">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ht="13.8">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2"/>
  <sheetViews>
    <sheetView topLeftCell="A31" zoomScale="80" zoomScaleNormal="80" workbookViewId="0">
      <selection activeCell="A40" sqref="A40:I64"/>
    </sheetView>
  </sheetViews>
  <sheetFormatPr defaultColWidth="12.6640625" defaultRowHeight="15.75" customHeight="1"/>
  <cols>
    <col min="1" max="1" width="53.44140625" style="86" bestFit="1" customWidth="1"/>
    <col min="2" max="7" width="12.6640625" style="86" hidden="1"/>
    <col min="8" max="16384" width="12.6640625" style="86"/>
  </cols>
  <sheetData>
    <row r="1" spans="1:25" ht="15.6">
      <c r="A1" s="138" t="s">
        <v>4</v>
      </c>
      <c r="B1" s="85"/>
      <c r="C1" s="85"/>
      <c r="D1" s="85"/>
      <c r="E1" s="85"/>
      <c r="F1" s="85"/>
      <c r="G1" s="85"/>
      <c r="H1" s="85"/>
      <c r="I1" s="85"/>
      <c r="J1" s="85"/>
      <c r="K1" s="85"/>
      <c r="L1" s="85"/>
      <c r="M1" s="85"/>
      <c r="N1" s="85"/>
      <c r="O1" s="85"/>
      <c r="P1" s="85"/>
      <c r="Q1" s="85"/>
      <c r="R1" s="85"/>
      <c r="S1" s="85"/>
      <c r="T1" s="85"/>
      <c r="U1" s="85"/>
      <c r="V1" s="85"/>
      <c r="W1" s="85"/>
      <c r="X1" s="85"/>
      <c r="Y1" s="85"/>
    </row>
    <row r="2" spans="1:25" ht="13.8">
      <c r="A2" s="139" t="s">
        <v>295</v>
      </c>
      <c r="B2" s="85"/>
      <c r="C2" s="85"/>
      <c r="D2" s="85"/>
      <c r="E2" s="85"/>
      <c r="F2" s="85"/>
      <c r="G2" s="85"/>
      <c r="H2" s="85"/>
      <c r="I2" s="85"/>
      <c r="J2" s="85"/>
      <c r="K2" s="85"/>
      <c r="L2" s="85"/>
      <c r="M2" s="85"/>
      <c r="N2" s="85"/>
      <c r="O2" s="85"/>
      <c r="P2" s="85"/>
      <c r="Q2" s="85"/>
      <c r="R2" s="85"/>
      <c r="S2" s="85"/>
      <c r="T2" s="85"/>
      <c r="U2" s="85"/>
      <c r="V2" s="85"/>
      <c r="W2" s="85"/>
      <c r="X2" s="85"/>
      <c r="Y2" s="85"/>
    </row>
    <row r="3" spans="1:25" ht="13.8">
      <c r="A3" s="89" t="s">
        <v>276</v>
      </c>
      <c r="B3" s="85"/>
      <c r="C3" s="85"/>
      <c r="D3" s="85"/>
      <c r="E3" s="85"/>
      <c r="F3" s="85"/>
      <c r="G3" s="85"/>
      <c r="H3" s="85"/>
      <c r="I3" s="85"/>
      <c r="J3" s="85"/>
      <c r="K3" s="85"/>
      <c r="L3" s="85"/>
      <c r="M3" s="85"/>
      <c r="N3" s="85"/>
      <c r="O3" s="85"/>
      <c r="P3" s="85"/>
      <c r="Q3" s="85"/>
      <c r="R3" s="85"/>
      <c r="S3" s="85"/>
      <c r="T3" s="85"/>
      <c r="U3" s="85"/>
      <c r="V3" s="85"/>
      <c r="W3" s="85"/>
      <c r="X3" s="85"/>
      <c r="Y3" s="85"/>
    </row>
    <row r="4" spans="1:25" ht="13.8">
      <c r="A4" s="85"/>
      <c r="B4" s="85"/>
      <c r="C4" s="85"/>
      <c r="D4" s="85"/>
      <c r="E4" s="85"/>
      <c r="F4" s="85"/>
      <c r="G4" s="85"/>
      <c r="H4" s="85"/>
      <c r="I4" s="85"/>
      <c r="J4" s="85"/>
      <c r="K4" s="85"/>
      <c r="L4" s="85"/>
      <c r="M4" s="85"/>
      <c r="N4" s="85"/>
      <c r="O4" s="85"/>
      <c r="P4" s="85"/>
      <c r="Q4" s="85"/>
      <c r="R4" s="85"/>
      <c r="S4" s="85"/>
      <c r="T4" s="85"/>
      <c r="U4" s="85"/>
      <c r="V4" s="85"/>
      <c r="W4" s="85"/>
      <c r="X4" s="85"/>
      <c r="Y4" s="85"/>
    </row>
    <row r="5" spans="1:25" ht="13.8">
      <c r="A5" s="85"/>
      <c r="B5" s="85"/>
      <c r="C5" s="85"/>
      <c r="D5" s="85"/>
      <c r="E5" s="85"/>
      <c r="F5" s="85"/>
      <c r="G5" s="85"/>
      <c r="H5" s="85"/>
      <c r="I5" s="85"/>
      <c r="J5" s="85"/>
      <c r="K5" s="85"/>
      <c r="L5" s="85"/>
      <c r="M5" s="85"/>
      <c r="N5" s="85"/>
      <c r="O5" s="85"/>
      <c r="P5" s="85"/>
      <c r="Q5" s="85"/>
      <c r="R5" s="85"/>
      <c r="S5" s="85"/>
      <c r="T5" s="85"/>
      <c r="U5" s="85"/>
      <c r="V5" s="85"/>
      <c r="W5" s="85"/>
      <c r="X5" s="85"/>
      <c r="Y5" s="85"/>
    </row>
    <row r="6" spans="1:25" ht="13.8">
      <c r="A6" s="141"/>
      <c r="B6" s="85"/>
      <c r="C6" s="85"/>
      <c r="D6" s="85"/>
      <c r="E6" s="85"/>
      <c r="F6" s="85"/>
      <c r="I6" s="102">
        <v>2023</v>
      </c>
      <c r="J6" s="102">
        <v>2024</v>
      </c>
      <c r="K6" s="102">
        <v>2025</v>
      </c>
      <c r="L6" s="102">
        <v>2026</v>
      </c>
      <c r="M6" s="102">
        <v>2027</v>
      </c>
      <c r="N6" s="102">
        <v>2028</v>
      </c>
      <c r="O6" s="102">
        <v>2029</v>
      </c>
      <c r="P6" s="102">
        <v>2030</v>
      </c>
      <c r="Q6" s="102">
        <v>2031</v>
      </c>
      <c r="R6" s="102">
        <v>2032</v>
      </c>
      <c r="S6" s="102">
        <v>2033</v>
      </c>
      <c r="T6" s="102">
        <v>2034</v>
      </c>
      <c r="U6" s="85"/>
      <c r="V6" s="85"/>
      <c r="W6" s="85"/>
      <c r="X6" s="85"/>
      <c r="Y6" s="85"/>
    </row>
    <row r="7" spans="1:25" ht="13.8">
      <c r="A7" s="89" t="s">
        <v>296</v>
      </c>
      <c r="B7" s="85"/>
      <c r="C7" s="85"/>
      <c r="D7" s="85"/>
      <c r="E7" s="85"/>
      <c r="F7" s="85"/>
      <c r="I7" s="115">
        <f>NOPAT!J18</f>
        <v>-740064.90726126288</v>
      </c>
      <c r="J7" s="115">
        <f>NOPAT!K18</f>
        <v>-816760.557399326</v>
      </c>
      <c r="K7" s="115">
        <f>NOPAT!L18</f>
        <v>-223792.9328871062</v>
      </c>
      <c r="L7" s="115">
        <f>NOPAT!M18</f>
        <v>2998.5388270158041</v>
      </c>
      <c r="M7" s="115">
        <f>NOPAT!N18</f>
        <v>225165.76418821909</v>
      </c>
      <c r="N7" s="115">
        <f>NOPAT!O18</f>
        <v>485599.39373343223</v>
      </c>
      <c r="O7" s="115">
        <f>NOPAT!P18</f>
        <v>678882.9140395422</v>
      </c>
      <c r="P7" s="115">
        <f>NOPAT!Q18</f>
        <v>804801.54560776288</v>
      </c>
      <c r="Q7" s="115">
        <f>NOPAT!R18</f>
        <v>958636.80215477094</v>
      </c>
      <c r="R7" s="115">
        <f>NOPAT!S18</f>
        <v>1023115.440533163</v>
      </c>
      <c r="S7" s="115">
        <f>NOPAT!T18</f>
        <v>1089163.8717159336</v>
      </c>
      <c r="T7" s="115">
        <f>NOPAT!U18</f>
        <v>1157196.6064152382</v>
      </c>
      <c r="U7" s="85"/>
      <c r="V7" s="85"/>
      <c r="W7" s="85"/>
      <c r="X7" s="85"/>
      <c r="Y7" s="85"/>
    </row>
    <row r="8" spans="1:25" ht="13.8">
      <c r="A8" s="85"/>
      <c r="B8" s="85"/>
      <c r="C8" s="85"/>
      <c r="D8" s="85"/>
      <c r="E8" s="85"/>
      <c r="F8" s="85"/>
      <c r="G8" s="85"/>
      <c r="H8" s="85"/>
      <c r="I8" s="85"/>
      <c r="J8" s="85"/>
      <c r="K8" s="85"/>
      <c r="L8" s="85"/>
      <c r="M8" s="85"/>
      <c r="N8" s="85"/>
      <c r="O8" s="85"/>
      <c r="P8" s="85"/>
      <c r="Q8" s="85"/>
      <c r="R8" s="85"/>
      <c r="S8" s="85"/>
      <c r="T8" s="85"/>
      <c r="U8" s="85"/>
      <c r="V8" s="85"/>
      <c r="W8" s="85"/>
      <c r="X8" s="85"/>
      <c r="Y8" s="85"/>
    </row>
    <row r="9" spans="1:25" ht="13.8">
      <c r="A9" s="89" t="s">
        <v>297</v>
      </c>
      <c r="B9" s="85"/>
      <c r="C9" s="85"/>
      <c r="D9" s="85"/>
      <c r="E9" s="85"/>
      <c r="F9" s="85"/>
      <c r="G9" s="85"/>
      <c r="H9" s="85"/>
      <c r="I9" s="85"/>
      <c r="J9" s="85"/>
      <c r="K9" s="85"/>
      <c r="L9" s="85"/>
      <c r="M9" s="85"/>
      <c r="N9" s="85"/>
      <c r="O9" s="85"/>
      <c r="P9" s="85"/>
      <c r="Q9" s="85"/>
      <c r="R9" s="85"/>
      <c r="S9" s="85"/>
      <c r="T9" s="85"/>
      <c r="U9" s="85"/>
      <c r="V9" s="85"/>
      <c r="W9" s="85"/>
      <c r="X9" s="85"/>
      <c r="Y9" s="85"/>
    </row>
    <row r="10" spans="1:25" ht="13.8">
      <c r="A10" s="89" t="s">
        <v>298</v>
      </c>
      <c r="B10" s="85"/>
      <c r="C10" s="85"/>
      <c r="D10" s="85"/>
      <c r="E10" s="85"/>
      <c r="F10" s="85"/>
      <c r="H10" s="85"/>
      <c r="I10" s="115">
        <f>'Cash Flows'!J9</f>
        <v>54390.25</v>
      </c>
      <c r="J10" s="115">
        <f>'Cash Flows'!K9</f>
        <v>60306.721298476266</v>
      </c>
      <c r="K10" s="115">
        <f>'Cash Flows'!L9</f>
        <v>74017.202995061845</v>
      </c>
      <c r="L10" s="115">
        <f>'Cash Flows'!M9</f>
        <v>90390.347033152677</v>
      </c>
      <c r="M10" s="115">
        <f>'Cash Flows'!N9</f>
        <v>109417.43720873879</v>
      </c>
      <c r="N10" s="115">
        <f>'Cash Flows'!O9</f>
        <v>130867.06746582814</v>
      </c>
      <c r="O10" s="115">
        <f>'Cash Flows'!P9</f>
        <v>154366.88803143788</v>
      </c>
      <c r="P10" s="115">
        <f>'Cash Flows'!Q9</f>
        <v>179329.15732410422</v>
      </c>
      <c r="Q10" s="115">
        <f>'Cash Flows'!R9</f>
        <v>206283.93207252072</v>
      </c>
      <c r="R10" s="115">
        <f>'Cash Flows'!S9</f>
        <v>236294.94492174155</v>
      </c>
      <c r="S10" s="115">
        <f>'Cash Flows'!T9</f>
        <v>270211.12160858139</v>
      </c>
      <c r="T10" s="115">
        <f>'Cash Flows'!U9</f>
        <v>308647.45462236617</v>
      </c>
      <c r="U10" s="85"/>
      <c r="V10" s="85"/>
      <c r="W10" s="85"/>
      <c r="X10" s="85"/>
      <c r="Y10" s="85"/>
    </row>
    <row r="11" spans="1:25" ht="13.8">
      <c r="A11" s="89" t="s">
        <v>102</v>
      </c>
      <c r="B11" s="85"/>
      <c r="C11" s="85"/>
      <c r="D11" s="85"/>
      <c r="E11" s="85"/>
      <c r="F11" s="85"/>
      <c r="H11" s="85"/>
      <c r="I11" s="115">
        <f>'Cash Flows'!J10</f>
        <v>17066</v>
      </c>
      <c r="J11" s="115">
        <f>'Cash Flows'!K10</f>
        <v>14275</v>
      </c>
      <c r="K11" s="115">
        <f>'Cash Flows'!L10</f>
        <v>12571</v>
      </c>
      <c r="L11" s="115">
        <f>'Cash Flows'!M10</f>
        <v>4074</v>
      </c>
      <c r="M11" s="115">
        <f>'Cash Flows'!N10</f>
        <v>2737</v>
      </c>
      <c r="N11" s="115">
        <f>'Cash Flows'!O10</f>
        <v>8158</v>
      </c>
      <c r="O11" s="115">
        <f>'Cash Flows'!P10</f>
        <v>0</v>
      </c>
      <c r="P11" s="115">
        <f>'Cash Flows'!Q10</f>
        <v>0</v>
      </c>
      <c r="Q11" s="115">
        <f>'Cash Flows'!R10</f>
        <v>0</v>
      </c>
      <c r="R11" s="115">
        <f>'Cash Flows'!S10</f>
        <v>0</v>
      </c>
      <c r="S11" s="115">
        <f>'Cash Flows'!T10</f>
        <v>0</v>
      </c>
      <c r="T11" s="115">
        <f>'Cash Flows'!U10</f>
        <v>0</v>
      </c>
      <c r="U11" s="85"/>
      <c r="V11" s="85"/>
      <c r="W11" s="85"/>
      <c r="X11" s="85"/>
      <c r="Y11" s="85"/>
    </row>
    <row r="12" spans="1:25" ht="13.8">
      <c r="A12" s="89" t="s">
        <v>101</v>
      </c>
      <c r="B12" s="85"/>
      <c r="C12" s="85"/>
      <c r="D12" s="85"/>
      <c r="E12" s="85"/>
      <c r="F12" s="85"/>
      <c r="H12" s="85"/>
      <c r="I12" s="115">
        <f>'Cash Flows'!J13</f>
        <v>310521.80348952767</v>
      </c>
      <c r="J12" s="115">
        <f>'Cash Flows'!K13</f>
        <v>418314.2109606216</v>
      </c>
      <c r="K12" s="115">
        <f>'Cash Flows'!L13</f>
        <v>530666.28292730974</v>
      </c>
      <c r="L12" s="115">
        <f>'Cash Flows'!M13</f>
        <v>643517.9624719437</v>
      </c>
      <c r="M12" s="115">
        <f>'Cash Flows'!N13</f>
        <v>759819.85341400804</v>
      </c>
      <c r="N12" s="115">
        <f>'Cash Flows'!O13</f>
        <v>868017.98045108537</v>
      </c>
      <c r="O12" s="115">
        <f>'Cash Flows'!P13</f>
        <v>964978.84870327497</v>
      </c>
      <c r="P12" s="115">
        <f>'Cash Flows'!Q13</f>
        <v>1040068.5455082688</v>
      </c>
      <c r="Q12" s="115">
        <f>'Cash Flows'!R13</f>
        <v>1112009.1317397607</v>
      </c>
      <c r="R12" s="115">
        <f>'Cash Flows'!S13</f>
        <v>1185123.7321516501</v>
      </c>
      <c r="S12" s="115">
        <f>'Cash Flows'!T13</f>
        <v>1263045.617540621</v>
      </c>
      <c r="T12" s="115">
        <f>'Cash Flows'!U13</f>
        <v>1346090.8668939169</v>
      </c>
      <c r="U12" s="85"/>
      <c r="V12" s="85"/>
      <c r="W12" s="85"/>
      <c r="X12" s="85"/>
      <c r="Y12" s="85"/>
    </row>
    <row r="13" spans="1:25" ht="13.8">
      <c r="A13" s="89"/>
      <c r="B13" s="85"/>
      <c r="C13" s="85"/>
      <c r="D13" s="85"/>
      <c r="E13" s="85"/>
      <c r="F13" s="85"/>
      <c r="G13" s="85"/>
      <c r="H13" s="85"/>
      <c r="I13" s="85"/>
      <c r="J13" s="85"/>
      <c r="K13" s="85"/>
      <c r="L13" s="85"/>
      <c r="M13" s="85"/>
      <c r="N13" s="85"/>
      <c r="O13" s="85"/>
      <c r="P13" s="85"/>
      <c r="Q13" s="85"/>
      <c r="R13" s="85"/>
      <c r="S13" s="85"/>
      <c r="T13" s="85"/>
      <c r="U13" s="85"/>
      <c r="V13" s="85"/>
      <c r="W13" s="85"/>
      <c r="X13" s="85"/>
      <c r="Y13" s="85"/>
    </row>
    <row r="14" spans="1:25" ht="13.8">
      <c r="A14" s="89" t="s">
        <v>299</v>
      </c>
      <c r="B14" s="85"/>
      <c r="C14" s="85"/>
      <c r="D14" s="85"/>
      <c r="E14" s="85"/>
      <c r="F14" s="85"/>
      <c r="G14" s="85"/>
      <c r="H14" s="85"/>
      <c r="I14" s="114">
        <f t="shared" ref="I14:T14" si="0">I7+I10+I11+I12</f>
        <v>-358086.85377173522</v>
      </c>
      <c r="J14" s="114">
        <f t="shared" si="0"/>
        <v>-323864.62514022819</v>
      </c>
      <c r="K14" s="114">
        <f t="shared" si="0"/>
        <v>393461.55303526542</v>
      </c>
      <c r="L14" s="114">
        <f t="shared" si="0"/>
        <v>740980.84833211219</v>
      </c>
      <c r="M14" s="114">
        <f t="shared" si="0"/>
        <v>1097140.0548109659</v>
      </c>
      <c r="N14" s="114">
        <f t="shared" si="0"/>
        <v>1492642.4416503457</v>
      </c>
      <c r="O14" s="114">
        <f t="shared" si="0"/>
        <v>1798228.6507742549</v>
      </c>
      <c r="P14" s="114">
        <f t="shared" si="0"/>
        <v>2024199.2484401357</v>
      </c>
      <c r="Q14" s="114">
        <f t="shared" si="0"/>
        <v>2276929.8659670525</v>
      </c>
      <c r="R14" s="114">
        <f t="shared" si="0"/>
        <v>2444534.1176065546</v>
      </c>
      <c r="S14" s="114">
        <f t="shared" si="0"/>
        <v>2622420.6108651357</v>
      </c>
      <c r="T14" s="114">
        <f t="shared" si="0"/>
        <v>2811934.9279315211</v>
      </c>
      <c r="U14" s="85"/>
      <c r="V14" s="85"/>
      <c r="W14" s="85"/>
      <c r="X14" s="85"/>
      <c r="Y14" s="85"/>
    </row>
    <row r="15" spans="1:25" ht="13.8">
      <c r="A15" s="89"/>
      <c r="B15" s="85"/>
      <c r="C15" s="85"/>
      <c r="D15" s="85"/>
      <c r="E15" s="85"/>
      <c r="F15" s="85"/>
      <c r="G15" s="85"/>
      <c r="H15" s="85"/>
      <c r="I15" s="85"/>
      <c r="J15" s="85"/>
      <c r="K15" s="85"/>
      <c r="L15" s="85"/>
      <c r="M15" s="85"/>
      <c r="N15" s="85"/>
      <c r="O15" s="85"/>
      <c r="P15" s="85"/>
      <c r="Q15" s="85"/>
      <c r="R15" s="85"/>
      <c r="S15" s="85"/>
      <c r="T15" s="85"/>
      <c r="U15" s="85"/>
      <c r="V15" s="85"/>
      <c r="W15" s="85"/>
      <c r="X15" s="85"/>
      <c r="Y15" s="85"/>
    </row>
    <row r="16" spans="1:25" ht="13.8">
      <c r="A16" s="89" t="s">
        <v>300</v>
      </c>
      <c r="B16" s="85"/>
      <c r="C16" s="85"/>
      <c r="D16" s="85"/>
      <c r="E16" s="85"/>
      <c r="F16" s="85"/>
      <c r="G16" s="85"/>
      <c r="H16" s="85"/>
      <c r="I16" s="85"/>
      <c r="J16" s="85"/>
      <c r="K16" s="85"/>
      <c r="L16" s="85"/>
      <c r="M16" s="85"/>
      <c r="N16" s="85"/>
      <c r="O16" s="85"/>
      <c r="P16" s="85"/>
      <c r="Q16" s="85"/>
      <c r="R16" s="85"/>
      <c r="S16" s="85"/>
      <c r="T16" s="85"/>
      <c r="U16" s="85"/>
      <c r="V16" s="85"/>
      <c r="W16" s="85"/>
      <c r="X16" s="85"/>
      <c r="Y16" s="85"/>
    </row>
    <row r="17" spans="1:25" ht="13.8">
      <c r="A17" s="89" t="s">
        <v>301</v>
      </c>
      <c r="B17" s="85"/>
      <c r="C17" s="85"/>
      <c r="D17" s="85"/>
      <c r="E17" s="85"/>
      <c r="F17" s="85"/>
      <c r="G17" s="85"/>
      <c r="H17" s="85"/>
      <c r="I17" s="115">
        <f>'Cash Flows'!J22+'Cash Flows'!J23+'Cash Flows'!J24</f>
        <v>-236322.14812492178</v>
      </c>
      <c r="J17" s="115">
        <f>'Cash Flows'!K22+'Cash Flows'!K23+'Cash Flows'!K24</f>
        <v>-166089.37049894931</v>
      </c>
      <c r="K17" s="115">
        <f>'Cash Flows'!L22+'Cash Flows'!L23+'Cash Flows'!L24</f>
        <v>-195552.42401280004</v>
      </c>
      <c r="L17" s="115">
        <f>'Cash Flows'!M22+'Cash Flows'!M23+'Cash Flows'!M24</f>
        <v>-210711.6831431037</v>
      </c>
      <c r="M17" s="115">
        <f>'Cash Flows'!N22+'Cash Flows'!N23+'Cash Flows'!N24</f>
        <v>-209880.81176530151</v>
      </c>
      <c r="N17" s="115">
        <f>'Cash Flows'!O22+'Cash Flows'!O23+'Cash Flows'!O24</f>
        <v>-189989.07147687842</v>
      </c>
      <c r="O17" s="115">
        <f>'Cash Flows'!P22+'Cash Flows'!P23+'Cash Flows'!P24</f>
        <v>-152190.04299744137</v>
      </c>
      <c r="P17" s="115">
        <f>'Cash Flows'!Q22+'Cash Flows'!Q23+'Cash Flows'!Q24</f>
        <v>-120040.37281581925</v>
      </c>
      <c r="Q17" s="115">
        <f>'Cash Flows'!R22+'Cash Flows'!R23+'Cash Flows'!R24</f>
        <v>-108519.75411436055</v>
      </c>
      <c r="R17" s="115">
        <f>'Cash Flows'!S22+'Cash Flows'!S23+'Cash Flows'!S24</f>
        <v>-121016.54230689735</v>
      </c>
      <c r="S17" s="115">
        <f>'Cash Flows'!T22+'Cash Flows'!T23+'Cash Flows'!T24</f>
        <v>-129012.30651335791</v>
      </c>
      <c r="T17" s="115">
        <f>'Cash Flows'!U22+'Cash Flows'!U23+'Cash Flows'!U24</f>
        <v>-137127.04489721081</v>
      </c>
      <c r="U17" s="85"/>
      <c r="V17" s="85"/>
      <c r="W17" s="85"/>
      <c r="X17" s="85"/>
      <c r="Y17" s="85"/>
    </row>
    <row r="18" spans="1:25" ht="13.8">
      <c r="A18" s="89" t="s">
        <v>302</v>
      </c>
      <c r="B18" s="85"/>
      <c r="C18" s="85"/>
      <c r="D18" s="85"/>
      <c r="E18" s="85"/>
      <c r="F18" s="85"/>
      <c r="G18" s="85"/>
      <c r="H18" s="85"/>
      <c r="I18" s="115">
        <f>'Cash Flows'!J27+'Cash Flows'!J28</f>
        <v>227492.99537442432</v>
      </c>
      <c r="J18" s="115">
        <f>'Cash Flows'!K27+'Cash Flows'!K28</f>
        <v>253709.27142561678</v>
      </c>
      <c r="K18" s="115">
        <f>'Cash Flows'!L27+'Cash Flows'!L28</f>
        <v>280191.9866562364</v>
      </c>
      <c r="L18" s="115">
        <f>'Cash Flows'!M27+'Cash Flows'!M28</f>
        <v>215516.93988021431</v>
      </c>
      <c r="M18" s="115">
        <f>'Cash Flows'!N27+'Cash Flows'!N28</f>
        <v>213925.40022455869</v>
      </c>
      <c r="N18" s="115">
        <f>'Cash Flows'!O27+'Cash Flows'!O28</f>
        <v>192624.78118757129</v>
      </c>
      <c r="O18" s="115">
        <f>'Cash Flows'!P27+'Cash Flows'!P28</f>
        <v>155016.43031029261</v>
      </c>
      <c r="P18" s="115">
        <f>'Cash Flows'!Q27+'Cash Flows'!Q28</f>
        <v>121411.80952105287</v>
      </c>
      <c r="Q18" s="115">
        <f>'Cash Flows'!R27+'Cash Flows'!R28</f>
        <v>108724.97125827742</v>
      </c>
      <c r="R18" s="115">
        <f>'Cash Flows'!S27+'Cash Flows'!S28</f>
        <v>125071.94882703159</v>
      </c>
      <c r="S18" s="115">
        <f>'Cash Flows'!T27+'Cash Flows'!T28</f>
        <v>132628.10603098164</v>
      </c>
      <c r="T18" s="115">
        <f>'Cash Flows'!U27+'Cash Flows'!U28</f>
        <v>141021.32431347785</v>
      </c>
      <c r="U18" s="85"/>
      <c r="V18" s="85"/>
      <c r="W18" s="85"/>
      <c r="X18" s="85"/>
      <c r="Y18" s="85"/>
    </row>
    <row r="19" spans="1:25" ht="13.8">
      <c r="A19" s="89"/>
      <c r="B19" s="85"/>
      <c r="C19" s="85"/>
      <c r="D19" s="85"/>
      <c r="E19" s="85"/>
      <c r="F19" s="85"/>
      <c r="G19" s="85"/>
      <c r="H19" s="85"/>
      <c r="I19" s="85"/>
      <c r="J19" s="85"/>
      <c r="K19" s="85"/>
      <c r="L19" s="85"/>
      <c r="M19" s="85"/>
      <c r="N19" s="85"/>
      <c r="O19" s="85"/>
      <c r="P19" s="85"/>
      <c r="Q19" s="85"/>
      <c r="R19" s="85"/>
      <c r="S19" s="85"/>
      <c r="T19" s="85"/>
      <c r="U19" s="85"/>
      <c r="V19" s="85"/>
      <c r="W19" s="85"/>
      <c r="X19" s="85"/>
      <c r="Y19" s="85"/>
    </row>
    <row r="20" spans="1:25" ht="13.8">
      <c r="A20" s="89" t="s">
        <v>303</v>
      </c>
      <c r="B20" s="85"/>
      <c r="C20" s="85"/>
      <c r="D20" s="85"/>
      <c r="E20" s="85"/>
      <c r="F20" s="85"/>
      <c r="G20" s="85"/>
      <c r="H20" s="85"/>
      <c r="I20" s="85"/>
      <c r="J20" s="85"/>
      <c r="K20" s="85"/>
      <c r="L20" s="85"/>
      <c r="M20" s="85"/>
      <c r="N20" s="85"/>
      <c r="O20" s="85"/>
      <c r="P20" s="85"/>
      <c r="Q20" s="85"/>
      <c r="R20" s="85"/>
      <c r="S20" s="85"/>
      <c r="T20" s="85"/>
      <c r="U20" s="85"/>
      <c r="V20" s="85"/>
      <c r="W20" s="85"/>
      <c r="X20" s="85"/>
      <c r="Y20" s="85"/>
    </row>
    <row r="21" spans="1:25" ht="13.8">
      <c r="A21" s="89" t="s">
        <v>304</v>
      </c>
      <c r="B21" s="85"/>
      <c r="C21" s="85"/>
      <c r="D21" s="85"/>
      <c r="E21" s="85"/>
      <c r="F21" s="85"/>
      <c r="G21" s="85"/>
      <c r="H21" s="85"/>
      <c r="I21" s="115">
        <f>'Cash Flows'!J35</f>
        <v>-47331.770387810131</v>
      </c>
      <c r="J21" s="115">
        <f>'Cash Flows'!K35</f>
        <v>-109683.85357268463</v>
      </c>
      <c r="K21" s="115">
        <f>'Cash Flows'!L35</f>
        <v>-130985.15230472665</v>
      </c>
      <c r="L21" s="115">
        <f>'Cash Flows'!M35</f>
        <v>-152216.7214046889</v>
      </c>
      <c r="M21" s="115">
        <f>'Cash Flows'!N35</f>
        <v>-171597.04205671477</v>
      </c>
      <c r="N21" s="115">
        <f>'Cash Flows'!O35</f>
        <v>-187998.56452487793</v>
      </c>
      <c r="O21" s="115">
        <f>'Cash Flows'!P35</f>
        <v>-199698.15434133075</v>
      </c>
      <c r="P21" s="115">
        <f>'Cash Flows'!Q35</f>
        <v>-215638.19798733201</v>
      </c>
      <c r="Q21" s="115">
        <f>'Cash Flows'!R35</f>
        <v>-240088.10279376665</v>
      </c>
      <c r="R21" s="115">
        <f>'Cash Flows'!S35</f>
        <v>-271329.41349471873</v>
      </c>
      <c r="S21" s="115">
        <f>'Cash Flows'!T35</f>
        <v>-307490.66411027825</v>
      </c>
      <c r="T21" s="115">
        <f>'Cash Flows'!U35</f>
        <v>-348214.54120437056</v>
      </c>
      <c r="U21" s="85"/>
      <c r="V21" s="85"/>
      <c r="W21" s="85"/>
      <c r="X21" s="85"/>
      <c r="Y21" s="85"/>
    </row>
    <row r="22" spans="1:25" ht="13.8">
      <c r="A22" s="89" t="s">
        <v>305</v>
      </c>
      <c r="B22" s="85"/>
      <c r="C22" s="85"/>
      <c r="D22" s="85"/>
      <c r="E22" s="85"/>
      <c r="F22" s="85"/>
      <c r="G22" s="85"/>
      <c r="H22" s="85"/>
      <c r="I22" s="115">
        <f>'Cash Flows'!J25+'Cash Flows'!J26+'Cash Flows'!J30+'Cash Flows'!J31</f>
        <v>-400593.82922206755</v>
      </c>
      <c r="J22" s="115">
        <f>'Cash Flows'!K25+'Cash Flows'!K26+'Cash Flows'!K30+'Cash Flows'!K31</f>
        <v>-518706.79406004783</v>
      </c>
      <c r="K22" s="115">
        <f>'Cash Flows'!L25+'Cash Flows'!L26+'Cash Flows'!L30+'Cash Flows'!L31</f>
        <v>-632615.51506569469</v>
      </c>
      <c r="L22" s="115">
        <f>'Cash Flows'!M25+'Cash Flows'!M26+'Cash Flows'!M30+'Cash Flows'!M31</f>
        <v>-759443.96498906997</v>
      </c>
      <c r="M22" s="115">
        <f>'Cash Flows'!N25+'Cash Flows'!N26+'Cash Flows'!N30+'Cash Flows'!N31</f>
        <v>-875461.97940862644</v>
      </c>
      <c r="N22" s="115">
        <f>'Cash Flows'!O25+'Cash Flows'!O26+'Cash Flows'!O30+'Cash Flows'!O31</f>
        <v>-1029844.9435902126</v>
      </c>
      <c r="O22" s="115">
        <f>'Cash Flows'!P25+'Cash Flows'!P26+'Cash Flows'!P30+'Cash Flows'!P31</f>
        <v>-1124651.7271722723</v>
      </c>
      <c r="P22" s="115">
        <f>'Cash Flows'!Q25+'Cash Flows'!Q26+'Cash Flows'!Q30+'Cash Flows'!Q31</f>
        <v>-1212590.6844640281</v>
      </c>
      <c r="Q22" s="115">
        <f>'Cash Flows'!R25+'Cash Flows'!R26+'Cash Flows'!R30+'Cash Flows'!R31</f>
        <v>-1295551.2807003194</v>
      </c>
      <c r="R22" s="115">
        <f>'Cash Flows'!S25+'Cash Flows'!S26+'Cash Flows'!S30+'Cash Flows'!S31</f>
        <v>-1381389.5066737696</v>
      </c>
      <c r="S22" s="115">
        <f>'Cash Flows'!T25+'Cash Flows'!T26+'Cash Flows'!T30+'Cash Flows'!T31</f>
        <v>-1472254.4854622434</v>
      </c>
      <c r="T22" s="115">
        <f>'Cash Flows'!U25+'Cash Flows'!U26+'Cash Flows'!U30+'Cash Flows'!U31</f>
        <v>-1569163.3154039155</v>
      </c>
      <c r="U22" s="85"/>
      <c r="V22" s="85"/>
      <c r="W22" s="85"/>
      <c r="X22" s="85"/>
      <c r="Y22" s="85"/>
    </row>
    <row r="23" spans="1:25" ht="13.8">
      <c r="A23" s="89"/>
      <c r="B23" s="85"/>
      <c r="C23" s="85"/>
      <c r="D23" s="85"/>
      <c r="E23" s="85"/>
      <c r="F23" s="85"/>
      <c r="G23" s="85"/>
      <c r="H23" s="85"/>
      <c r="I23" s="85"/>
      <c r="J23" s="85"/>
      <c r="K23" s="85"/>
      <c r="L23" s="85"/>
      <c r="M23" s="85"/>
      <c r="N23" s="85"/>
      <c r="O23" s="85"/>
      <c r="P23" s="85"/>
      <c r="Q23" s="85"/>
      <c r="R23" s="85"/>
      <c r="S23" s="85"/>
      <c r="T23" s="85"/>
      <c r="U23" s="85"/>
      <c r="V23" s="85"/>
      <c r="W23" s="85"/>
      <c r="X23" s="85"/>
      <c r="Y23" s="85"/>
    </row>
    <row r="24" spans="1:25" ht="13.8">
      <c r="A24" s="89" t="s">
        <v>306</v>
      </c>
      <c r="B24" s="85"/>
      <c r="C24" s="85"/>
      <c r="D24" s="85"/>
      <c r="E24" s="85"/>
      <c r="F24" s="85"/>
      <c r="G24" s="85"/>
      <c r="H24" s="85"/>
      <c r="I24" s="221">
        <f t="shared" ref="I24:T24" si="1">I14+I17+I18+I21+I22</f>
        <v>-814841.60613211035</v>
      </c>
      <c r="J24" s="221">
        <f t="shared" si="1"/>
        <v>-864635.37184629322</v>
      </c>
      <c r="K24" s="221">
        <f t="shared" si="1"/>
        <v>-285499.55169171956</v>
      </c>
      <c r="L24" s="221">
        <f t="shared" si="1"/>
        <v>-165874.58132453612</v>
      </c>
      <c r="M24" s="221">
        <f t="shared" si="1"/>
        <v>54125.621804881957</v>
      </c>
      <c r="N24" s="221">
        <f t="shared" si="1"/>
        <v>277434.64324594801</v>
      </c>
      <c r="O24" s="221">
        <f t="shared" si="1"/>
        <v>476705.15657350328</v>
      </c>
      <c r="P24" s="221">
        <f t="shared" si="1"/>
        <v>597341.80269400915</v>
      </c>
      <c r="Q24" s="221">
        <f t="shared" si="1"/>
        <v>741495.69961688342</v>
      </c>
      <c r="R24" s="221">
        <f t="shared" si="1"/>
        <v>795870.60395820066</v>
      </c>
      <c r="S24" s="221">
        <f t="shared" si="1"/>
        <v>846291.26081023761</v>
      </c>
      <c r="T24" s="221">
        <f t="shared" si="1"/>
        <v>898451.35073950188</v>
      </c>
      <c r="U24" s="85"/>
      <c r="V24" s="85"/>
      <c r="W24" s="85"/>
      <c r="X24" s="85"/>
      <c r="Y24" s="85"/>
    </row>
    <row r="25" spans="1:25" ht="13.8">
      <c r="A25" s="89"/>
      <c r="B25" s="85"/>
      <c r="C25" s="85"/>
      <c r="D25" s="85"/>
      <c r="E25" s="85"/>
      <c r="F25" s="85"/>
      <c r="G25" s="85"/>
      <c r="H25" s="85"/>
      <c r="I25" s="85"/>
      <c r="J25" s="85"/>
      <c r="K25" s="85"/>
      <c r="L25" s="85"/>
      <c r="M25" s="85"/>
      <c r="N25" s="85"/>
      <c r="O25" s="85"/>
      <c r="P25" s="85"/>
      <c r="Q25" s="85"/>
      <c r="R25" s="85"/>
      <c r="S25" s="85"/>
      <c r="T25" s="85"/>
      <c r="U25" s="85"/>
      <c r="V25" s="85"/>
      <c r="W25" s="85"/>
      <c r="X25" s="85"/>
      <c r="Y25" s="85"/>
    </row>
    <row r="26" spans="1:25" ht="13.8">
      <c r="A26" s="89"/>
      <c r="B26" s="85"/>
      <c r="C26" s="85"/>
      <c r="D26" s="85"/>
      <c r="E26" s="85"/>
      <c r="F26" s="85"/>
      <c r="G26" s="85"/>
      <c r="H26" s="85"/>
      <c r="I26" s="85"/>
      <c r="J26" s="85"/>
      <c r="K26" s="85"/>
      <c r="L26" s="85"/>
      <c r="M26" s="85"/>
      <c r="N26" s="85"/>
      <c r="O26" s="85"/>
      <c r="P26" s="85"/>
      <c r="Q26" s="85"/>
      <c r="R26" s="85"/>
      <c r="S26" s="85"/>
      <c r="T26" s="85"/>
      <c r="U26" s="85"/>
      <c r="V26" s="85"/>
      <c r="W26" s="85"/>
      <c r="X26" s="85"/>
      <c r="Y26" s="85"/>
    </row>
    <row r="27" spans="1:25" ht="13.8">
      <c r="A27" s="141" t="s">
        <v>307</v>
      </c>
      <c r="B27" s="85"/>
      <c r="C27" s="85"/>
      <c r="D27" s="85"/>
      <c r="E27" s="85"/>
      <c r="F27" s="85"/>
      <c r="G27" s="85"/>
      <c r="H27" s="85"/>
      <c r="I27" s="102">
        <v>2023</v>
      </c>
      <c r="J27" s="102">
        <v>2024</v>
      </c>
      <c r="K27" s="102">
        <v>2025</v>
      </c>
      <c r="L27" s="102">
        <v>2026</v>
      </c>
      <c r="M27" s="102">
        <v>2027</v>
      </c>
      <c r="N27" s="102">
        <v>2028</v>
      </c>
      <c r="O27" s="102">
        <v>2029</v>
      </c>
      <c r="P27" s="102">
        <v>2030</v>
      </c>
      <c r="Q27" s="102">
        <v>2031</v>
      </c>
      <c r="R27" s="102">
        <v>2032</v>
      </c>
      <c r="S27" s="102">
        <v>2033</v>
      </c>
      <c r="T27" s="102">
        <v>2034</v>
      </c>
      <c r="U27" s="85"/>
      <c r="V27" s="85"/>
      <c r="W27" s="85"/>
      <c r="X27" s="85"/>
      <c r="Y27" s="85"/>
    </row>
    <row r="28" spans="1:25" ht="13.8">
      <c r="A28" s="89" t="s">
        <v>296</v>
      </c>
      <c r="B28" s="85"/>
      <c r="C28" s="85"/>
      <c r="D28" s="85"/>
      <c r="E28" s="85"/>
      <c r="F28" s="85"/>
      <c r="G28" s="85"/>
      <c r="H28" s="85"/>
      <c r="I28" s="114">
        <f t="shared" ref="I28:T28" si="2">I7</f>
        <v>-740064.90726126288</v>
      </c>
      <c r="J28" s="114">
        <f t="shared" si="2"/>
        <v>-816760.557399326</v>
      </c>
      <c r="K28" s="114">
        <f t="shared" si="2"/>
        <v>-223792.9328871062</v>
      </c>
      <c r="L28" s="114">
        <f t="shared" si="2"/>
        <v>2998.5388270158041</v>
      </c>
      <c r="M28" s="114">
        <f t="shared" si="2"/>
        <v>225165.76418821909</v>
      </c>
      <c r="N28" s="114">
        <f t="shared" si="2"/>
        <v>485599.39373343223</v>
      </c>
      <c r="O28" s="114">
        <f t="shared" si="2"/>
        <v>678882.9140395422</v>
      </c>
      <c r="P28" s="114">
        <f t="shared" si="2"/>
        <v>804801.54560776288</v>
      </c>
      <c r="Q28" s="114">
        <f t="shared" si="2"/>
        <v>958636.80215477094</v>
      </c>
      <c r="R28" s="114">
        <f t="shared" si="2"/>
        <v>1023115.440533163</v>
      </c>
      <c r="S28" s="114">
        <f t="shared" si="2"/>
        <v>1089163.8717159336</v>
      </c>
      <c r="T28" s="114">
        <f t="shared" si="2"/>
        <v>1157196.6064152382</v>
      </c>
      <c r="U28" s="85"/>
      <c r="V28" s="85"/>
      <c r="W28" s="85"/>
      <c r="X28" s="85"/>
      <c r="Y28" s="85"/>
    </row>
    <row r="29" spans="1:25" ht="13.8">
      <c r="A29" s="89" t="s">
        <v>308</v>
      </c>
      <c r="B29" s="85"/>
      <c r="C29" s="85"/>
      <c r="D29" s="85"/>
      <c r="E29" s="85"/>
      <c r="F29" s="85"/>
      <c r="G29" s="85"/>
      <c r="H29" s="85"/>
      <c r="I29" s="114">
        <f>NOPAT!J20</f>
        <v>74776.698870847467</v>
      </c>
      <c r="J29" s="114">
        <f>NOPAT!K20</f>
        <v>47874.814446967095</v>
      </c>
      <c r="K29" s="114">
        <f>NOPAT!L20</f>
        <v>61706.618804612663</v>
      </c>
      <c r="L29" s="114">
        <f>NOPAT!M20</f>
        <v>168873.12015155237</v>
      </c>
      <c r="M29" s="114">
        <f>NOPAT!N20</f>
        <v>171040.14238333656</v>
      </c>
      <c r="N29" s="114">
        <f>NOPAT!O20</f>
        <v>208164.75048748543</v>
      </c>
      <c r="O29" s="114">
        <f>NOPAT!P20</f>
        <v>202177.75746603915</v>
      </c>
      <c r="P29" s="114">
        <f>NOPAT!Q20</f>
        <v>207459.74291375512</v>
      </c>
      <c r="Q29" s="114">
        <f>NOPAT!R20</f>
        <v>217141.10253788531</v>
      </c>
      <c r="R29" s="114">
        <f>NOPAT!S20</f>
        <v>227244.83657496329</v>
      </c>
      <c r="S29" s="114">
        <f>NOPAT!T20</f>
        <v>242872.61090569478</v>
      </c>
      <c r="T29" s="114">
        <f>NOPAT!U20</f>
        <v>258745.25567573775</v>
      </c>
      <c r="U29" s="85"/>
      <c r="V29" s="85"/>
      <c r="W29" s="85"/>
      <c r="X29" s="85"/>
      <c r="Y29" s="85"/>
    </row>
    <row r="30" spans="1:25" ht="13.8">
      <c r="A30" s="89"/>
      <c r="B30" s="85"/>
      <c r="C30" s="85"/>
      <c r="D30" s="85"/>
      <c r="E30" s="85"/>
      <c r="F30" s="85"/>
      <c r="G30" s="85"/>
      <c r="H30" s="85"/>
      <c r="I30" s="85"/>
      <c r="J30" s="85"/>
      <c r="K30" s="85"/>
      <c r="L30" s="85"/>
      <c r="M30" s="85"/>
      <c r="N30" s="85"/>
      <c r="O30" s="85"/>
      <c r="P30" s="85"/>
      <c r="Q30" s="85"/>
      <c r="R30" s="85"/>
      <c r="S30" s="85"/>
      <c r="T30" s="85"/>
      <c r="U30" s="85"/>
      <c r="V30" s="85"/>
      <c r="W30" s="85"/>
      <c r="X30" s="85"/>
      <c r="Y30" s="85"/>
    </row>
    <row r="31" spans="1:25" ht="13.8">
      <c r="A31" s="89" t="s">
        <v>306</v>
      </c>
      <c r="B31" s="85"/>
      <c r="C31" s="85"/>
      <c r="D31" s="85"/>
      <c r="E31" s="85"/>
      <c r="F31" s="85"/>
      <c r="G31" s="85"/>
      <c r="H31" s="85"/>
      <c r="I31" s="114">
        <f t="shared" ref="I31:T31" si="3">I28-I29</f>
        <v>-814841.60613211035</v>
      </c>
      <c r="J31" s="114">
        <f t="shared" si="3"/>
        <v>-864635.3718462931</v>
      </c>
      <c r="K31" s="114">
        <f t="shared" si="3"/>
        <v>-285499.55169171887</v>
      </c>
      <c r="L31" s="114">
        <f t="shared" si="3"/>
        <v>-165874.58132453656</v>
      </c>
      <c r="M31" s="114">
        <f t="shared" si="3"/>
        <v>54125.621804882539</v>
      </c>
      <c r="N31" s="114">
        <f t="shared" si="3"/>
        <v>277434.64324594679</v>
      </c>
      <c r="O31" s="114">
        <f t="shared" si="3"/>
        <v>476705.15657350305</v>
      </c>
      <c r="P31" s="114">
        <f t="shared" si="3"/>
        <v>597341.80269400775</v>
      </c>
      <c r="Q31" s="114">
        <f t="shared" si="3"/>
        <v>741495.69961688563</v>
      </c>
      <c r="R31" s="114">
        <f t="shared" si="3"/>
        <v>795870.60395819973</v>
      </c>
      <c r="S31" s="114">
        <f t="shared" si="3"/>
        <v>846291.26081023877</v>
      </c>
      <c r="T31" s="114">
        <f t="shared" si="3"/>
        <v>898451.35073950049</v>
      </c>
      <c r="U31" s="85"/>
      <c r="V31" s="85"/>
      <c r="W31" s="85"/>
      <c r="X31" s="85"/>
      <c r="Y31" s="85"/>
    </row>
    <row r="32" spans="1:25" ht="13.8">
      <c r="A32" s="89"/>
      <c r="B32" s="85"/>
      <c r="C32" s="85"/>
      <c r="D32" s="85"/>
      <c r="E32" s="85"/>
      <c r="F32" s="85"/>
      <c r="G32" s="85"/>
      <c r="H32" s="85"/>
      <c r="I32" s="85"/>
      <c r="J32" s="85"/>
      <c r="K32" s="85"/>
      <c r="L32" s="85"/>
      <c r="M32" s="85"/>
      <c r="N32" s="85"/>
      <c r="O32" s="85"/>
      <c r="P32" s="85"/>
      <c r="Q32" s="85"/>
      <c r="R32" s="85"/>
      <c r="S32" s="85"/>
      <c r="T32" s="85"/>
      <c r="U32" s="85"/>
      <c r="V32" s="85"/>
      <c r="W32" s="85"/>
      <c r="X32" s="85"/>
      <c r="Y32" s="85"/>
    </row>
    <row r="33" spans="1:25" ht="13.8">
      <c r="A33" s="89" t="s">
        <v>309</v>
      </c>
      <c r="B33" s="85"/>
      <c r="C33" s="85"/>
      <c r="D33" s="85"/>
      <c r="E33" s="85"/>
      <c r="F33" s="85"/>
      <c r="G33" s="85"/>
      <c r="H33" s="85"/>
      <c r="I33" s="114">
        <f t="shared" ref="I33:T33" si="4">I31-I24</f>
        <v>0</v>
      </c>
      <c r="J33" s="114">
        <f t="shared" si="4"/>
        <v>0</v>
      </c>
      <c r="K33" s="114">
        <f t="shared" si="4"/>
        <v>6.9849193096160889E-10</v>
      </c>
      <c r="L33" s="114">
        <f t="shared" si="4"/>
        <v>-4.3655745685100555E-10</v>
      </c>
      <c r="M33" s="114">
        <f t="shared" si="4"/>
        <v>5.8207660913467407E-10</v>
      </c>
      <c r="N33" s="114">
        <f t="shared" si="4"/>
        <v>-1.2223608791828156E-9</v>
      </c>
      <c r="O33" s="114">
        <f t="shared" si="4"/>
        <v>0</v>
      </c>
      <c r="P33" s="114">
        <f t="shared" si="4"/>
        <v>-1.3969838619232178E-9</v>
      </c>
      <c r="Q33" s="114">
        <f t="shared" si="4"/>
        <v>2.2118911147117615E-9</v>
      </c>
      <c r="R33" s="114">
        <f t="shared" si="4"/>
        <v>-9.3132257461547852E-10</v>
      </c>
      <c r="S33" s="114">
        <f t="shared" si="4"/>
        <v>1.1641532182693481E-9</v>
      </c>
      <c r="T33" s="114">
        <f t="shared" si="4"/>
        <v>-1.3969838619232178E-9</v>
      </c>
      <c r="U33" s="85"/>
      <c r="V33" s="85"/>
      <c r="W33" s="85"/>
      <c r="X33" s="85"/>
      <c r="Y33" s="85"/>
    </row>
    <row r="34" spans="1:25" ht="13.8">
      <c r="A34" s="89"/>
      <c r="B34" s="85"/>
      <c r="C34" s="85"/>
      <c r="D34" s="85"/>
      <c r="E34" s="85"/>
      <c r="F34" s="85"/>
      <c r="G34" s="85"/>
      <c r="H34" s="85"/>
      <c r="I34" s="85"/>
      <c r="J34" s="85"/>
      <c r="K34" s="85"/>
      <c r="L34" s="85"/>
      <c r="M34" s="85"/>
      <c r="N34" s="85"/>
      <c r="O34" s="85"/>
      <c r="P34" s="85"/>
      <c r="Q34" s="85"/>
      <c r="R34" s="85"/>
      <c r="S34" s="85"/>
      <c r="T34" s="85"/>
      <c r="U34" s="85"/>
      <c r="V34" s="85"/>
      <c r="W34" s="85"/>
      <c r="X34" s="85"/>
      <c r="Y34" s="85"/>
    </row>
    <row r="35" spans="1:25" ht="13.8">
      <c r="A35" s="139" t="s">
        <v>310</v>
      </c>
      <c r="B35" s="85"/>
      <c r="C35" s="85"/>
      <c r="D35" s="85"/>
      <c r="E35" s="85"/>
      <c r="F35" s="85"/>
      <c r="G35" s="85"/>
      <c r="H35" s="85"/>
      <c r="I35" s="85"/>
      <c r="J35" s="85"/>
      <c r="K35" s="85"/>
      <c r="L35" s="85"/>
      <c r="M35" s="85"/>
      <c r="N35" s="85"/>
      <c r="O35" s="85"/>
      <c r="P35" s="85"/>
      <c r="Q35" s="85"/>
      <c r="R35" s="85"/>
      <c r="S35" s="85"/>
      <c r="T35" s="85"/>
      <c r="U35" s="85"/>
      <c r="V35" s="85"/>
      <c r="W35" s="85"/>
      <c r="X35" s="85"/>
      <c r="Y35" s="85"/>
    </row>
    <row r="36" spans="1:25" ht="13.8">
      <c r="A36" s="89" t="s">
        <v>311</v>
      </c>
      <c r="B36" s="85"/>
      <c r="C36" s="85"/>
      <c r="D36" s="85"/>
      <c r="E36" s="85"/>
      <c r="F36" s="85"/>
      <c r="G36" s="85"/>
      <c r="H36" s="85"/>
      <c r="I36" s="114">
        <f t="shared" ref="I36:T36" si="5">I24</f>
        <v>-814841.60613211035</v>
      </c>
      <c r="J36" s="114">
        <f t="shared" si="5"/>
        <v>-864635.37184629322</v>
      </c>
      <c r="K36" s="114">
        <f t="shared" si="5"/>
        <v>-285499.55169171956</v>
      </c>
      <c r="L36" s="114">
        <f t="shared" si="5"/>
        <v>-165874.58132453612</v>
      </c>
      <c r="M36" s="114">
        <f t="shared" si="5"/>
        <v>54125.621804881957</v>
      </c>
      <c r="N36" s="114">
        <f t="shared" si="5"/>
        <v>277434.64324594801</v>
      </c>
      <c r="O36" s="114">
        <f t="shared" si="5"/>
        <v>476705.15657350328</v>
      </c>
      <c r="P36" s="114">
        <f t="shared" si="5"/>
        <v>597341.80269400915</v>
      </c>
      <c r="Q36" s="114">
        <f t="shared" si="5"/>
        <v>741495.69961688342</v>
      </c>
      <c r="R36" s="114">
        <f t="shared" si="5"/>
        <v>795870.60395820066</v>
      </c>
      <c r="S36" s="114">
        <f t="shared" si="5"/>
        <v>846291.26081023761</v>
      </c>
      <c r="T36" s="114">
        <f t="shared" si="5"/>
        <v>898451.35073950188</v>
      </c>
      <c r="U36" s="85"/>
      <c r="V36" s="85"/>
      <c r="W36" s="85"/>
      <c r="X36" s="85"/>
      <c r="Y36" s="85"/>
    </row>
    <row r="37" spans="1:25" ht="15.6">
      <c r="A37" s="89" t="s">
        <v>460</v>
      </c>
      <c r="B37" s="85"/>
      <c r="C37" s="85"/>
      <c r="D37" s="85"/>
      <c r="E37" s="85"/>
      <c r="F37" s="85"/>
      <c r="G37" s="85"/>
      <c r="H37" s="85"/>
      <c r="I37" s="222">
        <f>1/(1+WACC)^1</f>
        <v>0.89418627979240284</v>
      </c>
      <c r="J37" s="222">
        <f>1/(1+WACC)^2</f>
        <v>0.79956910296897743</v>
      </c>
      <c r="K37" s="222">
        <f>1/(1+WACC)^3</f>
        <v>0.7149637216207787</v>
      </c>
      <c r="L37" s="222">
        <f>1/(1+WACC)^4</f>
        <v>0.6393107504226152</v>
      </c>
      <c r="M37" s="222">
        <f>1/(1+WACC)^5</f>
        <v>0.57166290155168764</v>
      </c>
      <c r="N37" s="222">
        <f>1/(1+WACC)^6</f>
        <v>0.51117312323383424</v>
      </c>
      <c r="O37" s="222">
        <f>1/(1+WACC)^7</f>
        <v>0.45708399339432582</v>
      </c>
      <c r="P37" s="222">
        <f>1/(1+WACC)^8</f>
        <v>0.4087182356059274</v>
      </c>
      <c r="Q37" s="222">
        <f>1/(1+WACC)^9</f>
        <v>0.36547023857977906</v>
      </c>
      <c r="R37" s="222">
        <f>1/(1+WACC)^10</f>
        <v>0.32679847301049453</v>
      </c>
      <c r="S37" s="222">
        <f>1/(1+WACC)^11</f>
        <v>0.29221871082309209</v>
      </c>
      <c r="T37" s="222">
        <f>1/(1+WACC)^12</f>
        <v>0.26129796191663268</v>
      </c>
      <c r="U37" s="85"/>
      <c r="V37" s="85"/>
      <c r="W37" s="85"/>
      <c r="X37" s="85"/>
      <c r="Y37" s="85"/>
    </row>
    <row r="38" spans="1:25" ht="15.75" customHeight="1">
      <c r="A38" s="89" t="s">
        <v>461</v>
      </c>
      <c r="B38" s="85"/>
      <c r="C38" s="85"/>
      <c r="D38" s="85"/>
      <c r="E38" s="85"/>
      <c r="F38" s="85"/>
      <c r="G38" s="85"/>
      <c r="H38" s="85"/>
      <c r="I38" s="115">
        <f t="shared" ref="I38:T38" si="6">I36*I37</f>
        <v>-728620.18440733815</v>
      </c>
      <c r="J38" s="115">
        <f t="shared" si="6"/>
        <v>-691335.72866238886</v>
      </c>
      <c r="K38" s="115">
        <f t="shared" si="6"/>
        <v>-204121.8219985757</v>
      </c>
      <c r="L38" s="115">
        <f t="shared" si="6"/>
        <v>-106045.4030626263</v>
      </c>
      <c r="M38" s="115">
        <f t="shared" si="6"/>
        <v>30941.610009268112</v>
      </c>
      <c r="N38" s="115">
        <f t="shared" si="6"/>
        <v>141817.13308129582</v>
      </c>
      <c r="O38" s="115">
        <f t="shared" si="6"/>
        <v>217894.29663828423</v>
      </c>
      <c r="P38" s="115">
        <f t="shared" si="6"/>
        <v>244144.48765075943</v>
      </c>
      <c r="Q38" s="115">
        <f t="shared" si="6"/>
        <v>270994.61024486256</v>
      </c>
      <c r="R38" s="115">
        <f t="shared" si="6"/>
        <v>260089.29808748001</v>
      </c>
      <c r="S38" s="115">
        <f t="shared" si="6"/>
        <v>247302.14121481683</v>
      </c>
      <c r="T38" s="115">
        <f t="shared" si="6"/>
        <v>234763.50682947756</v>
      </c>
      <c r="U38" s="85"/>
      <c r="V38" s="85"/>
      <c r="W38" s="85"/>
      <c r="X38" s="85"/>
      <c r="Y38" s="85"/>
    </row>
    <row r="39" spans="1:25" ht="13.8">
      <c r="A39" s="89"/>
      <c r="B39" s="85"/>
      <c r="C39" s="85"/>
      <c r="D39" s="85"/>
      <c r="E39" s="85"/>
      <c r="F39" s="85"/>
      <c r="G39" s="85"/>
      <c r="H39" s="85"/>
      <c r="I39" s="85"/>
      <c r="J39" s="85"/>
      <c r="K39" s="85"/>
      <c r="L39" s="85"/>
      <c r="M39" s="85"/>
      <c r="N39" s="85"/>
      <c r="O39" s="85"/>
      <c r="P39" s="85"/>
      <c r="Q39" s="85"/>
      <c r="R39" s="85"/>
      <c r="S39" s="85"/>
      <c r="T39" s="85"/>
      <c r="U39" s="85"/>
      <c r="V39" s="85"/>
      <c r="W39" s="85"/>
      <c r="X39" s="85"/>
      <c r="Y39" s="85"/>
    </row>
    <row r="40" spans="1:25" ht="13.8">
      <c r="A40" s="139" t="s">
        <v>312</v>
      </c>
      <c r="B40" s="85"/>
      <c r="C40" s="85"/>
      <c r="D40" s="85"/>
      <c r="E40" s="85"/>
      <c r="F40" s="85"/>
      <c r="G40" s="85"/>
      <c r="H40" s="85"/>
      <c r="I40" s="114">
        <f>SUM(I38:S38)</f>
        <v>-316939.56120416173</v>
      </c>
      <c r="J40" s="85"/>
      <c r="K40" s="85"/>
      <c r="L40" s="85"/>
      <c r="M40" s="85"/>
      <c r="N40" s="85"/>
      <c r="O40" s="85"/>
      <c r="P40" s="85"/>
      <c r="Q40" s="85"/>
      <c r="R40" s="85"/>
      <c r="S40" s="85"/>
      <c r="T40" s="85"/>
      <c r="U40" s="85"/>
      <c r="V40" s="85"/>
      <c r="W40" s="85"/>
      <c r="X40" s="85"/>
      <c r="Y40" s="85"/>
    </row>
    <row r="41" spans="1:25" ht="13.8">
      <c r="A41" s="89"/>
      <c r="B41" s="85"/>
      <c r="C41" s="85"/>
      <c r="D41" s="85"/>
      <c r="E41" s="85"/>
      <c r="F41" s="85"/>
      <c r="G41" s="85"/>
      <c r="H41" s="85"/>
      <c r="I41" s="85"/>
      <c r="J41" s="85"/>
      <c r="K41" s="85"/>
      <c r="L41" s="85"/>
      <c r="M41" s="85"/>
      <c r="N41" s="85"/>
      <c r="O41" s="85"/>
      <c r="P41" s="85"/>
      <c r="Q41" s="85"/>
      <c r="R41" s="85"/>
      <c r="S41" s="85"/>
      <c r="T41" s="85"/>
      <c r="U41" s="85"/>
      <c r="V41" s="85"/>
      <c r="W41" s="85"/>
      <c r="X41" s="85"/>
      <c r="Y41" s="85"/>
    </row>
    <row r="42" spans="1:25" ht="13.8">
      <c r="A42" s="139" t="s">
        <v>313</v>
      </c>
      <c r="B42" s="85"/>
      <c r="C42" s="85"/>
      <c r="D42" s="85"/>
      <c r="E42" s="85"/>
      <c r="F42" s="85"/>
      <c r="G42" s="85"/>
      <c r="H42" s="85"/>
      <c r="I42" s="85"/>
      <c r="J42" s="85"/>
      <c r="K42" s="85"/>
      <c r="L42" s="85"/>
      <c r="M42" s="85"/>
      <c r="N42" s="85"/>
      <c r="O42" s="85"/>
      <c r="P42" s="85"/>
      <c r="Q42" s="85"/>
      <c r="R42" s="85"/>
      <c r="S42" s="85"/>
      <c r="T42" s="85"/>
      <c r="U42" s="85"/>
      <c r="V42" s="85"/>
      <c r="W42" s="85"/>
      <c r="X42" s="85"/>
      <c r="Y42" s="85"/>
    </row>
    <row r="43" spans="1:25" ht="13.8">
      <c r="A43" s="89" t="s">
        <v>314</v>
      </c>
      <c r="B43" s="85"/>
      <c r="C43" s="85"/>
      <c r="D43" s="85"/>
      <c r="E43" s="85"/>
      <c r="F43" s="85"/>
      <c r="G43" s="85"/>
      <c r="H43" s="85"/>
      <c r="I43" s="115">
        <f>(T38/(WACC-I44))/((1+WACC)^I45)</f>
        <v>1227848.6855557151</v>
      </c>
      <c r="J43" s="85"/>
      <c r="K43" s="85"/>
      <c r="L43" s="85"/>
      <c r="M43" s="85"/>
      <c r="N43" s="85"/>
      <c r="O43" s="85"/>
      <c r="P43" s="85"/>
      <c r="Q43" s="85"/>
      <c r="R43" s="85"/>
      <c r="S43" s="85"/>
      <c r="T43" s="85"/>
      <c r="U43" s="85"/>
      <c r="V43" s="85"/>
      <c r="W43" s="85"/>
      <c r="X43" s="85"/>
      <c r="Y43" s="85"/>
    </row>
    <row r="44" spans="1:25" ht="13.8">
      <c r="A44" s="89" t="s">
        <v>315</v>
      </c>
      <c r="B44" s="85"/>
      <c r="C44" s="85"/>
      <c r="D44" s="85"/>
      <c r="E44" s="85"/>
      <c r="F44" s="85"/>
      <c r="G44" s="85"/>
      <c r="H44" s="85"/>
      <c r="I44" s="110">
        <f>NOPAT!U24</f>
        <v>6.2463267893858587E-2</v>
      </c>
      <c r="J44" s="85"/>
      <c r="K44" s="85"/>
      <c r="L44" s="85"/>
      <c r="M44" s="85"/>
      <c r="N44" s="85"/>
      <c r="O44" s="85"/>
      <c r="P44" s="85"/>
      <c r="Q44" s="85"/>
      <c r="R44" s="85"/>
      <c r="S44" s="85"/>
      <c r="T44" s="85"/>
      <c r="U44" s="85"/>
      <c r="V44" s="85"/>
      <c r="W44" s="85"/>
      <c r="X44" s="85"/>
      <c r="Y44" s="85"/>
    </row>
    <row r="45" spans="1:25" ht="13.8">
      <c r="A45" s="89" t="s">
        <v>316</v>
      </c>
      <c r="B45" s="85"/>
      <c r="C45" s="85"/>
      <c r="D45" s="85"/>
      <c r="E45" s="85"/>
      <c r="F45" s="85"/>
      <c r="G45" s="85"/>
      <c r="H45" s="85"/>
      <c r="I45" s="89">
        <v>11</v>
      </c>
      <c r="J45" s="85"/>
      <c r="K45" s="85"/>
      <c r="L45" s="85"/>
      <c r="M45" s="85"/>
      <c r="N45" s="85"/>
      <c r="O45" s="85"/>
      <c r="P45" s="85"/>
      <c r="Q45" s="85"/>
      <c r="R45" s="85"/>
      <c r="S45" s="85"/>
      <c r="T45" s="85"/>
      <c r="U45" s="85"/>
      <c r="V45" s="85"/>
      <c r="W45" s="85"/>
      <c r="X45" s="85"/>
      <c r="Y45" s="85"/>
    </row>
    <row r="46" spans="1:25" ht="13.8">
      <c r="A46" s="89"/>
      <c r="B46" s="85"/>
      <c r="C46" s="85"/>
      <c r="D46" s="85"/>
      <c r="E46" s="85"/>
      <c r="F46" s="85"/>
      <c r="G46" s="85"/>
      <c r="H46" s="85"/>
      <c r="I46" s="85"/>
      <c r="J46" s="85"/>
      <c r="K46" s="85"/>
      <c r="L46" s="85"/>
      <c r="M46" s="85"/>
      <c r="N46" s="85"/>
      <c r="O46" s="85"/>
      <c r="P46" s="85"/>
      <c r="Q46" s="85"/>
      <c r="R46" s="85"/>
      <c r="S46" s="85"/>
      <c r="T46" s="85"/>
      <c r="U46" s="85"/>
      <c r="V46" s="85"/>
      <c r="W46" s="85"/>
      <c r="X46" s="85"/>
      <c r="Y46" s="85"/>
    </row>
    <row r="47" spans="1:25" ht="13.8">
      <c r="A47" s="139" t="s">
        <v>317</v>
      </c>
      <c r="B47" s="85"/>
      <c r="C47" s="85"/>
      <c r="D47" s="85"/>
      <c r="E47" s="85"/>
      <c r="F47" s="85"/>
      <c r="G47" s="85"/>
      <c r="H47" s="85"/>
      <c r="I47" s="223">
        <f>I40+I43</f>
        <v>910909.12435155339</v>
      </c>
      <c r="J47" s="85"/>
      <c r="K47" s="85"/>
      <c r="L47" s="85"/>
      <c r="M47" s="85"/>
      <c r="N47" s="85"/>
      <c r="O47" s="85"/>
      <c r="P47" s="85"/>
      <c r="Q47" s="85"/>
      <c r="R47" s="85"/>
      <c r="S47" s="85"/>
      <c r="T47" s="85"/>
      <c r="U47" s="85"/>
      <c r="V47" s="85"/>
      <c r="W47" s="85"/>
      <c r="X47" s="85"/>
      <c r="Y47" s="85"/>
    </row>
    <row r="48" spans="1:25" ht="13.8">
      <c r="A48" s="89"/>
      <c r="B48" s="85"/>
      <c r="C48" s="85"/>
      <c r="D48" s="85"/>
      <c r="E48" s="85"/>
      <c r="F48" s="85"/>
      <c r="G48" s="85"/>
      <c r="H48" s="85"/>
      <c r="I48" s="85"/>
      <c r="J48" s="85"/>
      <c r="K48" s="89"/>
      <c r="L48" s="85"/>
      <c r="M48" s="85"/>
      <c r="N48" s="85"/>
      <c r="O48" s="85"/>
      <c r="P48" s="85"/>
      <c r="Q48" s="85"/>
      <c r="R48" s="85"/>
      <c r="S48" s="85"/>
      <c r="T48" s="85"/>
      <c r="U48" s="85"/>
      <c r="V48" s="85"/>
      <c r="W48" s="85"/>
      <c r="X48" s="85"/>
      <c r="Y48" s="85"/>
    </row>
    <row r="49" spans="1:25" ht="13.8">
      <c r="A49" s="139" t="s">
        <v>318</v>
      </c>
      <c r="B49" s="85"/>
      <c r="C49" s="85"/>
      <c r="D49" s="85"/>
      <c r="E49" s="85"/>
      <c r="F49" s="85"/>
      <c r="G49" s="85"/>
      <c r="H49" s="85"/>
      <c r="I49" s="85"/>
      <c r="J49" s="85"/>
      <c r="K49" s="85"/>
      <c r="L49" s="85"/>
      <c r="M49" s="85"/>
      <c r="N49" s="85"/>
      <c r="O49" s="85"/>
      <c r="P49" s="85"/>
      <c r="Q49" s="85"/>
      <c r="R49" s="85"/>
      <c r="S49" s="85"/>
      <c r="T49" s="85"/>
      <c r="U49" s="85"/>
      <c r="V49" s="85"/>
      <c r="W49" s="85"/>
      <c r="X49" s="85"/>
      <c r="Y49" s="85"/>
    </row>
    <row r="50" spans="1:25" ht="13.8">
      <c r="A50" s="89" t="s">
        <v>319</v>
      </c>
      <c r="B50" s="85"/>
      <c r="C50" s="85"/>
      <c r="D50" s="85"/>
      <c r="E50" s="85"/>
      <c r="F50" s="85"/>
      <c r="G50" s="85"/>
      <c r="H50" s="85"/>
      <c r="I50" s="115">
        <f>'Balance Sheet'!I8</f>
        <v>1961956</v>
      </c>
      <c r="J50" s="85"/>
      <c r="K50" s="85"/>
      <c r="L50" s="85"/>
      <c r="M50" s="85"/>
      <c r="N50" s="85"/>
      <c r="O50" s="85"/>
      <c r="P50" s="85"/>
      <c r="Q50" s="85"/>
      <c r="R50" s="85"/>
      <c r="S50" s="85"/>
      <c r="T50" s="85"/>
      <c r="U50" s="85"/>
      <c r="V50" s="85"/>
      <c r="W50" s="85"/>
      <c r="X50" s="85"/>
      <c r="Y50" s="85"/>
    </row>
    <row r="51" spans="1:25" ht="13.8">
      <c r="A51" s="89" t="s">
        <v>320</v>
      </c>
      <c r="B51" s="85"/>
      <c r="C51" s="85"/>
      <c r="D51" s="85"/>
      <c r="E51" s="85"/>
      <c r="F51" s="85"/>
      <c r="G51" s="85"/>
      <c r="H51" s="85"/>
      <c r="I51" s="224">
        <v>0</v>
      </c>
      <c r="J51" s="85"/>
      <c r="K51" s="85"/>
      <c r="L51" s="85"/>
      <c r="M51" s="85"/>
      <c r="N51" s="85"/>
      <c r="O51" s="85"/>
      <c r="P51" s="85"/>
      <c r="Q51" s="85"/>
      <c r="R51" s="85"/>
      <c r="S51" s="85"/>
      <c r="T51" s="85"/>
      <c r="U51" s="85"/>
      <c r="V51" s="85"/>
      <c r="W51" s="85"/>
      <c r="X51" s="85"/>
      <c r="Y51" s="85"/>
    </row>
    <row r="52" spans="1:25" ht="13.8">
      <c r="A52" s="89" t="s">
        <v>321</v>
      </c>
      <c r="B52" s="85"/>
      <c r="C52" s="85"/>
      <c r="D52" s="85"/>
      <c r="E52" s="85"/>
      <c r="F52" s="85"/>
      <c r="G52" s="85"/>
      <c r="H52" s="85"/>
      <c r="I52" s="224">
        <v>0</v>
      </c>
      <c r="J52" s="85"/>
      <c r="K52" s="85"/>
      <c r="L52" s="85"/>
      <c r="M52" s="85"/>
      <c r="N52" s="85"/>
      <c r="O52" s="85"/>
      <c r="P52" s="85"/>
      <c r="Q52" s="85"/>
      <c r="R52" s="85"/>
      <c r="S52" s="85"/>
      <c r="T52" s="85"/>
      <c r="U52" s="85"/>
      <c r="V52" s="85"/>
      <c r="W52" s="85"/>
      <c r="X52" s="85"/>
      <c r="Y52" s="85"/>
    </row>
    <row r="53" spans="1:25" ht="13.8">
      <c r="A53" s="89"/>
      <c r="B53" s="85"/>
      <c r="C53" s="85"/>
      <c r="D53" s="85"/>
      <c r="E53" s="85"/>
      <c r="F53" s="85"/>
      <c r="G53" s="85"/>
      <c r="H53" s="85"/>
      <c r="I53" s="85"/>
      <c r="J53" s="85"/>
      <c r="K53" s="85"/>
      <c r="L53" s="85"/>
      <c r="M53" s="85"/>
      <c r="N53" s="85"/>
      <c r="O53" s="85"/>
      <c r="P53" s="85"/>
      <c r="Q53" s="85"/>
      <c r="R53" s="85"/>
      <c r="S53" s="85"/>
      <c r="T53" s="85"/>
      <c r="U53" s="85"/>
      <c r="V53" s="85"/>
      <c r="W53" s="85"/>
      <c r="X53" s="85"/>
      <c r="Y53" s="85"/>
    </row>
    <row r="54" spans="1:25" ht="13.8">
      <c r="A54" s="139" t="s">
        <v>322</v>
      </c>
      <c r="B54" s="85"/>
      <c r="C54" s="85"/>
      <c r="D54" s="85"/>
      <c r="E54" s="85"/>
      <c r="F54" s="85"/>
      <c r="G54" s="85"/>
      <c r="H54" s="85"/>
      <c r="I54" s="223">
        <f>I47+I50+I51+I52</f>
        <v>2872865.1243515536</v>
      </c>
      <c r="J54" s="85"/>
      <c r="K54" s="85"/>
      <c r="L54" s="85"/>
      <c r="M54" s="85"/>
      <c r="N54" s="85"/>
      <c r="O54" s="85"/>
      <c r="P54" s="85"/>
      <c r="Q54" s="85"/>
      <c r="R54" s="85"/>
      <c r="S54" s="85"/>
      <c r="T54" s="85"/>
      <c r="U54" s="85"/>
      <c r="V54" s="85"/>
      <c r="W54" s="85"/>
      <c r="X54" s="85"/>
      <c r="Y54" s="85"/>
    </row>
    <row r="55" spans="1:25" ht="13.8">
      <c r="A55" s="89"/>
      <c r="B55" s="85"/>
      <c r="C55" s="85"/>
      <c r="D55" s="85"/>
      <c r="E55" s="85"/>
      <c r="F55" s="85"/>
      <c r="G55" s="85"/>
      <c r="H55" s="85"/>
      <c r="I55" s="85"/>
      <c r="J55" s="85"/>
      <c r="K55" s="85"/>
      <c r="L55" s="85"/>
      <c r="M55" s="85"/>
      <c r="N55" s="85"/>
      <c r="O55" s="85"/>
      <c r="P55" s="85"/>
      <c r="Q55" s="85"/>
      <c r="R55" s="85"/>
      <c r="S55" s="85"/>
      <c r="T55" s="85"/>
      <c r="U55" s="85"/>
      <c r="V55" s="85"/>
      <c r="W55" s="85"/>
      <c r="X55" s="85"/>
      <c r="Y55" s="85"/>
    </row>
    <row r="56" spans="1:25" ht="13.8">
      <c r="A56" s="139" t="s">
        <v>323</v>
      </c>
      <c r="B56" s="85"/>
      <c r="C56" s="85"/>
      <c r="D56" s="85"/>
      <c r="E56" s="85"/>
      <c r="F56" s="85"/>
      <c r="G56" s="85"/>
      <c r="H56" s="85"/>
      <c r="I56" s="85"/>
      <c r="J56" s="85"/>
      <c r="K56" s="85"/>
      <c r="L56" s="85"/>
      <c r="M56" s="85"/>
      <c r="N56" s="85"/>
      <c r="O56" s="85"/>
      <c r="P56" s="85"/>
      <c r="Q56" s="85"/>
      <c r="R56" s="85"/>
      <c r="S56" s="85"/>
      <c r="T56" s="85"/>
      <c r="U56" s="85"/>
      <c r="V56" s="85"/>
      <c r="W56" s="85"/>
      <c r="X56" s="85"/>
      <c r="Y56" s="85"/>
    </row>
    <row r="57" spans="1:25" ht="13.8">
      <c r="A57" s="89" t="s">
        <v>324</v>
      </c>
      <c r="B57" s="85"/>
      <c r="C57" s="85"/>
      <c r="D57" s="85"/>
      <c r="E57" s="85"/>
      <c r="F57" s="85"/>
      <c r="G57" s="85"/>
      <c r="H57" s="85"/>
      <c r="I57" s="114">
        <f>-('Balance Sheet'!I27+'Balance Sheet'!I32)</f>
        <v>-79985</v>
      </c>
      <c r="J57" s="85"/>
      <c r="K57" s="85"/>
      <c r="L57" s="85"/>
      <c r="M57" s="85"/>
      <c r="N57" s="85"/>
      <c r="O57" s="85"/>
      <c r="P57" s="85"/>
      <c r="Q57" s="85"/>
      <c r="R57" s="85"/>
      <c r="S57" s="85"/>
      <c r="T57" s="85"/>
      <c r="U57" s="85"/>
      <c r="V57" s="85"/>
      <c r="W57" s="85"/>
      <c r="X57" s="85"/>
      <c r="Y57" s="85"/>
    </row>
    <row r="58" spans="1:25" ht="13.8">
      <c r="A58" s="89" t="s">
        <v>325</v>
      </c>
      <c r="B58" s="85"/>
      <c r="C58" s="85"/>
      <c r="D58" s="85"/>
      <c r="E58" s="85"/>
      <c r="F58" s="85"/>
      <c r="G58" s="85"/>
      <c r="H58" s="85"/>
      <c r="I58" s="106">
        <f>-('Stock Comp Outstanding'!B30)/1000</f>
        <v>-270.47233741726831</v>
      </c>
      <c r="J58" s="85"/>
      <c r="K58" s="85"/>
      <c r="L58" s="85"/>
      <c r="M58" s="85"/>
      <c r="N58" s="85"/>
      <c r="O58" s="85"/>
      <c r="P58" s="85"/>
      <c r="Q58" s="85"/>
      <c r="R58" s="85"/>
      <c r="S58" s="85"/>
      <c r="T58" s="85"/>
      <c r="U58" s="85"/>
      <c r="V58" s="85"/>
      <c r="W58" s="85"/>
      <c r="X58" s="85"/>
      <c r="Y58" s="85"/>
    </row>
    <row r="59" spans="1:25" ht="13.8">
      <c r="A59" s="89"/>
      <c r="B59" s="85"/>
      <c r="C59" s="85"/>
      <c r="D59" s="85"/>
      <c r="E59" s="85"/>
      <c r="F59" s="85"/>
      <c r="G59" s="85"/>
      <c r="H59" s="85"/>
      <c r="I59" s="85"/>
      <c r="J59" s="85"/>
      <c r="K59" s="85"/>
      <c r="L59" s="85"/>
      <c r="M59" s="85"/>
      <c r="N59" s="85"/>
      <c r="O59" s="85"/>
      <c r="P59" s="85"/>
      <c r="Q59" s="85"/>
      <c r="R59" s="85"/>
      <c r="S59" s="85"/>
      <c r="T59" s="85"/>
      <c r="U59" s="85"/>
      <c r="V59" s="85"/>
      <c r="W59" s="85"/>
      <c r="X59" s="85"/>
      <c r="Y59" s="85"/>
    </row>
    <row r="60" spans="1:25" ht="13.8">
      <c r="A60" s="139" t="s">
        <v>326</v>
      </c>
      <c r="B60" s="85"/>
      <c r="C60" s="85"/>
      <c r="D60" s="85"/>
      <c r="E60" s="85"/>
      <c r="F60" s="85"/>
      <c r="G60" s="85"/>
      <c r="H60" s="85"/>
      <c r="I60" s="114">
        <f>I54+I57+I58</f>
        <v>2792609.6520141363</v>
      </c>
      <c r="J60" s="85"/>
      <c r="K60" s="85"/>
      <c r="L60" s="85"/>
      <c r="M60" s="85"/>
      <c r="N60" s="85"/>
      <c r="O60" s="85"/>
      <c r="P60" s="85"/>
      <c r="Q60" s="85"/>
      <c r="R60" s="85"/>
      <c r="S60" s="85"/>
      <c r="T60" s="85"/>
      <c r="U60" s="85"/>
      <c r="V60" s="85"/>
      <c r="W60" s="85"/>
      <c r="X60" s="85"/>
      <c r="Y60" s="85"/>
    </row>
    <row r="61" spans="1:25" ht="13.8">
      <c r="A61" s="89" t="s">
        <v>327</v>
      </c>
      <c r="B61" s="85"/>
      <c r="C61" s="85"/>
      <c r="D61" s="85"/>
      <c r="E61" s="85"/>
      <c r="F61" s="85"/>
      <c r="G61" s="85"/>
      <c r="H61" s="85"/>
      <c r="I61" s="225">
        <f>'Stock Comp Outstanding'!B13</f>
        <v>137668</v>
      </c>
      <c r="J61" s="85"/>
      <c r="K61" s="85"/>
      <c r="L61" s="85"/>
      <c r="M61" s="85"/>
      <c r="N61" s="85"/>
      <c r="O61" s="85"/>
      <c r="P61" s="85"/>
      <c r="Q61" s="85"/>
      <c r="R61" s="85"/>
      <c r="S61" s="85"/>
      <c r="T61" s="85"/>
      <c r="U61" s="85"/>
      <c r="V61" s="85"/>
      <c r="W61" s="85"/>
      <c r="X61" s="85"/>
      <c r="Y61" s="85"/>
    </row>
    <row r="62" spans="1:25" ht="13.8">
      <c r="A62" s="89"/>
      <c r="B62" s="85"/>
      <c r="C62" s="85"/>
      <c r="D62" s="85"/>
      <c r="E62" s="85"/>
      <c r="F62" s="85"/>
      <c r="G62" s="85"/>
      <c r="H62" s="85"/>
      <c r="I62" s="85"/>
      <c r="J62" s="85"/>
      <c r="K62" s="85"/>
      <c r="L62" s="85"/>
      <c r="M62" s="85"/>
      <c r="N62" s="85"/>
      <c r="O62" s="85"/>
      <c r="P62" s="85"/>
      <c r="Q62" s="85"/>
      <c r="R62" s="85"/>
      <c r="S62" s="85"/>
      <c r="T62" s="85"/>
      <c r="U62" s="85"/>
      <c r="V62" s="85"/>
      <c r="W62" s="85"/>
      <c r="X62" s="85"/>
      <c r="Y62" s="85"/>
    </row>
    <row r="63" spans="1:25" ht="13.8">
      <c r="A63" s="89" t="s">
        <v>328</v>
      </c>
      <c r="B63" s="85"/>
      <c r="C63" s="85"/>
      <c r="D63" s="85"/>
      <c r="E63" s="85"/>
      <c r="F63" s="85"/>
      <c r="G63" s="85"/>
      <c r="H63" s="226">
        <v>44926</v>
      </c>
      <c r="I63" s="106">
        <f>I60/I61</f>
        <v>20.285103669800797</v>
      </c>
      <c r="J63" s="85"/>
      <c r="K63" s="85"/>
      <c r="L63" s="85"/>
      <c r="M63" s="85"/>
      <c r="N63" s="85"/>
      <c r="O63" s="85"/>
      <c r="P63" s="85"/>
      <c r="Q63" s="85"/>
      <c r="R63" s="85"/>
      <c r="S63" s="85"/>
      <c r="T63" s="85"/>
      <c r="U63" s="85"/>
      <c r="V63" s="85"/>
      <c r="W63" s="85"/>
      <c r="X63" s="85"/>
      <c r="Y63" s="85"/>
    </row>
    <row r="64" spans="1:25" ht="13.8">
      <c r="A64" s="139" t="s">
        <v>329</v>
      </c>
      <c r="B64" s="85"/>
      <c r="C64" s="85"/>
      <c r="D64" s="85"/>
      <c r="E64" s="85"/>
      <c r="F64" s="85"/>
      <c r="G64" s="85"/>
      <c r="H64" s="226">
        <v>44984</v>
      </c>
      <c r="I64" s="106">
        <f>I63*(1+'Cost of Capital'!G16)^(_xlfn.DAYS(H64,H63)/365)</f>
        <v>20.593919614681262</v>
      </c>
      <c r="J64" s="85"/>
      <c r="K64" s="85"/>
      <c r="L64" s="85"/>
      <c r="M64" s="85"/>
      <c r="N64" s="85"/>
      <c r="O64" s="85"/>
      <c r="P64" s="85"/>
      <c r="Q64" s="85"/>
      <c r="R64" s="85"/>
      <c r="S64" s="85"/>
      <c r="T64" s="85"/>
      <c r="U64" s="85"/>
      <c r="V64" s="85"/>
      <c r="W64" s="85"/>
      <c r="X64" s="85"/>
      <c r="Y64" s="85"/>
    </row>
    <row r="65" spans="1:25" ht="13.8">
      <c r="A65" s="85"/>
      <c r="B65" s="85"/>
      <c r="C65" s="85"/>
      <c r="D65" s="85"/>
      <c r="E65" s="85"/>
      <c r="F65" s="85"/>
      <c r="G65" s="85"/>
      <c r="H65" s="85"/>
      <c r="I65" s="85"/>
      <c r="J65" s="85"/>
      <c r="K65" s="85"/>
      <c r="L65" s="85"/>
      <c r="M65" s="85"/>
      <c r="N65" s="85"/>
      <c r="O65" s="85"/>
      <c r="P65" s="85"/>
      <c r="Q65" s="85"/>
      <c r="R65" s="85"/>
      <c r="S65" s="85"/>
      <c r="T65" s="85"/>
      <c r="U65" s="85"/>
      <c r="V65" s="85"/>
      <c r="W65" s="85"/>
      <c r="X65" s="85"/>
      <c r="Y65" s="85"/>
    </row>
    <row r="66" spans="1:25" ht="13.8">
      <c r="A66" s="89"/>
      <c r="B66" s="85"/>
      <c r="C66" s="85"/>
      <c r="D66" s="85"/>
      <c r="E66" s="85"/>
      <c r="F66" s="85"/>
      <c r="G66" s="85"/>
      <c r="H66" s="85"/>
      <c r="I66" s="85"/>
      <c r="J66" s="85"/>
      <c r="K66" s="85"/>
      <c r="L66" s="85"/>
      <c r="M66" s="85"/>
      <c r="N66" s="85"/>
      <c r="O66" s="85"/>
      <c r="P66" s="85"/>
      <c r="Q66" s="85"/>
      <c r="R66" s="85"/>
      <c r="S66" s="85"/>
      <c r="T66" s="85"/>
      <c r="U66" s="85"/>
      <c r="V66" s="85"/>
      <c r="W66" s="85"/>
      <c r="X66" s="85"/>
      <c r="Y66" s="85"/>
    </row>
    <row r="67" spans="1:25" ht="13.8">
      <c r="A67" s="85"/>
      <c r="B67" s="85"/>
      <c r="C67" s="85"/>
      <c r="D67" s="85"/>
      <c r="E67" s="85"/>
      <c r="F67" s="85"/>
      <c r="G67" s="85"/>
      <c r="H67" s="85"/>
      <c r="I67" s="85"/>
      <c r="J67" s="85"/>
      <c r="K67" s="85"/>
      <c r="L67" s="85"/>
      <c r="M67" s="85"/>
      <c r="N67" s="85"/>
      <c r="O67" s="85"/>
      <c r="P67" s="85"/>
      <c r="Q67" s="85"/>
      <c r="R67" s="85"/>
      <c r="S67" s="85"/>
      <c r="T67" s="85"/>
      <c r="U67" s="85"/>
      <c r="V67" s="85"/>
      <c r="W67" s="85"/>
      <c r="X67" s="85"/>
      <c r="Y67" s="85"/>
    </row>
    <row r="68" spans="1:25" ht="13.8">
      <c r="A68" s="85"/>
      <c r="B68" s="85"/>
      <c r="C68" s="85"/>
      <c r="D68" s="85"/>
      <c r="E68" s="85"/>
      <c r="F68" s="85"/>
      <c r="G68" s="85"/>
      <c r="H68" s="85"/>
      <c r="I68" s="85"/>
      <c r="J68" s="85"/>
      <c r="K68" s="85"/>
      <c r="L68" s="85"/>
      <c r="M68" s="85"/>
      <c r="N68" s="85"/>
      <c r="O68" s="85"/>
      <c r="P68" s="85"/>
      <c r="Q68" s="85"/>
      <c r="R68" s="85"/>
      <c r="S68" s="85"/>
      <c r="T68" s="85"/>
      <c r="U68" s="85"/>
      <c r="V68" s="85"/>
      <c r="W68" s="85"/>
      <c r="X68" s="85"/>
      <c r="Y68" s="85"/>
    </row>
    <row r="69" spans="1:25" ht="13.8">
      <c r="A69" s="85"/>
      <c r="B69" s="85"/>
      <c r="C69" s="85"/>
      <c r="D69" s="85"/>
      <c r="E69" s="85"/>
      <c r="F69" s="85"/>
      <c r="G69" s="85"/>
      <c r="H69" s="85"/>
      <c r="I69" s="85"/>
      <c r="J69" s="85"/>
      <c r="K69" s="85"/>
      <c r="L69" s="85"/>
      <c r="M69" s="85"/>
      <c r="N69" s="85"/>
      <c r="O69" s="85"/>
      <c r="P69" s="85"/>
      <c r="Q69" s="85"/>
      <c r="R69" s="85"/>
      <c r="S69" s="85"/>
      <c r="T69" s="85"/>
      <c r="U69" s="85"/>
      <c r="V69" s="85"/>
      <c r="W69" s="85"/>
      <c r="X69" s="85"/>
      <c r="Y69" s="85"/>
    </row>
    <row r="70" spans="1:25" ht="13.8">
      <c r="A70" s="85"/>
      <c r="B70" s="85"/>
      <c r="C70" s="85"/>
      <c r="D70" s="85"/>
      <c r="E70" s="85"/>
      <c r="F70" s="85"/>
      <c r="G70" s="85"/>
      <c r="H70" s="85"/>
      <c r="I70" s="85"/>
      <c r="J70" s="85"/>
      <c r="K70" s="85"/>
      <c r="L70" s="85"/>
      <c r="M70" s="85"/>
      <c r="N70" s="85"/>
      <c r="O70" s="85"/>
      <c r="P70" s="85"/>
      <c r="Q70" s="85"/>
      <c r="R70" s="85"/>
      <c r="S70" s="85"/>
      <c r="T70" s="85"/>
      <c r="U70" s="85"/>
      <c r="V70" s="85"/>
      <c r="W70" s="85"/>
      <c r="X70" s="85"/>
      <c r="Y70" s="85"/>
    </row>
    <row r="71" spans="1:25" ht="13.8">
      <c r="A71" s="85"/>
      <c r="B71" s="85"/>
      <c r="C71" s="85"/>
      <c r="D71" s="85"/>
      <c r="E71" s="85"/>
      <c r="F71" s="85"/>
      <c r="G71" s="85"/>
      <c r="H71" s="85"/>
      <c r="I71" s="85"/>
      <c r="J71" s="85"/>
      <c r="K71" s="85"/>
      <c r="L71" s="85"/>
      <c r="M71" s="85"/>
      <c r="N71" s="85"/>
      <c r="O71" s="85"/>
      <c r="P71" s="85"/>
      <c r="Q71" s="85"/>
      <c r="R71" s="85"/>
      <c r="S71" s="85"/>
      <c r="T71" s="85"/>
      <c r="U71" s="85"/>
      <c r="V71" s="85"/>
      <c r="W71" s="85"/>
      <c r="X71" s="85"/>
      <c r="Y71" s="85"/>
    </row>
    <row r="72" spans="1:25" ht="13.8">
      <c r="A72" s="85"/>
      <c r="B72" s="85"/>
      <c r="C72" s="85"/>
      <c r="D72" s="85"/>
      <c r="E72" s="85"/>
      <c r="F72" s="85"/>
      <c r="G72" s="85"/>
      <c r="H72" s="85"/>
      <c r="I72" s="85"/>
      <c r="J72" s="85"/>
      <c r="K72" s="85"/>
      <c r="L72" s="85"/>
      <c r="M72" s="85"/>
      <c r="N72" s="85"/>
      <c r="O72" s="85"/>
      <c r="P72" s="85"/>
      <c r="Q72" s="85"/>
      <c r="R72" s="85"/>
      <c r="S72" s="85"/>
      <c r="T72" s="85"/>
      <c r="U72" s="85"/>
      <c r="V72" s="85"/>
      <c r="W72" s="85"/>
      <c r="X72" s="85"/>
      <c r="Y72" s="85"/>
    </row>
    <row r="73" spans="1:25" ht="13.8">
      <c r="A73" s="85"/>
      <c r="B73" s="85"/>
      <c r="C73" s="85"/>
      <c r="D73" s="85"/>
      <c r="E73" s="85"/>
      <c r="F73" s="85"/>
      <c r="G73" s="85"/>
      <c r="H73" s="85"/>
      <c r="I73" s="85"/>
      <c r="J73" s="85"/>
      <c r="K73" s="85"/>
      <c r="L73" s="85"/>
      <c r="M73" s="85"/>
      <c r="N73" s="85"/>
      <c r="O73" s="85"/>
      <c r="P73" s="85"/>
      <c r="Q73" s="85"/>
      <c r="R73" s="85"/>
      <c r="S73" s="85"/>
      <c r="T73" s="85"/>
      <c r="U73" s="85"/>
      <c r="V73" s="85"/>
      <c r="W73" s="85"/>
      <c r="X73" s="85"/>
      <c r="Y73" s="85"/>
    </row>
    <row r="74" spans="1:25" ht="13.8">
      <c r="A74" s="85"/>
      <c r="B74" s="85"/>
      <c r="C74" s="85"/>
      <c r="D74" s="85"/>
      <c r="E74" s="85"/>
      <c r="F74" s="85"/>
      <c r="G74" s="85"/>
      <c r="H74" s="85"/>
      <c r="I74" s="85"/>
      <c r="J74" s="85"/>
      <c r="K74" s="85"/>
      <c r="L74" s="85"/>
      <c r="M74" s="85"/>
      <c r="N74" s="85"/>
      <c r="O74" s="85"/>
      <c r="P74" s="85"/>
      <c r="Q74" s="85"/>
      <c r="R74" s="85"/>
      <c r="S74" s="85"/>
      <c r="T74" s="85"/>
      <c r="U74" s="85"/>
      <c r="V74" s="85"/>
      <c r="W74" s="85"/>
      <c r="X74" s="85"/>
      <c r="Y74" s="85"/>
    </row>
    <row r="75" spans="1:25" ht="13.8">
      <c r="A75" s="85"/>
      <c r="B75" s="85"/>
      <c r="C75" s="85"/>
      <c r="D75" s="85"/>
      <c r="E75" s="85"/>
      <c r="F75" s="85"/>
      <c r="G75" s="85"/>
      <c r="H75" s="85"/>
      <c r="I75" s="85"/>
      <c r="J75" s="85"/>
      <c r="K75" s="85"/>
      <c r="L75" s="85"/>
      <c r="M75" s="85"/>
      <c r="N75" s="85"/>
      <c r="O75" s="85"/>
      <c r="P75" s="85"/>
      <c r="Q75" s="85"/>
      <c r="R75" s="85"/>
      <c r="S75" s="85"/>
      <c r="T75" s="85"/>
      <c r="U75" s="85"/>
      <c r="V75" s="85"/>
      <c r="W75" s="85"/>
      <c r="X75" s="85"/>
      <c r="Y75" s="85"/>
    </row>
    <row r="76" spans="1:25" ht="13.8">
      <c r="A76" s="85"/>
      <c r="B76" s="85"/>
      <c r="C76" s="85"/>
      <c r="D76" s="85"/>
      <c r="E76" s="85"/>
      <c r="F76" s="85"/>
      <c r="G76" s="85"/>
      <c r="H76" s="85"/>
      <c r="I76" s="85"/>
      <c r="J76" s="85"/>
      <c r="K76" s="85"/>
      <c r="L76" s="85"/>
      <c r="M76" s="85"/>
      <c r="N76" s="85"/>
      <c r="O76" s="85"/>
      <c r="P76" s="85"/>
      <c r="Q76" s="85"/>
      <c r="R76" s="85"/>
      <c r="S76" s="85"/>
      <c r="T76" s="85"/>
      <c r="U76" s="85"/>
      <c r="V76" s="85"/>
      <c r="W76" s="85"/>
      <c r="X76" s="85"/>
      <c r="Y76" s="85"/>
    </row>
    <row r="77" spans="1:25" ht="13.8">
      <c r="A77" s="85"/>
      <c r="B77" s="85"/>
      <c r="C77" s="85"/>
      <c r="D77" s="85"/>
      <c r="E77" s="85"/>
      <c r="F77" s="85"/>
      <c r="G77" s="85"/>
      <c r="H77" s="85"/>
      <c r="I77" s="85"/>
      <c r="J77" s="85"/>
      <c r="K77" s="85"/>
      <c r="L77" s="85"/>
      <c r="M77" s="85"/>
      <c r="N77" s="85"/>
      <c r="O77" s="85"/>
      <c r="P77" s="85"/>
      <c r="Q77" s="85"/>
      <c r="R77" s="85"/>
      <c r="S77" s="85"/>
      <c r="T77" s="85"/>
      <c r="U77" s="85"/>
      <c r="V77" s="85"/>
      <c r="W77" s="85"/>
      <c r="X77" s="85"/>
      <c r="Y77" s="85"/>
    </row>
    <row r="78" spans="1:25" ht="13.8">
      <c r="A78" s="85"/>
      <c r="B78" s="85"/>
      <c r="C78" s="85"/>
      <c r="D78" s="85"/>
      <c r="E78" s="85"/>
      <c r="F78" s="85"/>
      <c r="G78" s="85"/>
      <c r="H78" s="85"/>
      <c r="I78" s="85"/>
      <c r="J78" s="85"/>
      <c r="K78" s="85"/>
      <c r="L78" s="85"/>
      <c r="M78" s="85"/>
      <c r="N78" s="85"/>
      <c r="O78" s="85"/>
      <c r="P78" s="85"/>
      <c r="Q78" s="85"/>
      <c r="R78" s="85"/>
      <c r="S78" s="85"/>
      <c r="T78" s="85"/>
      <c r="U78" s="85"/>
      <c r="V78" s="85"/>
      <c r="W78" s="85"/>
      <c r="X78" s="85"/>
      <c r="Y78" s="85"/>
    </row>
    <row r="79" spans="1:25" ht="13.8">
      <c r="A79" s="85"/>
      <c r="B79" s="85"/>
      <c r="C79" s="85"/>
      <c r="D79" s="85"/>
      <c r="E79" s="85"/>
      <c r="F79" s="85"/>
      <c r="G79" s="85"/>
      <c r="H79" s="85"/>
      <c r="I79" s="85"/>
      <c r="J79" s="85"/>
      <c r="K79" s="85"/>
      <c r="L79" s="85"/>
      <c r="M79" s="85"/>
      <c r="N79" s="85"/>
      <c r="O79" s="85"/>
      <c r="P79" s="85"/>
      <c r="Q79" s="85"/>
      <c r="R79" s="85"/>
      <c r="S79" s="85"/>
      <c r="T79" s="85"/>
      <c r="U79" s="85"/>
      <c r="V79" s="85"/>
      <c r="W79" s="85"/>
      <c r="X79" s="85"/>
      <c r="Y79" s="85"/>
    </row>
    <row r="80" spans="1:25" ht="13.8">
      <c r="A80" s="85"/>
      <c r="B80" s="85"/>
      <c r="C80" s="85"/>
      <c r="D80" s="85"/>
      <c r="E80" s="85"/>
      <c r="F80" s="85"/>
      <c r="G80" s="85"/>
      <c r="H80" s="85"/>
      <c r="I80" s="85"/>
      <c r="J80" s="85"/>
      <c r="K80" s="85"/>
      <c r="L80" s="85"/>
      <c r="M80" s="85"/>
      <c r="N80" s="85"/>
      <c r="O80" s="85"/>
      <c r="P80" s="85"/>
      <c r="Q80" s="85"/>
      <c r="R80" s="85"/>
      <c r="S80" s="85"/>
      <c r="T80" s="85"/>
      <c r="U80" s="85"/>
      <c r="V80" s="85"/>
      <c r="W80" s="85"/>
      <c r="X80" s="85"/>
      <c r="Y80" s="85"/>
    </row>
    <row r="81" spans="1:25" ht="13.8">
      <c r="A81" s="85"/>
      <c r="B81" s="85"/>
      <c r="C81" s="85"/>
      <c r="D81" s="85"/>
      <c r="E81" s="85"/>
      <c r="F81" s="85"/>
      <c r="G81" s="85"/>
      <c r="H81" s="85"/>
      <c r="I81" s="85"/>
      <c r="J81" s="85"/>
      <c r="K81" s="85"/>
      <c r="L81" s="85"/>
      <c r="M81" s="85"/>
      <c r="N81" s="85"/>
      <c r="O81" s="85"/>
      <c r="P81" s="85"/>
      <c r="Q81" s="85"/>
      <c r="R81" s="85"/>
      <c r="S81" s="85"/>
      <c r="T81" s="85"/>
      <c r="U81" s="85"/>
      <c r="V81" s="85"/>
      <c r="W81" s="85"/>
      <c r="X81" s="85"/>
      <c r="Y81" s="85"/>
    </row>
    <row r="82" spans="1:25" ht="13.8">
      <c r="A82" s="85"/>
      <c r="B82" s="85"/>
      <c r="C82" s="85"/>
      <c r="D82" s="85"/>
      <c r="E82" s="85"/>
      <c r="F82" s="85"/>
      <c r="G82" s="85"/>
      <c r="H82" s="85"/>
      <c r="I82" s="85"/>
      <c r="J82" s="85"/>
      <c r="K82" s="85"/>
      <c r="L82" s="85"/>
      <c r="M82" s="85"/>
      <c r="N82" s="85"/>
      <c r="O82" s="85"/>
      <c r="P82" s="85"/>
      <c r="Q82" s="85"/>
      <c r="R82" s="85"/>
      <c r="S82" s="85"/>
      <c r="T82" s="85"/>
      <c r="U82" s="85"/>
      <c r="V82" s="85"/>
      <c r="W82" s="85"/>
      <c r="X82" s="85"/>
      <c r="Y82" s="85"/>
    </row>
    <row r="83" spans="1:25" ht="13.8">
      <c r="A83" s="85"/>
      <c r="B83" s="85"/>
      <c r="C83" s="85"/>
      <c r="D83" s="85"/>
      <c r="E83" s="85"/>
      <c r="F83" s="85"/>
      <c r="G83" s="85"/>
      <c r="H83" s="85"/>
      <c r="I83" s="85"/>
      <c r="J83" s="85"/>
      <c r="K83" s="85"/>
      <c r="L83" s="85"/>
      <c r="M83" s="85"/>
      <c r="N83" s="85"/>
      <c r="O83" s="85"/>
      <c r="P83" s="85"/>
      <c r="Q83" s="85"/>
      <c r="R83" s="85"/>
      <c r="S83" s="85"/>
      <c r="T83" s="85"/>
      <c r="U83" s="85"/>
      <c r="V83" s="85"/>
      <c r="W83" s="85"/>
      <c r="X83" s="85"/>
      <c r="Y83" s="85"/>
    </row>
    <row r="84" spans="1:25" ht="13.8">
      <c r="A84" s="85"/>
      <c r="B84" s="85"/>
      <c r="C84" s="85"/>
      <c r="D84" s="85"/>
      <c r="E84" s="85"/>
      <c r="F84" s="85"/>
      <c r="G84" s="85"/>
      <c r="H84" s="85"/>
      <c r="I84" s="85"/>
      <c r="J84" s="85"/>
      <c r="K84" s="85"/>
      <c r="L84" s="85"/>
      <c r="M84" s="85"/>
      <c r="N84" s="85"/>
      <c r="O84" s="85"/>
      <c r="P84" s="85"/>
      <c r="Q84" s="85"/>
      <c r="R84" s="85"/>
      <c r="S84" s="85"/>
      <c r="T84" s="85"/>
      <c r="U84" s="85"/>
      <c r="V84" s="85"/>
      <c r="W84" s="85"/>
      <c r="X84" s="85"/>
      <c r="Y84" s="85"/>
    </row>
    <row r="85" spans="1:25" ht="13.8">
      <c r="A85" s="85"/>
      <c r="B85" s="85"/>
      <c r="C85" s="85"/>
      <c r="D85" s="85"/>
      <c r="E85" s="85"/>
      <c r="F85" s="85"/>
      <c r="G85" s="85"/>
      <c r="H85" s="85"/>
      <c r="I85" s="85"/>
      <c r="J85" s="85"/>
      <c r="K85" s="85"/>
      <c r="L85" s="85"/>
      <c r="M85" s="85"/>
      <c r="N85" s="85"/>
      <c r="O85" s="85"/>
      <c r="P85" s="85"/>
      <c r="Q85" s="85"/>
      <c r="R85" s="85"/>
      <c r="S85" s="85"/>
      <c r="T85" s="85"/>
      <c r="U85" s="85"/>
      <c r="V85" s="85"/>
      <c r="W85" s="85"/>
      <c r="X85" s="85"/>
      <c r="Y85" s="85"/>
    </row>
    <row r="86" spans="1:25" ht="13.8">
      <c r="A86" s="85"/>
      <c r="B86" s="85"/>
      <c r="C86" s="85"/>
      <c r="D86" s="85"/>
      <c r="E86" s="85"/>
      <c r="F86" s="85"/>
      <c r="G86" s="85"/>
      <c r="H86" s="85"/>
      <c r="I86" s="85"/>
      <c r="J86" s="85"/>
      <c r="K86" s="85"/>
      <c r="L86" s="85"/>
      <c r="M86" s="85"/>
      <c r="N86" s="85"/>
      <c r="O86" s="85"/>
      <c r="P86" s="85"/>
      <c r="Q86" s="85"/>
      <c r="R86" s="85"/>
      <c r="S86" s="85"/>
      <c r="T86" s="85"/>
      <c r="U86" s="85"/>
      <c r="V86" s="85"/>
      <c r="W86" s="85"/>
      <c r="X86" s="85"/>
      <c r="Y86" s="85"/>
    </row>
    <row r="87" spans="1:25" ht="13.8">
      <c r="A87" s="85"/>
      <c r="B87" s="85"/>
      <c r="C87" s="85"/>
      <c r="D87" s="85"/>
      <c r="E87" s="85"/>
      <c r="F87" s="85"/>
      <c r="G87" s="85"/>
      <c r="H87" s="85"/>
      <c r="I87" s="85"/>
      <c r="J87" s="85"/>
      <c r="K87" s="85"/>
      <c r="L87" s="85"/>
      <c r="M87" s="85"/>
      <c r="N87" s="85"/>
      <c r="O87" s="85"/>
      <c r="P87" s="85"/>
      <c r="Q87" s="85"/>
      <c r="R87" s="85"/>
      <c r="S87" s="85"/>
      <c r="T87" s="85"/>
      <c r="U87" s="85"/>
      <c r="V87" s="85"/>
      <c r="W87" s="85"/>
      <c r="X87" s="85"/>
      <c r="Y87" s="85"/>
    </row>
    <row r="88" spans="1:25" ht="13.8">
      <c r="A88" s="85"/>
      <c r="B88" s="85"/>
      <c r="C88" s="85"/>
      <c r="D88" s="85"/>
      <c r="E88" s="85"/>
      <c r="F88" s="85"/>
      <c r="G88" s="85"/>
      <c r="H88" s="85"/>
      <c r="I88" s="85"/>
      <c r="J88" s="85"/>
      <c r="K88" s="85"/>
      <c r="L88" s="85"/>
      <c r="M88" s="85"/>
      <c r="N88" s="85"/>
      <c r="O88" s="85"/>
      <c r="P88" s="85"/>
      <c r="Q88" s="85"/>
      <c r="R88" s="85"/>
      <c r="S88" s="85"/>
      <c r="T88" s="85"/>
      <c r="U88" s="85"/>
      <c r="V88" s="85"/>
      <c r="W88" s="85"/>
      <c r="X88" s="85"/>
      <c r="Y88" s="85"/>
    </row>
    <row r="89" spans="1:25" ht="13.8">
      <c r="A89" s="85"/>
      <c r="B89" s="85"/>
      <c r="C89" s="85"/>
      <c r="D89" s="85"/>
      <c r="E89" s="85"/>
      <c r="F89" s="85"/>
      <c r="G89" s="85"/>
      <c r="H89" s="85"/>
      <c r="I89" s="85"/>
      <c r="J89" s="85"/>
      <c r="K89" s="85"/>
      <c r="L89" s="85"/>
      <c r="M89" s="85"/>
      <c r="N89" s="85"/>
      <c r="O89" s="85"/>
      <c r="P89" s="85"/>
      <c r="Q89" s="85"/>
      <c r="R89" s="85"/>
      <c r="S89" s="85"/>
      <c r="T89" s="85"/>
      <c r="U89" s="85"/>
      <c r="V89" s="85"/>
      <c r="W89" s="85"/>
      <c r="X89" s="85"/>
      <c r="Y89" s="85"/>
    </row>
    <row r="90" spans="1:25" ht="13.8">
      <c r="A90" s="85"/>
      <c r="B90" s="85"/>
      <c r="C90" s="85"/>
      <c r="D90" s="85"/>
      <c r="E90" s="85"/>
      <c r="F90" s="85"/>
      <c r="G90" s="85"/>
      <c r="H90" s="85"/>
      <c r="I90" s="85"/>
      <c r="J90" s="85"/>
      <c r="K90" s="85"/>
      <c r="L90" s="85"/>
      <c r="M90" s="85"/>
      <c r="N90" s="85"/>
      <c r="O90" s="85"/>
      <c r="P90" s="85"/>
      <c r="Q90" s="85"/>
      <c r="R90" s="85"/>
      <c r="S90" s="85"/>
      <c r="T90" s="85"/>
      <c r="U90" s="85"/>
      <c r="V90" s="85"/>
      <c r="W90" s="85"/>
      <c r="X90" s="85"/>
      <c r="Y90" s="85"/>
    </row>
    <row r="91" spans="1:25" ht="13.8">
      <c r="A91" s="85"/>
      <c r="B91" s="85"/>
      <c r="C91" s="85"/>
      <c r="D91" s="85"/>
      <c r="E91" s="85"/>
      <c r="F91" s="85"/>
      <c r="G91" s="85"/>
      <c r="H91" s="85"/>
      <c r="I91" s="85"/>
      <c r="J91" s="85"/>
      <c r="K91" s="85"/>
      <c r="L91" s="85"/>
      <c r="M91" s="85"/>
      <c r="N91" s="85"/>
      <c r="O91" s="85"/>
      <c r="P91" s="85"/>
      <c r="Q91" s="85"/>
      <c r="R91" s="85"/>
      <c r="S91" s="85"/>
      <c r="T91" s="85"/>
      <c r="U91" s="85"/>
      <c r="V91" s="85"/>
      <c r="W91" s="85"/>
      <c r="X91" s="85"/>
      <c r="Y91" s="85"/>
    </row>
    <row r="92" spans="1:25" ht="13.8">
      <c r="A92" s="85"/>
      <c r="B92" s="85"/>
      <c r="C92" s="85"/>
      <c r="D92" s="85"/>
      <c r="E92" s="85"/>
      <c r="F92" s="85"/>
      <c r="G92" s="85"/>
      <c r="H92" s="85"/>
      <c r="I92" s="85"/>
      <c r="J92" s="85"/>
      <c r="K92" s="85"/>
      <c r="L92" s="85"/>
      <c r="M92" s="85"/>
      <c r="N92" s="85"/>
      <c r="O92" s="85"/>
      <c r="P92" s="85"/>
      <c r="Q92" s="85"/>
      <c r="R92" s="85"/>
      <c r="S92" s="85"/>
      <c r="T92" s="85"/>
      <c r="U92" s="85"/>
      <c r="V92" s="85"/>
      <c r="W92" s="85"/>
      <c r="X92" s="85"/>
      <c r="Y92" s="85"/>
    </row>
    <row r="93" spans="1:25" ht="13.8">
      <c r="A93" s="85"/>
      <c r="B93" s="85"/>
      <c r="C93" s="85"/>
      <c r="D93" s="85"/>
      <c r="E93" s="85"/>
      <c r="F93" s="85"/>
      <c r="G93" s="85"/>
      <c r="H93" s="85"/>
      <c r="I93" s="85"/>
      <c r="J93" s="85"/>
      <c r="K93" s="85"/>
      <c r="L93" s="85"/>
      <c r="M93" s="85"/>
      <c r="N93" s="85"/>
      <c r="O93" s="85"/>
      <c r="P93" s="85"/>
      <c r="Q93" s="85"/>
      <c r="R93" s="85"/>
      <c r="S93" s="85"/>
      <c r="T93" s="85"/>
      <c r="U93" s="85"/>
      <c r="V93" s="85"/>
      <c r="W93" s="85"/>
      <c r="X93" s="85"/>
      <c r="Y93" s="85"/>
    </row>
    <row r="94" spans="1:25" ht="13.8">
      <c r="A94" s="85"/>
      <c r="B94" s="85"/>
      <c r="C94" s="85"/>
      <c r="D94" s="85"/>
      <c r="E94" s="85"/>
      <c r="F94" s="85"/>
      <c r="G94" s="85"/>
      <c r="H94" s="85"/>
      <c r="I94" s="85"/>
      <c r="J94" s="85"/>
      <c r="K94" s="85"/>
      <c r="L94" s="85"/>
      <c r="M94" s="85"/>
      <c r="N94" s="85"/>
      <c r="O94" s="85"/>
      <c r="P94" s="85"/>
      <c r="Q94" s="85"/>
      <c r="R94" s="85"/>
      <c r="S94" s="85"/>
      <c r="T94" s="85"/>
      <c r="U94" s="85"/>
      <c r="V94" s="85"/>
      <c r="W94" s="85"/>
      <c r="X94" s="85"/>
      <c r="Y94" s="85"/>
    </row>
    <row r="95" spans="1:25" ht="13.8">
      <c r="A95" s="85"/>
      <c r="B95" s="85"/>
      <c r="C95" s="85"/>
      <c r="D95" s="85"/>
      <c r="E95" s="85"/>
      <c r="F95" s="85"/>
      <c r="G95" s="85"/>
      <c r="H95" s="85"/>
      <c r="I95" s="85"/>
      <c r="J95" s="85"/>
      <c r="K95" s="85"/>
      <c r="L95" s="85"/>
      <c r="M95" s="85"/>
      <c r="N95" s="85"/>
      <c r="O95" s="85"/>
      <c r="P95" s="85"/>
      <c r="Q95" s="85"/>
      <c r="R95" s="85"/>
      <c r="S95" s="85"/>
      <c r="T95" s="85"/>
      <c r="U95" s="85"/>
      <c r="V95" s="85"/>
      <c r="W95" s="85"/>
      <c r="X95" s="85"/>
      <c r="Y95" s="85"/>
    </row>
    <row r="96" spans="1:25" ht="13.8">
      <c r="A96" s="85"/>
      <c r="B96" s="85"/>
      <c r="C96" s="85"/>
      <c r="D96" s="85"/>
      <c r="E96" s="85"/>
      <c r="F96" s="85"/>
      <c r="G96" s="85"/>
      <c r="H96" s="85"/>
      <c r="I96" s="85"/>
      <c r="J96" s="85"/>
      <c r="K96" s="85"/>
      <c r="L96" s="85"/>
      <c r="M96" s="85"/>
      <c r="N96" s="85"/>
      <c r="O96" s="85"/>
      <c r="P96" s="85"/>
      <c r="Q96" s="85"/>
      <c r="R96" s="85"/>
      <c r="S96" s="85"/>
      <c r="T96" s="85"/>
      <c r="U96" s="85"/>
      <c r="V96" s="85"/>
      <c r="W96" s="85"/>
      <c r="X96" s="85"/>
      <c r="Y96" s="85"/>
    </row>
    <row r="97" spans="1:25" ht="13.8">
      <c r="A97" s="85"/>
      <c r="B97" s="85"/>
      <c r="C97" s="85"/>
      <c r="D97" s="85"/>
      <c r="E97" s="85"/>
      <c r="F97" s="85"/>
      <c r="G97" s="85"/>
      <c r="H97" s="85"/>
      <c r="I97" s="85"/>
      <c r="J97" s="85"/>
      <c r="K97" s="85"/>
      <c r="L97" s="85"/>
      <c r="M97" s="85"/>
      <c r="N97" s="85"/>
      <c r="O97" s="85"/>
      <c r="P97" s="85"/>
      <c r="Q97" s="85"/>
      <c r="R97" s="85"/>
      <c r="S97" s="85"/>
      <c r="T97" s="85"/>
      <c r="U97" s="85"/>
      <c r="V97" s="85"/>
      <c r="W97" s="85"/>
      <c r="X97" s="85"/>
      <c r="Y97" s="85"/>
    </row>
    <row r="98" spans="1:25" ht="13.8">
      <c r="A98" s="85"/>
      <c r="B98" s="85"/>
      <c r="C98" s="85"/>
      <c r="D98" s="85"/>
      <c r="E98" s="85"/>
      <c r="F98" s="85"/>
      <c r="G98" s="85"/>
      <c r="H98" s="85"/>
      <c r="I98" s="85"/>
      <c r="J98" s="85"/>
      <c r="K98" s="85"/>
      <c r="L98" s="85"/>
      <c r="M98" s="85"/>
      <c r="N98" s="85"/>
      <c r="O98" s="85"/>
      <c r="P98" s="85"/>
      <c r="Q98" s="85"/>
      <c r="R98" s="85"/>
      <c r="S98" s="85"/>
      <c r="T98" s="85"/>
      <c r="U98" s="85"/>
      <c r="V98" s="85"/>
      <c r="W98" s="85"/>
      <c r="X98" s="85"/>
      <c r="Y98" s="85"/>
    </row>
    <row r="99" spans="1:25" ht="13.8">
      <c r="A99" s="85"/>
      <c r="B99" s="85"/>
      <c r="C99" s="85"/>
      <c r="D99" s="85"/>
      <c r="E99" s="85"/>
      <c r="F99" s="85"/>
      <c r="G99" s="85"/>
      <c r="H99" s="85"/>
      <c r="I99" s="85"/>
      <c r="J99" s="85"/>
      <c r="K99" s="85"/>
      <c r="L99" s="85"/>
      <c r="M99" s="85"/>
      <c r="N99" s="85"/>
      <c r="O99" s="85"/>
      <c r="P99" s="85"/>
      <c r="Q99" s="85"/>
      <c r="R99" s="85"/>
      <c r="S99" s="85"/>
      <c r="T99" s="85"/>
      <c r="U99" s="85"/>
      <c r="V99" s="85"/>
      <c r="W99" s="85"/>
      <c r="X99" s="85"/>
      <c r="Y99" s="85"/>
    </row>
    <row r="100" spans="1:25" ht="13.8">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row>
    <row r="101" spans="1:25" ht="13.8">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row>
    <row r="102" spans="1:25" ht="13.8">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row>
    <row r="103" spans="1:25" ht="13.8">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row>
    <row r="104" spans="1:25" ht="13.8">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row>
    <row r="105" spans="1:25" ht="13.8">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row>
    <row r="106" spans="1:25" ht="13.8">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row>
    <row r="107" spans="1:25" ht="13.8">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row>
    <row r="108" spans="1:25" ht="13.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row>
    <row r="109" spans="1:25" ht="13.8">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row>
    <row r="110" spans="1:25" ht="13.8">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row>
    <row r="111" spans="1:25" ht="13.8">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row>
    <row r="112" spans="1:25" ht="13.8">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row>
    <row r="113" spans="1:25" ht="13.8">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row>
    <row r="114" spans="1:25" ht="13.8">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row>
    <row r="115" spans="1:25" ht="13.8">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row>
    <row r="116" spans="1:25" ht="13.8">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row>
    <row r="117" spans="1:25" ht="13.8">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row>
    <row r="118" spans="1:25" ht="13.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row>
    <row r="119" spans="1:25" ht="13.8">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row>
    <row r="120" spans="1:25" ht="13.8">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row>
    <row r="121" spans="1:25" ht="13.8">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row>
    <row r="122" spans="1:25" ht="13.8">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row>
    <row r="123" spans="1:25" ht="13.8">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row>
    <row r="124" spans="1:25" ht="13.8">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row>
    <row r="125" spans="1:25" ht="13.8">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row>
    <row r="126" spans="1:25" ht="13.8">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row>
    <row r="127" spans="1:25" ht="13.8">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row>
    <row r="128" spans="1:25" ht="13.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row>
    <row r="129" spans="1:25" ht="13.8">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row>
    <row r="130" spans="1:25" ht="13.8">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row>
    <row r="131" spans="1:25" ht="13.8">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row>
    <row r="132" spans="1:25" ht="13.8">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row>
    <row r="133" spans="1:25" ht="13.8">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row>
    <row r="134" spans="1:25" ht="13.8">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row>
    <row r="135" spans="1:25" ht="13.8">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row>
    <row r="136" spans="1:25" ht="13.8">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row>
    <row r="137" spans="1:25" ht="13.8">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row>
    <row r="138" spans="1:25" ht="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row>
    <row r="139" spans="1:25" ht="13.8">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row>
    <row r="140" spans="1:25" ht="13.8">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row>
    <row r="141" spans="1:25" ht="13.8">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row>
    <row r="142" spans="1:25" ht="13.8">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row>
    <row r="143" spans="1:25" ht="13.8">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row>
    <row r="144" spans="1:25" ht="13.8">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row>
    <row r="145" spans="1:25" ht="13.8">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row>
    <row r="146" spans="1:25" ht="13.8">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row>
    <row r="147" spans="1:25" ht="13.8">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row>
    <row r="148" spans="1:25" ht="13.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row>
    <row r="149" spans="1:25" ht="13.8">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row>
    <row r="150" spans="1:25" ht="13.8">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row>
    <row r="151" spans="1:25" ht="13.8">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row>
    <row r="152" spans="1:25" ht="13.8">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row>
    <row r="153" spans="1:25" ht="13.8">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row>
    <row r="154" spans="1:25" ht="13.8">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row>
    <row r="155" spans="1:25" ht="13.8">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row>
    <row r="156" spans="1:25" ht="13.8">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row>
    <row r="157" spans="1:25" ht="13.8">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row>
    <row r="158" spans="1:25" ht="13.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row>
    <row r="159" spans="1:25" ht="13.8">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row>
    <row r="160" spans="1:25" ht="13.8">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row>
    <row r="161" spans="1:25" ht="13.8">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row>
    <row r="162" spans="1:25" ht="13.8">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row>
    <row r="163" spans="1:25" ht="13.8">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row>
    <row r="164" spans="1:25" ht="13.8">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row>
    <row r="165" spans="1:25" ht="13.8">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row>
    <row r="166" spans="1:25" ht="13.8">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row>
    <row r="167" spans="1:25" ht="13.8">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row>
    <row r="168" spans="1:25" ht="13.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row>
    <row r="169" spans="1:25" ht="13.8">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row>
    <row r="170" spans="1:25" ht="13.8">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row>
    <row r="171" spans="1:25" ht="13.8">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row>
    <row r="172" spans="1:25" ht="13.8">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row>
    <row r="173" spans="1:25" ht="13.8">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row>
    <row r="174" spans="1:25" ht="13.8">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row>
    <row r="175" spans="1:25" ht="13.8">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row>
    <row r="176" spans="1:25" ht="13.8">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row>
    <row r="177" spans="1:25" ht="13.8">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row>
    <row r="178" spans="1:25" ht="13.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row>
    <row r="179" spans="1:25" ht="13.8">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row>
    <row r="180" spans="1:25" ht="13.8">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row>
    <row r="181" spans="1:25" ht="13.8">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row>
    <row r="182" spans="1:25" ht="13.8">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row>
    <row r="183" spans="1:25" ht="13.8">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row>
    <row r="184" spans="1:25" ht="13.8">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row>
    <row r="185" spans="1:25" ht="13.8">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row>
    <row r="186" spans="1:25" ht="13.8">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row>
    <row r="187" spans="1:25" ht="13.8">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row>
    <row r="188" spans="1:25" ht="13.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row>
    <row r="189" spans="1:25" ht="13.8">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row>
    <row r="190" spans="1:25" ht="13.8">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row>
    <row r="191" spans="1:25" ht="13.8">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row>
    <row r="192" spans="1:25" ht="13.8">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row>
    <row r="193" spans="1:25" ht="13.8">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row>
    <row r="194" spans="1:25" ht="13.8">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row>
    <row r="195" spans="1:25" ht="13.8">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row>
    <row r="196" spans="1:25" ht="13.8">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row>
    <row r="197" spans="1:25" ht="13.8">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row>
    <row r="198" spans="1:25" ht="13.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row>
    <row r="199" spans="1:25" ht="13.8">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row>
    <row r="200" spans="1:25" ht="13.8">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row>
    <row r="201" spans="1:25" ht="13.8">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row>
    <row r="202" spans="1:25" ht="13.8">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row>
    <row r="203" spans="1:25" ht="13.8">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row>
    <row r="204" spans="1:25" ht="13.8">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row>
    <row r="205" spans="1:25" ht="13.8">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row>
    <row r="206" spans="1:25" ht="13.8">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row>
    <row r="207" spans="1:25" ht="13.8">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row>
    <row r="208" spans="1:25" ht="13.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row>
    <row r="209" spans="1:25" ht="13.8">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row>
    <row r="210" spans="1:25" ht="13.8">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row>
    <row r="211" spans="1:25" ht="13.8">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row>
    <row r="212" spans="1:25" ht="13.8">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row>
    <row r="213" spans="1:25" ht="13.8">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row>
    <row r="214" spans="1:25" ht="13.8">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row>
    <row r="215" spans="1:25" ht="13.8">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row>
    <row r="216" spans="1:25" ht="13.8">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row>
    <row r="217" spans="1:25" ht="13.8">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row>
    <row r="218" spans="1:25" ht="13.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row>
    <row r="219" spans="1:25" ht="13.8">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row>
    <row r="220" spans="1:25" ht="13.8">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row>
    <row r="221" spans="1:25" ht="13.8">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row>
    <row r="222" spans="1:25" ht="13.8">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row>
    <row r="223" spans="1:25" ht="13.8">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row>
    <row r="224" spans="1:25" ht="13.8">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row>
    <row r="225" spans="1:25" ht="13.8">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row>
    <row r="226" spans="1:25" ht="13.8">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row>
    <row r="227" spans="1:25" ht="13.8">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row>
    <row r="228" spans="1:25" ht="13.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row>
    <row r="229" spans="1:25" ht="13.8">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row>
    <row r="230" spans="1:25" ht="13.8">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row>
    <row r="231" spans="1:25" ht="13.8">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row>
    <row r="232" spans="1:25" ht="13.8">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row>
    <row r="233" spans="1:25" ht="13.8">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row>
    <row r="234" spans="1:25" ht="13.8">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row>
    <row r="235" spans="1:25" ht="13.8">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row>
    <row r="236" spans="1:25" ht="13.8">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row>
    <row r="237" spans="1:25" ht="13.8">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row>
    <row r="238" spans="1:25" ht="1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row>
    <row r="239" spans="1:25" ht="13.8">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row>
    <row r="240" spans="1:25" ht="13.8">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row>
    <row r="241" spans="1:25" ht="13.8">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row>
    <row r="242" spans="1:25" ht="13.8">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row>
    <row r="243" spans="1:25" ht="13.8">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row>
    <row r="244" spans="1:25" ht="13.8">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row>
    <row r="245" spans="1:25" ht="13.8">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row>
    <row r="246" spans="1:25" ht="13.8">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row>
    <row r="247" spans="1:25" ht="13.8">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row>
    <row r="248" spans="1:25" ht="13.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row>
    <row r="249" spans="1:25" ht="13.8">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row>
    <row r="250" spans="1:25" ht="13.8">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row>
    <row r="251" spans="1:25" ht="13.8">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row>
    <row r="252" spans="1:25" ht="13.8">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row>
    <row r="253" spans="1:25" ht="13.8">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row>
    <row r="254" spans="1:25" ht="13.8">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row>
    <row r="255" spans="1:25" ht="13.8">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row>
    <row r="256" spans="1:25" ht="13.8">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row>
    <row r="257" spans="1:25" ht="13.8">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row>
    <row r="258" spans="1:25" ht="13.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row>
    <row r="259" spans="1:25" ht="13.8">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row>
    <row r="260" spans="1:25" ht="13.8">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row>
    <row r="261" spans="1:25" ht="13.8">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row>
    <row r="262" spans="1:25" ht="13.8">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row>
    <row r="263" spans="1:25" ht="13.8">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row>
    <row r="264" spans="1:25" ht="13.8">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row>
    <row r="265" spans="1:25" ht="13.8">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row>
    <row r="266" spans="1:25" ht="13.8">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row>
    <row r="267" spans="1:25" ht="13.8">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row>
    <row r="268" spans="1:25" ht="13.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row>
    <row r="269" spans="1:25" ht="13.8">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row>
    <row r="270" spans="1:25" ht="13.8">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row>
    <row r="271" spans="1:25" ht="13.8">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row>
    <row r="272" spans="1:25" ht="13.8">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row>
    <row r="273" spans="1:25" ht="13.8">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row>
    <row r="274" spans="1:25" ht="13.8">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row>
    <row r="275" spans="1:25" ht="13.8">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row>
    <row r="276" spans="1:25" ht="13.8">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row>
    <row r="277" spans="1:25" ht="13.8">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row>
    <row r="278" spans="1:25" ht="13.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row>
    <row r="279" spans="1:25" ht="13.8">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row>
    <row r="280" spans="1:25" ht="13.8">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row>
    <row r="281" spans="1:25" ht="13.8">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row>
    <row r="282" spans="1:25" ht="13.8">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row>
    <row r="283" spans="1:25" ht="13.8">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row>
    <row r="284" spans="1:25" ht="13.8">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row>
    <row r="285" spans="1:25" ht="13.8">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row>
    <row r="286" spans="1:25" ht="13.8">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row>
    <row r="287" spans="1:25" ht="13.8">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row>
    <row r="288" spans="1:25" ht="13.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row>
    <row r="289" spans="1:25" ht="13.8">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row>
    <row r="290" spans="1:25" ht="13.8">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row>
    <row r="291" spans="1:25" ht="13.8">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row>
    <row r="292" spans="1:25" ht="13.8">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row>
    <row r="293" spans="1:25" ht="13.8">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row>
    <row r="294" spans="1:25" ht="13.8">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row>
    <row r="295" spans="1:25" ht="13.8">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row>
    <row r="296" spans="1:25" ht="13.8">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row>
    <row r="297" spans="1:25" ht="13.8">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row>
    <row r="298" spans="1:25" ht="13.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row>
    <row r="299" spans="1:25" ht="13.8">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row>
    <row r="300" spans="1:25" ht="13.8">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row>
    <row r="301" spans="1:25" ht="13.8">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row>
    <row r="302" spans="1:25" ht="13.8">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row>
    <row r="303" spans="1:25" ht="13.8">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row>
    <row r="304" spans="1:25" ht="13.8">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row>
    <row r="305" spans="1:25" ht="13.8">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row>
    <row r="306" spans="1:25" ht="13.8">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row>
    <row r="307" spans="1:25" ht="13.8">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row>
    <row r="308" spans="1:25" ht="13.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row>
    <row r="309" spans="1:25" ht="13.8">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row>
    <row r="310" spans="1:25" ht="13.8">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row>
    <row r="311" spans="1:25" ht="13.8">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row>
    <row r="312" spans="1:25" ht="13.8">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row>
    <row r="313" spans="1:25" ht="13.8">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row>
    <row r="314" spans="1:25" ht="13.8">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row>
    <row r="315" spans="1:25" ht="13.8">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row>
    <row r="316" spans="1:25" ht="13.8">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row>
    <row r="317" spans="1:25" ht="13.8">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row>
    <row r="318" spans="1:25" ht="13.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row>
    <row r="319" spans="1:25" ht="13.8">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row>
    <row r="320" spans="1:25" ht="13.8">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row>
    <row r="321" spans="1:25" ht="13.8">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row>
    <row r="322" spans="1:25" ht="13.8">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row>
    <row r="323" spans="1:25" ht="13.8">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row>
    <row r="324" spans="1:25" ht="13.8">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row>
    <row r="325" spans="1:25" ht="13.8">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row>
    <row r="326" spans="1:25" ht="13.8">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row>
    <row r="327" spans="1:25" ht="13.8">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row>
    <row r="328" spans="1:25" ht="13.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row>
    <row r="329" spans="1:25" ht="13.8">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row>
    <row r="330" spans="1:25" ht="13.8">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row>
    <row r="331" spans="1:25" ht="13.8">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row>
    <row r="332" spans="1:25" ht="13.8">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row>
    <row r="333" spans="1:25" ht="13.8">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row>
    <row r="334" spans="1:25" ht="13.8">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row>
    <row r="335" spans="1:25" ht="13.8">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row>
    <row r="336" spans="1:25" ht="13.8">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row>
    <row r="337" spans="1:25" ht="13.8">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row>
    <row r="338" spans="1:25" ht="1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row>
    <row r="339" spans="1:25" ht="13.8">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row>
    <row r="340" spans="1:25" ht="13.8">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row>
    <row r="341" spans="1:25" ht="13.8">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row>
    <row r="342" spans="1:25" ht="13.8">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row>
    <row r="343" spans="1:25" ht="13.8">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row>
    <row r="344" spans="1:25" ht="13.8">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row>
    <row r="345" spans="1:25" ht="13.8">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row>
    <row r="346" spans="1:25" ht="13.8">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row>
    <row r="347" spans="1:25" ht="13.8">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row>
    <row r="348" spans="1:25" ht="13.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row>
    <row r="349" spans="1:25" ht="13.8">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row>
    <row r="350" spans="1:25" ht="13.8">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row>
    <row r="351" spans="1:25" ht="13.8">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row>
    <row r="352" spans="1:25" ht="13.8">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row>
    <row r="353" spans="1:25" ht="13.8">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row>
    <row r="354" spans="1:25" ht="13.8">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row>
    <row r="355" spans="1:25" ht="13.8">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row>
    <row r="356" spans="1:25" ht="13.8">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row>
    <row r="357" spans="1:25" ht="13.8">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row>
    <row r="358" spans="1:25" ht="13.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row>
    <row r="359" spans="1:25" ht="13.8">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row>
    <row r="360" spans="1:25" ht="13.8">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row>
    <row r="361" spans="1:25" ht="13.8">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row>
    <row r="362" spans="1:25" ht="13.8">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row>
    <row r="363" spans="1:25" ht="13.8">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row>
    <row r="364" spans="1:25" ht="13.8">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row>
    <row r="365" spans="1:25" ht="13.8">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row>
    <row r="366" spans="1:25" ht="13.8">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row>
    <row r="367" spans="1:25" ht="13.8">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row>
    <row r="368" spans="1:25" ht="13.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row>
    <row r="369" spans="1:25" ht="13.8">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row>
    <row r="370" spans="1:25" ht="13.8">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row>
    <row r="371" spans="1:25" ht="13.8">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row>
    <row r="372" spans="1:25" ht="13.8">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row>
    <row r="373" spans="1:25" ht="13.8">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row>
    <row r="374" spans="1:25" ht="13.8">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row>
    <row r="375" spans="1:25" ht="13.8">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row>
    <row r="376" spans="1:25" ht="13.8">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row>
    <row r="377" spans="1:25" ht="13.8">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row>
    <row r="378" spans="1:25" ht="13.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row>
    <row r="379" spans="1:25" ht="13.8">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row>
    <row r="380" spans="1:25" ht="13.8">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row>
    <row r="381" spans="1:25" ht="13.8">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row>
    <row r="382" spans="1:25" ht="13.8">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row>
    <row r="383" spans="1:25" ht="13.8">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row>
    <row r="384" spans="1:25" ht="13.8">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row>
    <row r="385" spans="1:25" ht="13.8">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row>
    <row r="386" spans="1:25" ht="13.8">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row>
    <row r="387" spans="1:25" ht="13.8">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row>
    <row r="388" spans="1:25" ht="13.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row>
    <row r="389" spans="1:25" ht="13.8">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row>
    <row r="390" spans="1:25" ht="13.8">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row>
    <row r="391" spans="1:25" ht="13.8">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row>
    <row r="392" spans="1:25" ht="13.8">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row>
    <row r="393" spans="1:25" ht="13.8">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row>
    <row r="394" spans="1:25" ht="13.8">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row>
    <row r="395" spans="1:25" ht="13.8">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row>
    <row r="396" spans="1:25" ht="13.8">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row>
    <row r="397" spans="1:25" ht="13.8">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row>
    <row r="398" spans="1:25" ht="13.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row>
    <row r="399" spans="1:25" ht="13.8">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row>
    <row r="400" spans="1:25" ht="13.8">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row>
    <row r="401" spans="1:25" ht="13.8">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row>
    <row r="402" spans="1:25" ht="13.8">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row>
    <row r="403" spans="1:25" ht="13.8">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row>
    <row r="404" spans="1:25" ht="13.8">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row>
    <row r="405" spans="1:25" ht="13.8">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row>
    <row r="406" spans="1:25" ht="13.8">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row>
    <row r="407" spans="1:25" ht="13.8">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row>
    <row r="408" spans="1:25" ht="13.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row>
    <row r="409" spans="1:25" ht="13.8">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row>
    <row r="410" spans="1:25" ht="13.8">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row>
    <row r="411" spans="1:25" ht="13.8">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row>
    <row r="412" spans="1:25" ht="13.8">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row>
    <row r="413" spans="1:25" ht="13.8">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row>
    <row r="414" spans="1:25" ht="13.8">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row>
    <row r="415" spans="1:25" ht="13.8">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row>
    <row r="416" spans="1:25" ht="13.8">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row>
    <row r="417" spans="1:25" ht="13.8">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row>
    <row r="418" spans="1:25" ht="13.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row>
    <row r="419" spans="1:25" ht="13.8">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row>
    <row r="420" spans="1:25" ht="13.8">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row>
    <row r="421" spans="1:25" ht="13.8">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row>
    <row r="422" spans="1:25" ht="13.8">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row>
    <row r="423" spans="1:25" ht="13.8">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row>
    <row r="424" spans="1:25" ht="13.8">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row>
    <row r="425" spans="1:25" ht="13.8">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row>
    <row r="426" spans="1:25" ht="13.8">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row>
    <row r="427" spans="1:25" ht="13.8">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row>
    <row r="428" spans="1:25" ht="13.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row>
    <row r="429" spans="1:25" ht="13.8">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row>
    <row r="430" spans="1:25" ht="13.8">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row>
    <row r="431" spans="1:25" ht="13.8">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row>
    <row r="432" spans="1:25" ht="13.8">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row>
    <row r="433" spans="1:25" ht="13.8">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row>
    <row r="434" spans="1:25" ht="13.8">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row>
    <row r="435" spans="1:25" ht="13.8">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row>
    <row r="436" spans="1:25" ht="13.8">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row>
    <row r="437" spans="1:25" ht="13.8">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row>
    <row r="438" spans="1:25" ht="1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row>
    <row r="439" spans="1:25" ht="13.8">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row>
    <row r="440" spans="1:25" ht="13.8">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row>
    <row r="441" spans="1:25" ht="13.8">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row>
    <row r="442" spans="1:25" ht="13.8">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row>
    <row r="443" spans="1:25" ht="13.8">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row>
    <row r="444" spans="1:25" ht="13.8">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row>
    <row r="445" spans="1:25" ht="13.8">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row>
    <row r="446" spans="1:25" ht="13.8">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row>
    <row r="447" spans="1:25" ht="13.8">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row>
    <row r="448" spans="1:25" ht="13.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row>
    <row r="449" spans="1:25" ht="13.8">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row>
    <row r="450" spans="1:25" ht="13.8">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row>
    <row r="451" spans="1:25" ht="13.8">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row>
    <row r="452" spans="1:25" ht="13.8">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row>
    <row r="453" spans="1:25" ht="13.8">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row>
    <row r="454" spans="1:25" ht="13.8">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row>
    <row r="455" spans="1:25" ht="13.8">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row>
    <row r="456" spans="1:25" ht="13.8">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row>
    <row r="457" spans="1:25" ht="13.8">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row>
    <row r="458" spans="1:25" ht="13.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row>
    <row r="459" spans="1:25" ht="13.8">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row>
    <row r="460" spans="1:25" ht="13.8">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row>
    <row r="461" spans="1:25" ht="13.8">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row>
    <row r="462" spans="1:25" ht="13.8">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row>
    <row r="463" spans="1:25" ht="13.8">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row>
    <row r="464" spans="1:25" ht="13.8">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row>
    <row r="465" spans="1:25" ht="13.8">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row>
    <row r="466" spans="1:25" ht="13.8">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row>
    <row r="467" spans="1:25" ht="13.8">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row>
    <row r="468" spans="1:25" ht="13.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row>
    <row r="469" spans="1:25" ht="13.8">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row>
    <row r="470" spans="1:25" ht="13.8">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row>
    <row r="471" spans="1:25" ht="13.8">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row>
    <row r="472" spans="1:25" ht="13.8">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row>
    <row r="473" spans="1:25" ht="13.8">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row>
    <row r="474" spans="1:25" ht="13.8">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row>
    <row r="475" spans="1:25" ht="13.8">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row>
    <row r="476" spans="1:25" ht="13.8">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row>
    <row r="477" spans="1:25" ht="13.8">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row>
    <row r="478" spans="1:25" ht="13.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row>
    <row r="479" spans="1:25" ht="13.8">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row>
    <row r="480" spans="1:25" ht="13.8">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row>
    <row r="481" spans="1:25" ht="13.8">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row>
    <row r="482" spans="1:25" ht="13.8">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row>
    <row r="483" spans="1:25" ht="13.8">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row>
    <row r="484" spans="1:25" ht="13.8">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row>
    <row r="485" spans="1:25" ht="13.8">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row>
    <row r="486" spans="1:25" ht="13.8">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row>
    <row r="487" spans="1:25" ht="13.8">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row>
    <row r="488" spans="1:25" ht="13.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row>
    <row r="489" spans="1:25" ht="13.8">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row>
    <row r="490" spans="1:25" ht="13.8">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row>
    <row r="491" spans="1:25" ht="13.8">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row>
    <row r="492" spans="1:25" ht="13.8">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row>
    <row r="493" spans="1:25" ht="13.8">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row>
    <row r="494" spans="1:25" ht="13.8">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row>
    <row r="495" spans="1:25" ht="13.8">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row>
    <row r="496" spans="1:25" ht="13.8">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row>
    <row r="497" spans="1:25" ht="13.8">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row>
    <row r="498" spans="1:25" ht="13.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row>
    <row r="499" spans="1:25" ht="13.8">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row>
    <row r="500" spans="1:25" ht="13.8">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row>
    <row r="501" spans="1:25" ht="13.8">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row>
    <row r="502" spans="1:25" ht="13.8">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row>
    <row r="503" spans="1:25" ht="13.8">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row>
    <row r="504" spans="1:25" ht="13.8">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row>
    <row r="505" spans="1:25" ht="13.8">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row>
    <row r="506" spans="1:25" ht="13.8">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row>
    <row r="507" spans="1:25" ht="13.8">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row>
    <row r="508" spans="1:25" ht="13.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row>
    <row r="509" spans="1:25" ht="13.8">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row>
    <row r="510" spans="1:25" ht="13.8">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row>
    <row r="511" spans="1:25" ht="13.8">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row>
    <row r="512" spans="1:25" ht="13.8">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row>
    <row r="513" spans="1:25" ht="13.8">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row>
    <row r="514" spans="1:25" ht="13.8">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row>
    <row r="515" spans="1:25" ht="13.8">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row>
    <row r="516" spans="1:25" ht="13.8">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row>
    <row r="517" spans="1:25" ht="13.8">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row>
    <row r="518" spans="1:25" ht="13.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row>
    <row r="519" spans="1:25" ht="13.8">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row>
    <row r="520" spans="1:25" ht="13.8">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row>
    <row r="521" spans="1:25" ht="13.8">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row>
    <row r="522" spans="1:25" ht="13.8">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row>
    <row r="523" spans="1:25" ht="13.8">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row>
    <row r="524" spans="1:25" ht="13.8">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row>
    <row r="525" spans="1:25" ht="13.8">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row>
    <row r="526" spans="1:25" ht="13.8">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row>
    <row r="527" spans="1:25" ht="13.8">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row>
    <row r="528" spans="1:25" ht="13.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row>
    <row r="529" spans="1:25" ht="13.8">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row>
    <row r="530" spans="1:25" ht="13.8">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row>
    <row r="531" spans="1:25" ht="13.8">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row>
    <row r="532" spans="1:25" ht="13.8">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row>
    <row r="533" spans="1:25" ht="13.8">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row>
    <row r="534" spans="1:25" ht="13.8">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row>
    <row r="535" spans="1:25" ht="13.8">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row>
    <row r="536" spans="1:25" ht="13.8">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row>
    <row r="537" spans="1:25" ht="13.8">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row>
    <row r="538" spans="1:25" ht="1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row>
    <row r="539" spans="1:25" ht="13.8">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row>
    <row r="540" spans="1:25" ht="13.8">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row>
    <row r="541" spans="1:25" ht="13.8">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row>
    <row r="542" spans="1:25" ht="13.8">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row>
    <row r="543" spans="1:25" ht="13.8">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row>
    <row r="544" spans="1:25" ht="13.8">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row>
    <row r="545" spans="1:25" ht="13.8">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row>
    <row r="546" spans="1:25" ht="13.8">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row>
    <row r="547" spans="1:25" ht="13.8">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row>
    <row r="548" spans="1:25" ht="13.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row>
    <row r="549" spans="1:25" ht="13.8">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row>
    <row r="550" spans="1:25" ht="13.8">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row>
    <row r="551" spans="1:25" ht="13.8">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row>
    <row r="552" spans="1:25" ht="13.8">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row>
    <row r="553" spans="1:25" ht="13.8">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row>
    <row r="554" spans="1:25" ht="13.8">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row>
    <row r="555" spans="1:25" ht="13.8">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row>
    <row r="556" spans="1:25" ht="13.8">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row>
    <row r="557" spans="1:25" ht="13.8">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row>
    <row r="558" spans="1:25" ht="13.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row>
    <row r="559" spans="1:25" ht="13.8">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row>
    <row r="560" spans="1:25" ht="13.8">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row>
    <row r="561" spans="1:25" ht="13.8">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row>
    <row r="562" spans="1:25" ht="13.8">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row>
    <row r="563" spans="1:25" ht="13.8">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row>
    <row r="564" spans="1:25" ht="13.8">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row>
    <row r="565" spans="1:25" ht="13.8">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row>
    <row r="566" spans="1:25" ht="13.8">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row>
    <row r="567" spans="1:25" ht="13.8">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row>
    <row r="568" spans="1:25" ht="13.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row>
    <row r="569" spans="1:25" ht="13.8">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row>
    <row r="570" spans="1:25" ht="13.8">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row>
    <row r="571" spans="1:25" ht="13.8">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row>
    <row r="572" spans="1:25" ht="13.8">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row>
    <row r="573" spans="1:25" ht="13.8">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row>
    <row r="574" spans="1:25" ht="13.8">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row>
    <row r="575" spans="1:25" ht="13.8">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row>
    <row r="576" spans="1:25" ht="13.8">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row>
    <row r="577" spans="1:25" ht="13.8">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row>
    <row r="578" spans="1:25" ht="13.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row>
    <row r="579" spans="1:25" ht="13.8">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row>
    <row r="580" spans="1:25" ht="13.8">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row>
    <row r="581" spans="1:25" ht="13.8">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row>
    <row r="582" spans="1:25" ht="13.8">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row>
    <row r="583" spans="1:25" ht="13.8">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row>
    <row r="584" spans="1:25" ht="13.8">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row>
    <row r="585" spans="1:25" ht="13.8">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row>
    <row r="586" spans="1:25" ht="13.8">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row>
    <row r="587" spans="1:25" ht="13.8">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row>
    <row r="588" spans="1:25" ht="13.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row>
    <row r="589" spans="1:25" ht="13.8">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row>
    <row r="590" spans="1:25" ht="13.8">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row>
    <row r="591" spans="1:25" ht="13.8">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row>
    <row r="592" spans="1:25" ht="13.8">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row>
    <row r="593" spans="1:25" ht="13.8">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row>
    <row r="594" spans="1:25" ht="13.8">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row>
    <row r="595" spans="1:25" ht="13.8">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row>
    <row r="596" spans="1:25" ht="13.8">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row>
    <row r="597" spans="1:25" ht="13.8">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row>
    <row r="598" spans="1:25" ht="13.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row>
    <row r="599" spans="1:25" ht="13.8">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row>
    <row r="600" spans="1:25" ht="13.8">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row>
    <row r="601" spans="1:25" ht="13.8">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row>
    <row r="602" spans="1:25" ht="13.8">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row>
    <row r="603" spans="1:25" ht="13.8">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row>
    <row r="604" spans="1:25" ht="13.8">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row>
    <row r="605" spans="1:25" ht="13.8">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row>
    <row r="606" spans="1:25" ht="13.8">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row>
    <row r="607" spans="1:25" ht="13.8">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row>
    <row r="608" spans="1:25" ht="13.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row>
    <row r="609" spans="1:25" ht="13.8">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row>
    <row r="610" spans="1:25" ht="13.8">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row>
    <row r="611" spans="1:25" ht="13.8">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row>
    <row r="612" spans="1:25" ht="13.8">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row>
    <row r="613" spans="1:25" ht="13.8">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row>
    <row r="614" spans="1:25" ht="13.8">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row>
    <row r="615" spans="1:25" ht="13.8">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row>
    <row r="616" spans="1:25" ht="13.8">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row>
    <row r="617" spans="1:25" ht="13.8">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row>
    <row r="618" spans="1:25" ht="13.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row>
    <row r="619" spans="1:25" ht="13.8">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row>
    <row r="620" spans="1:25" ht="13.8">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row>
    <row r="621" spans="1:25" ht="13.8">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row>
    <row r="622" spans="1:25" ht="13.8">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row>
    <row r="623" spans="1:25" ht="13.8">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row>
    <row r="624" spans="1:25" ht="13.8">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row>
    <row r="625" spans="1:25" ht="13.8">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row>
    <row r="626" spans="1:25" ht="13.8">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row>
    <row r="627" spans="1:25" ht="13.8">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row>
    <row r="628" spans="1:25" ht="13.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row>
    <row r="629" spans="1:25" ht="13.8">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row>
    <row r="630" spans="1:25" ht="13.8">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row>
    <row r="631" spans="1:25" ht="13.8">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row>
    <row r="632" spans="1:25" ht="13.8">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row>
    <row r="633" spans="1:25" ht="13.8">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row>
    <row r="634" spans="1:25" ht="13.8">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row>
    <row r="635" spans="1:25" ht="13.8">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row>
    <row r="636" spans="1:25" ht="13.8">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row>
    <row r="637" spans="1:25" ht="13.8">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row>
    <row r="638" spans="1:25" ht="1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row>
    <row r="639" spans="1:25" ht="13.8">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row>
    <row r="640" spans="1:25" ht="13.8">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row>
    <row r="641" spans="1:25" ht="13.8">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row>
    <row r="642" spans="1:25" ht="13.8">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row>
    <row r="643" spans="1:25" ht="13.8">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row>
    <row r="644" spans="1:25" ht="13.8">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row>
    <row r="645" spans="1:25" ht="13.8">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row>
    <row r="646" spans="1:25" ht="13.8">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row>
    <row r="647" spans="1:25" ht="13.8">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row>
    <row r="648" spans="1:25" ht="13.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row>
    <row r="649" spans="1:25" ht="13.8">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row>
    <row r="650" spans="1:25" ht="13.8">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row>
    <row r="651" spans="1:25" ht="13.8">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row>
    <row r="652" spans="1:25" ht="13.8">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row>
    <row r="653" spans="1:25" ht="13.8">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row>
    <row r="654" spans="1:25" ht="13.8">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row>
    <row r="655" spans="1:25" ht="13.8">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row>
    <row r="656" spans="1:25" ht="13.8">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row>
    <row r="657" spans="1:25" ht="13.8">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row>
    <row r="658" spans="1:25" ht="13.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row>
    <row r="659" spans="1:25" ht="13.8">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row>
    <row r="660" spans="1:25" ht="13.8">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row>
    <row r="661" spans="1:25" ht="13.8">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row>
    <row r="662" spans="1:25" ht="13.8">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row>
    <row r="663" spans="1:25" ht="13.8">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row>
    <row r="664" spans="1:25" ht="13.8">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row>
    <row r="665" spans="1:25" ht="13.8">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row>
    <row r="666" spans="1:25" ht="13.8">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row>
    <row r="667" spans="1:25" ht="13.8">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row>
    <row r="668" spans="1:25" ht="13.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row>
    <row r="669" spans="1:25" ht="13.8">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row>
    <row r="670" spans="1:25" ht="13.8">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row>
    <row r="671" spans="1:25" ht="13.8">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row>
    <row r="672" spans="1:25" ht="13.8">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row>
    <row r="673" spans="1:25" ht="13.8">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row>
    <row r="674" spans="1:25" ht="13.8">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row>
    <row r="675" spans="1:25" ht="13.8">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row>
    <row r="676" spans="1:25" ht="13.8">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row>
    <row r="677" spans="1:25" ht="13.8">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row>
    <row r="678" spans="1:25" ht="13.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row>
    <row r="679" spans="1:25" ht="13.8">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row>
    <row r="680" spans="1:25" ht="13.8">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row>
    <row r="681" spans="1:25" ht="13.8">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row>
    <row r="682" spans="1:25" ht="13.8">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row>
    <row r="683" spans="1:25" ht="13.8">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row>
    <row r="684" spans="1:25" ht="13.8">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row>
    <row r="685" spans="1:25" ht="13.8">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row>
    <row r="686" spans="1:25" ht="13.8">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row>
    <row r="687" spans="1:25" ht="13.8">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row>
    <row r="688" spans="1:25" ht="13.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row>
    <row r="689" spans="1:25" ht="13.8">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row>
    <row r="690" spans="1:25" ht="13.8">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row>
    <row r="691" spans="1:25" ht="13.8">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row>
    <row r="692" spans="1:25" ht="13.8">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row>
    <row r="693" spans="1:25" ht="13.8">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row>
    <row r="694" spans="1:25" ht="13.8">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row>
    <row r="695" spans="1:25" ht="13.8">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row>
    <row r="696" spans="1:25" ht="13.8">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row>
    <row r="697" spans="1:25" ht="13.8">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row>
    <row r="698" spans="1:25" ht="13.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row>
    <row r="699" spans="1:25" ht="13.8">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row>
    <row r="700" spans="1:25" ht="13.8">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row>
    <row r="701" spans="1:25" ht="13.8">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row>
    <row r="702" spans="1:25" ht="13.8">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row>
    <row r="703" spans="1:25" ht="13.8">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row>
    <row r="704" spans="1:25" ht="13.8">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row>
    <row r="705" spans="1:25" ht="13.8">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row>
    <row r="706" spans="1:25" ht="13.8">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row>
    <row r="707" spans="1:25" ht="13.8">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row>
    <row r="708" spans="1:25" ht="13.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row>
    <row r="709" spans="1:25" ht="13.8">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row>
    <row r="710" spans="1:25" ht="13.8">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row>
    <row r="711" spans="1:25" ht="13.8">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row>
    <row r="712" spans="1:25" ht="13.8">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row>
    <row r="713" spans="1:25" ht="13.8">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row>
    <row r="714" spans="1:25" ht="13.8">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row>
    <row r="715" spans="1:25" ht="13.8">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row>
    <row r="716" spans="1:25" ht="13.8">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row>
    <row r="717" spans="1:25" ht="13.8">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row>
    <row r="718" spans="1:25" ht="13.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row>
    <row r="719" spans="1:25" ht="13.8">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row>
    <row r="720" spans="1:25" ht="13.8">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row>
    <row r="721" spans="1:25" ht="13.8">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row>
    <row r="722" spans="1:25" ht="13.8">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row>
    <row r="723" spans="1:25" ht="13.8">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row>
    <row r="724" spans="1:25" ht="13.8">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row>
    <row r="725" spans="1:25" ht="13.8">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row>
    <row r="726" spans="1:25" ht="13.8">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row>
    <row r="727" spans="1:25" ht="13.8">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row>
    <row r="728" spans="1:25" ht="13.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row>
    <row r="729" spans="1:25" ht="13.8">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row>
    <row r="730" spans="1:25" ht="13.8">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row>
    <row r="731" spans="1:25" ht="13.8">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row>
    <row r="732" spans="1:25" ht="13.8">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row>
    <row r="733" spans="1:25" ht="13.8">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row>
    <row r="734" spans="1:25" ht="13.8">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row>
    <row r="735" spans="1:25" ht="13.8">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row>
    <row r="736" spans="1:25" ht="13.8">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row>
    <row r="737" spans="1:25" ht="13.8">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row>
    <row r="738" spans="1:25" ht="1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row>
    <row r="739" spans="1:25" ht="13.8">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row>
    <row r="740" spans="1:25" ht="13.8">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row>
    <row r="741" spans="1:25" ht="13.8">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row>
    <row r="742" spans="1:25" ht="13.8">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row>
    <row r="743" spans="1:25" ht="13.8">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row>
    <row r="744" spans="1:25" ht="13.8">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row>
    <row r="745" spans="1:25" ht="13.8">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row>
    <row r="746" spans="1:25" ht="13.8">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row>
    <row r="747" spans="1:25" ht="13.8">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row>
    <row r="748" spans="1:25" ht="13.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row>
    <row r="749" spans="1:25" ht="13.8">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row>
    <row r="750" spans="1:25" ht="13.8">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row>
    <row r="751" spans="1:25" ht="13.8">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row>
    <row r="752" spans="1:25" ht="13.8">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row>
    <row r="753" spans="1:25" ht="13.8">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row>
    <row r="754" spans="1:25" ht="13.8">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row>
    <row r="755" spans="1:25" ht="13.8">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row>
    <row r="756" spans="1:25" ht="13.8">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row>
    <row r="757" spans="1:25" ht="13.8">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row>
    <row r="758" spans="1:25" ht="13.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row>
    <row r="759" spans="1:25" ht="13.8">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row>
    <row r="760" spans="1:25" ht="13.8">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row>
    <row r="761" spans="1:25" ht="13.8">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row>
    <row r="762" spans="1:25" ht="13.8">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row>
    <row r="763" spans="1:25" ht="13.8">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row>
    <row r="764" spans="1:25" ht="13.8">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row>
    <row r="765" spans="1:25" ht="13.8">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row>
    <row r="766" spans="1:25" ht="13.8">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row>
    <row r="767" spans="1:25" ht="13.8">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row>
    <row r="768" spans="1:25" ht="13.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row>
    <row r="769" spans="1:25" ht="13.8">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row>
    <row r="770" spans="1:25" ht="13.8">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row>
    <row r="771" spans="1:25" ht="13.8">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row>
    <row r="772" spans="1:25" ht="13.8">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row>
    <row r="773" spans="1:25" ht="13.8">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row>
    <row r="774" spans="1:25" ht="13.8">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row>
    <row r="775" spans="1:25" ht="13.8">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row>
    <row r="776" spans="1:25" ht="13.8">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row>
    <row r="777" spans="1:25" ht="13.8">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row>
    <row r="778" spans="1:25" ht="13.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row>
    <row r="779" spans="1:25" ht="13.8">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row>
    <row r="780" spans="1:25" ht="13.8">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row>
    <row r="781" spans="1:25" ht="13.8">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row>
    <row r="782" spans="1:25" ht="13.8">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row>
    <row r="783" spans="1:25" ht="13.8">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row>
    <row r="784" spans="1:25" ht="13.8">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row>
    <row r="785" spans="1:25" ht="13.8">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row>
    <row r="786" spans="1:25" ht="13.8">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row>
    <row r="787" spans="1:25" ht="13.8">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row>
    <row r="788" spans="1:25" ht="13.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row>
    <row r="789" spans="1:25" ht="13.8">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row>
    <row r="790" spans="1:25" ht="13.8">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row>
    <row r="791" spans="1:25" ht="13.8">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row>
    <row r="792" spans="1:25" ht="13.8">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row>
    <row r="793" spans="1:25" ht="13.8">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row>
    <row r="794" spans="1:25" ht="13.8">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row>
    <row r="795" spans="1:25" ht="13.8">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row>
    <row r="796" spans="1:25" ht="13.8">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row>
    <row r="797" spans="1:25" ht="13.8">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row>
    <row r="798" spans="1:25" ht="13.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row>
    <row r="799" spans="1:25" ht="13.8">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row>
    <row r="800" spans="1:25" ht="13.8">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row>
    <row r="801" spans="1:25" ht="13.8">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row>
    <row r="802" spans="1:25" ht="13.8">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row>
    <row r="803" spans="1:25" ht="13.8">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row>
    <row r="804" spans="1:25" ht="13.8">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row>
    <row r="805" spans="1:25" ht="13.8">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row>
    <row r="806" spans="1:25" ht="13.8">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row>
    <row r="807" spans="1:25" ht="13.8">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row>
    <row r="808" spans="1:25" ht="13.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row>
    <row r="809" spans="1:25" ht="13.8">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row>
    <row r="810" spans="1:25" ht="13.8">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row>
    <row r="811" spans="1:25" ht="13.8">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row>
    <row r="812" spans="1:25" ht="13.8">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row>
    <row r="813" spans="1:25" ht="13.8">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row>
    <row r="814" spans="1:25" ht="13.8">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row>
    <row r="815" spans="1:25" ht="13.8">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row>
    <row r="816" spans="1:25" ht="13.8">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row>
    <row r="817" spans="1:25" ht="13.8">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row>
    <row r="818" spans="1:25" ht="13.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row>
    <row r="819" spans="1:25" ht="13.8">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row>
    <row r="820" spans="1:25" ht="13.8">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row>
    <row r="821" spans="1:25" ht="13.8">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row>
    <row r="822" spans="1:25" ht="13.8">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row>
    <row r="823" spans="1:25" ht="13.8">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row>
    <row r="824" spans="1:25" ht="13.8">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row>
    <row r="825" spans="1:25" ht="13.8">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row>
    <row r="826" spans="1:25" ht="13.8">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row>
    <row r="827" spans="1:25" ht="13.8">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row>
    <row r="828" spans="1:25" ht="13.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row>
    <row r="829" spans="1:25" ht="13.8">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row>
    <row r="830" spans="1:25" ht="13.8">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row>
    <row r="831" spans="1:25" ht="13.8">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row>
    <row r="832" spans="1:25" ht="13.8">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row>
    <row r="833" spans="1:25" ht="13.8">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row>
    <row r="834" spans="1:25" ht="13.8">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row>
    <row r="835" spans="1:25" ht="13.8">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row>
    <row r="836" spans="1:25" ht="13.8">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row>
    <row r="837" spans="1:25" ht="13.8">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row>
    <row r="838" spans="1:25" ht="1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row>
    <row r="839" spans="1:25" ht="13.8">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row>
    <row r="840" spans="1:25" ht="13.8">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row>
    <row r="841" spans="1:25" ht="13.8">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row>
    <row r="842" spans="1:25" ht="13.8">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row>
    <row r="843" spans="1:25" ht="13.8">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row>
    <row r="844" spans="1:25" ht="13.8">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row>
    <row r="845" spans="1:25" ht="13.8">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row>
    <row r="846" spans="1:25" ht="13.8">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row>
    <row r="847" spans="1:25" ht="13.8">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row>
    <row r="848" spans="1:25" ht="13.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row>
    <row r="849" spans="1:25" ht="13.8">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row>
    <row r="850" spans="1:25" ht="13.8">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row>
    <row r="851" spans="1:25" ht="13.8">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row>
    <row r="852" spans="1:25" ht="13.8">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row>
    <row r="853" spans="1:25" ht="13.8">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row>
    <row r="854" spans="1:25" ht="13.8">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row>
    <row r="855" spans="1:25" ht="13.8">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row>
    <row r="856" spans="1:25" ht="13.8">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row>
    <row r="857" spans="1:25" ht="13.8">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row>
    <row r="858" spans="1:25" ht="13.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row>
    <row r="859" spans="1:25" ht="13.8">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row>
    <row r="860" spans="1:25" ht="13.8">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row>
    <row r="861" spans="1:25" ht="13.8">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row>
    <row r="862" spans="1:25" ht="13.8">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row>
    <row r="863" spans="1:25" ht="13.8">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row>
    <row r="864" spans="1:25" ht="13.8">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row>
    <row r="865" spans="1:25" ht="13.8">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row>
    <row r="866" spans="1:25" ht="13.8">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row>
    <row r="867" spans="1:25" ht="13.8">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row>
    <row r="868" spans="1:25" ht="13.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row>
    <row r="869" spans="1:25" ht="13.8">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row>
    <row r="870" spans="1:25" ht="13.8">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row>
    <row r="871" spans="1:25" ht="13.8">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row>
    <row r="872" spans="1:25" ht="13.8">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row>
    <row r="873" spans="1:25" ht="13.8">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row>
    <row r="874" spans="1:25" ht="13.8">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row>
    <row r="875" spans="1:25" ht="13.8">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row>
    <row r="876" spans="1:25" ht="13.8">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row>
    <row r="877" spans="1:25" ht="13.8">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row>
    <row r="878" spans="1:25" ht="13.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row>
    <row r="879" spans="1:25" ht="13.8">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row>
    <row r="880" spans="1:25" ht="13.8">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row>
    <row r="881" spans="1:25" ht="13.8">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row>
    <row r="882" spans="1:25" ht="13.8">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row>
    <row r="883" spans="1:25" ht="13.8">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row>
    <row r="884" spans="1:25" ht="13.8">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row>
    <row r="885" spans="1:25" ht="13.8">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row>
    <row r="886" spans="1:25" ht="13.8">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row>
    <row r="887" spans="1:25" ht="13.8">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row>
    <row r="888" spans="1:25" ht="13.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row>
    <row r="889" spans="1:25" ht="13.8">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row>
    <row r="890" spans="1:25" ht="13.8">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row>
    <row r="891" spans="1:25" ht="13.8">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row>
    <row r="892" spans="1:25" ht="13.8">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row>
    <row r="893" spans="1:25" ht="13.8">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row>
    <row r="894" spans="1:25" ht="13.8">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row>
    <row r="895" spans="1:25" ht="13.8">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row>
    <row r="896" spans="1:25" ht="13.8">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row>
    <row r="897" spans="1:25" ht="13.8">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row>
    <row r="898" spans="1:25" ht="13.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row>
    <row r="899" spans="1:25" ht="13.8">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row>
    <row r="900" spans="1:25" ht="13.8">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row>
    <row r="901" spans="1:25" ht="13.8">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row>
    <row r="902" spans="1:25" ht="13.8">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row>
    <row r="903" spans="1:25" ht="13.8">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row>
    <row r="904" spans="1:25" ht="13.8">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row>
    <row r="905" spans="1:25" ht="13.8">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row>
    <row r="906" spans="1:25" ht="13.8">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row>
    <row r="907" spans="1:25" ht="13.8">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row>
    <row r="908" spans="1:25" ht="13.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row>
    <row r="909" spans="1:25" ht="13.8">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row>
    <row r="910" spans="1:25" ht="13.8">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row>
    <row r="911" spans="1:25" ht="13.8">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row>
    <row r="912" spans="1:25" ht="13.8">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row>
    <row r="913" spans="1:25" ht="13.8">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row>
    <row r="914" spans="1:25" ht="13.8">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row>
    <row r="915" spans="1:25" ht="13.8">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row>
    <row r="916" spans="1:25" ht="13.8">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row>
    <row r="917" spans="1:25" ht="13.8">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row>
    <row r="918" spans="1:25" ht="13.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row>
    <row r="919" spans="1:25" ht="13.8">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row>
    <row r="920" spans="1:25" ht="13.8">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row>
    <row r="921" spans="1:25" ht="13.8">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row>
    <row r="922" spans="1:25" ht="13.8">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row>
    <row r="923" spans="1:25" ht="13.8">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row>
    <row r="924" spans="1:25" ht="13.8">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row>
    <row r="925" spans="1:25" ht="13.8">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row>
    <row r="926" spans="1:25" ht="13.8">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row>
    <row r="927" spans="1:25" ht="13.8">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row>
    <row r="928" spans="1:25" ht="13.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row>
    <row r="929" spans="1:25" ht="13.8">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row>
    <row r="930" spans="1:25" ht="13.8">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row>
    <row r="931" spans="1:25" ht="13.8">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row>
    <row r="932" spans="1:25" ht="13.8">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row>
    <row r="933" spans="1:25" ht="13.8">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row>
    <row r="934" spans="1:25" ht="13.8">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row>
    <row r="935" spans="1:25" ht="13.8">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row>
    <row r="936" spans="1:25" ht="13.8">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row>
    <row r="937" spans="1:25" ht="13.8">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row>
    <row r="938" spans="1:25" ht="1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row>
    <row r="939" spans="1:25" ht="13.8">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row>
    <row r="940" spans="1:25" ht="13.8">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row>
    <row r="941" spans="1:25" ht="13.8">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row>
    <row r="942" spans="1:25" ht="13.8">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row>
    <row r="943" spans="1:25" ht="13.8">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row>
    <row r="944" spans="1:25" ht="13.8">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row>
    <row r="945" spans="1:25" ht="13.8">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row>
    <row r="946" spans="1:25" ht="13.8">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row>
    <row r="947" spans="1:25" ht="13.8">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row>
    <row r="948" spans="1:25" ht="13.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row>
    <row r="949" spans="1:25" ht="13.8">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row>
    <row r="950" spans="1:25" ht="13.8">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row>
    <row r="951" spans="1:25" ht="13.8">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row>
    <row r="952" spans="1:25" ht="13.8">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row>
    <row r="953" spans="1:25" ht="13.8">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row>
    <row r="954" spans="1:25" ht="13.8">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row>
    <row r="955" spans="1:25" ht="13.8">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row>
    <row r="956" spans="1:25" ht="13.8">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row>
    <row r="957" spans="1:25" ht="13.8">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row>
    <row r="958" spans="1:25" ht="13.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row>
    <row r="959" spans="1:25" ht="13.8">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row>
    <row r="960" spans="1:25" ht="13.8">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row>
    <row r="961" spans="1:25" ht="13.8">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row>
    <row r="962" spans="1:25" ht="13.8">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row>
    <row r="963" spans="1:25" ht="13.8">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row>
    <row r="964" spans="1:25" ht="13.8">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row>
    <row r="965" spans="1:25" ht="13.8">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row>
    <row r="966" spans="1:25" ht="13.8">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row>
    <row r="967" spans="1:25" ht="13.8">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row>
    <row r="968" spans="1:25" ht="13.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row>
    <row r="969" spans="1:25" ht="13.8">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row>
    <row r="970" spans="1:25" ht="13.8">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row>
    <row r="971" spans="1:25" ht="13.8">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row>
    <row r="972" spans="1:25" ht="13.8">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row>
    <row r="973" spans="1:25" ht="13.8">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row>
    <row r="974" spans="1:25" ht="13.8">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row>
    <row r="975" spans="1:25" ht="13.8">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row>
    <row r="976" spans="1:25" ht="13.8">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row>
    <row r="977" spans="1:25" ht="13.8">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row>
    <row r="978" spans="1:25" ht="13.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row>
    <row r="979" spans="1:25" ht="13.8">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row>
    <row r="980" spans="1:25" ht="13.8">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row>
    <row r="981" spans="1:25" ht="13.8">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row>
    <row r="982" spans="1:25" ht="13.8">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row>
    <row r="983" spans="1:25" ht="13.8">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row>
    <row r="984" spans="1:25" ht="13.8">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row>
    <row r="985" spans="1:25" ht="13.8">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row>
    <row r="986" spans="1:25" ht="13.8">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row>
    <row r="987" spans="1:25" ht="13.8">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row>
    <row r="988" spans="1:25" ht="13.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row>
    <row r="989" spans="1:25" ht="13.8">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row>
    <row r="990" spans="1:25" ht="13.8">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row>
    <row r="991" spans="1:25" ht="13.8">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row>
    <row r="992" spans="1:25" ht="13.8">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row>
    <row r="993" spans="1:25" ht="13.8">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row>
    <row r="994" spans="1:25" ht="13.8">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row>
    <row r="995" spans="1:25" ht="13.8">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row>
    <row r="996" spans="1:25" ht="13.8">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row>
    <row r="997" spans="1:25" ht="13.8">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row>
    <row r="998" spans="1:25" ht="13.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row>
    <row r="999" spans="1:25" ht="13.8">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row>
    <row r="1000" spans="1:25" ht="13.8">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row>
    <row r="1001" spans="1:25" ht="13.8">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row>
    <row r="1002" spans="1:25" ht="13.8">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5:S22"/>
  <sheetViews>
    <sheetView workbookViewId="0">
      <selection activeCell="I30" sqref="I30"/>
    </sheetView>
  </sheetViews>
  <sheetFormatPr defaultColWidth="12.6640625" defaultRowHeight="15.75" customHeight="1"/>
  <cols>
    <col min="1" max="1" width="29.109375" style="86" customWidth="1"/>
    <col min="2" max="5" width="29.109375" style="86" hidden="1" customWidth="1"/>
    <col min="6" max="6" width="13.88671875" style="86" customWidth="1"/>
    <col min="7" max="7" width="0.33203125" style="86" hidden="1" customWidth="1"/>
    <col min="8" max="12" width="12.6640625" style="86"/>
    <col min="13" max="13" width="12.6640625" style="86" customWidth="1"/>
    <col min="14" max="16384" width="12.6640625" style="86"/>
  </cols>
  <sheetData>
    <row r="5" spans="1:19" ht="15.75" customHeight="1">
      <c r="A5" s="139" t="s">
        <v>330</v>
      </c>
      <c r="H5" s="89">
        <v>1</v>
      </c>
      <c r="I5" s="89">
        <v>2</v>
      </c>
      <c r="J5" s="89">
        <v>3</v>
      </c>
      <c r="K5" s="89">
        <v>4</v>
      </c>
      <c r="L5" s="89">
        <v>5</v>
      </c>
      <c r="M5" s="89">
        <v>6</v>
      </c>
      <c r="N5" s="89">
        <v>7</v>
      </c>
      <c r="O5" s="89">
        <v>8</v>
      </c>
      <c r="P5" s="89">
        <v>9</v>
      </c>
      <c r="Q5" s="89">
        <v>10</v>
      </c>
      <c r="R5" s="89">
        <v>11</v>
      </c>
      <c r="S5" s="89">
        <v>12</v>
      </c>
    </row>
    <row r="6" spans="1:19" ht="13.8">
      <c r="A6" s="231"/>
      <c r="H6" s="89">
        <v>2023</v>
      </c>
      <c r="I6" s="89">
        <v>2024</v>
      </c>
      <c r="J6" s="89">
        <v>2025</v>
      </c>
      <c r="K6" s="89">
        <v>2026</v>
      </c>
      <c r="L6" s="89">
        <v>2027</v>
      </c>
      <c r="M6" s="89">
        <v>2028</v>
      </c>
      <c r="N6" s="89">
        <v>2029</v>
      </c>
      <c r="O6" s="89">
        <v>2030</v>
      </c>
      <c r="P6" s="89">
        <v>2031</v>
      </c>
      <c r="Q6" s="89">
        <v>2032</v>
      </c>
      <c r="R6" s="89">
        <v>2033</v>
      </c>
      <c r="S6" s="89">
        <v>2034</v>
      </c>
    </row>
    <row r="7" spans="1:19" ht="13.8">
      <c r="A7" s="139" t="s">
        <v>331</v>
      </c>
      <c r="H7" s="140">
        <f>'Cost of Capital'!$G$16</f>
        <v>9.9750000000000005E-2</v>
      </c>
      <c r="I7" s="140">
        <f>'Cost of Capital'!$G$16</f>
        <v>9.9750000000000005E-2</v>
      </c>
      <c r="J7" s="140">
        <f>'Cost of Capital'!$G$16</f>
        <v>9.9750000000000005E-2</v>
      </c>
      <c r="K7" s="140">
        <f>'Cost of Capital'!$G$16</f>
        <v>9.9750000000000005E-2</v>
      </c>
      <c r="L7" s="140">
        <f>'Cost of Capital'!$G$16</f>
        <v>9.9750000000000005E-2</v>
      </c>
      <c r="M7" s="140">
        <f>'Cost of Capital'!$G$16</f>
        <v>9.9750000000000005E-2</v>
      </c>
      <c r="N7" s="140">
        <f>'Cost of Capital'!$G$16</f>
        <v>9.9750000000000005E-2</v>
      </c>
      <c r="O7" s="140">
        <f>'Cost of Capital'!$G$16</f>
        <v>9.9750000000000005E-2</v>
      </c>
      <c r="P7" s="140">
        <f>'Cost of Capital'!$G$16</f>
        <v>9.9750000000000005E-2</v>
      </c>
      <c r="Q7" s="140">
        <f>'Cost of Capital'!$G$16</f>
        <v>9.9750000000000005E-2</v>
      </c>
      <c r="R7" s="140">
        <f>'Cost of Capital'!$G$16</f>
        <v>9.9750000000000005E-2</v>
      </c>
      <c r="S7" s="140">
        <f>'Cost of Capital'!$G$16</f>
        <v>9.9750000000000005E-2</v>
      </c>
    </row>
    <row r="8" spans="1:19" ht="15.75" customHeight="1">
      <c r="A8" s="231"/>
    </row>
    <row r="9" spans="1:19" ht="13.8">
      <c r="A9" s="231" t="s">
        <v>332</v>
      </c>
      <c r="H9" s="114">
        <f>'Balance Sheet'!I40</f>
        <v>2646556</v>
      </c>
      <c r="I9" s="114">
        <f>'Balance Sheet'!J40</f>
        <v>2485930.8656308763</v>
      </c>
      <c r="J9" s="114">
        <f>'Balance Sheet'!K40</f>
        <v>2788714.5394460731</v>
      </c>
      <c r="K9" s="114">
        <f>'Balance Sheet'!L40</f>
        <v>3149559.860075736</v>
      </c>
      <c r="L9" s="114">
        <f>'Balance Sheet'!M40</f>
        <v>3643083.2720522257</v>
      </c>
      <c r="M9" s="114">
        <f>'Balance Sheet'!N40</f>
        <v>4140628.5194922849</v>
      </c>
      <c r="N9" s="114">
        <f>'Balance Sheet'!O40</f>
        <v>4648790.7610368393</v>
      </c>
      <c r="O9" s="114">
        <f>'Balance Sheet'!P40</f>
        <v>5089002.9978961255</v>
      </c>
      <c r="P9" s="114">
        <f>'Balance Sheet'!Q40</f>
        <v>5487121.5133324908</v>
      </c>
      <c r="Q9" s="114">
        <f>'Balance Sheet'!R40</f>
        <v>5881768.316327638</v>
      </c>
      <c r="R9" s="114">
        <f>'Balance Sheet'!S40</f>
        <v>6292979.1473793052</v>
      </c>
      <c r="S9" s="114">
        <f>'Balance Sheet'!T40</f>
        <v>6731606.6359614097</v>
      </c>
    </row>
    <row r="10" spans="1:19" ht="13.8">
      <c r="A10" s="231" t="s">
        <v>333</v>
      </c>
      <c r="H10" s="114">
        <f>'Income Statement'!J43</f>
        <v>-692382.72238493245</v>
      </c>
      <c r="I10" s="114">
        <f>'Income Statement'!K43</f>
        <v>-767873.39310244587</v>
      </c>
      <c r="J10" s="114">
        <f>'Income Statement'!L43</f>
        <v>-166872.07895292394</v>
      </c>
      <c r="K10" s="114">
        <f>'Income Statement'!M43</f>
        <v>69761.413110481517</v>
      </c>
      <c r="L10" s="114">
        <f>'Income Statement'!N43</f>
        <v>360427.50226552336</v>
      </c>
      <c r="M10" s="114">
        <f>'Income Statement'!O43</f>
        <v>699174.61211830482</v>
      </c>
      <c r="N10" s="114">
        <f>'Income Statement'!P43</f>
        <v>951638.7596216182</v>
      </c>
      <c r="O10" s="114">
        <f>'Income Statement'!Q43</f>
        <v>1117245.4846455636</v>
      </c>
      <c r="P10" s="114">
        <f>'Income Statement'!R43</f>
        <v>1122152.4022175379</v>
      </c>
      <c r="Q10" s="114">
        <f>'Income Statement'!S43</f>
        <v>1109295.8100988492</v>
      </c>
      <c r="R10" s="114">
        <f>'Income Statement'!T43</f>
        <v>1179693.9438721321</v>
      </c>
      <c r="S10" s="114">
        <f>'Income Statement'!U43</f>
        <v>1252349.019064381</v>
      </c>
    </row>
    <row r="11" spans="1:19" ht="13.8">
      <c r="A11" s="231" t="s">
        <v>334</v>
      </c>
      <c r="H11" s="114">
        <f t="shared" ref="H11:S11" si="0">H10-(H7*H9)</f>
        <v>-956376.68338493246</v>
      </c>
      <c r="I11" s="114">
        <f t="shared" si="0"/>
        <v>-1015844.9969491258</v>
      </c>
      <c r="J11" s="114">
        <f t="shared" si="0"/>
        <v>-445046.35426266975</v>
      </c>
      <c r="K11" s="114">
        <f t="shared" si="0"/>
        <v>-244407.18293207313</v>
      </c>
      <c r="L11" s="114">
        <f t="shared" si="0"/>
        <v>-2970.0541216861457</v>
      </c>
      <c r="M11" s="114">
        <f t="shared" si="0"/>
        <v>286146.91729894938</v>
      </c>
      <c r="N11" s="114">
        <f t="shared" si="0"/>
        <v>487921.88120819343</v>
      </c>
      <c r="O11" s="114">
        <f t="shared" si="0"/>
        <v>609617.43560542515</v>
      </c>
      <c r="P11" s="114">
        <f t="shared" si="0"/>
        <v>574812.03126262187</v>
      </c>
      <c r="Q11" s="114">
        <f t="shared" si="0"/>
        <v>522589.42054516729</v>
      </c>
      <c r="R11" s="114">
        <f t="shared" si="0"/>
        <v>551969.27392104641</v>
      </c>
      <c r="S11" s="114">
        <f t="shared" si="0"/>
        <v>580871.2571272304</v>
      </c>
    </row>
    <row r="12" spans="1:19" ht="13.8">
      <c r="A12" s="231" t="s">
        <v>335</v>
      </c>
      <c r="H12" s="227">
        <f t="shared" ref="H12:S12" si="1">1/(1+H7)^H5</f>
        <v>0.9092975676290066</v>
      </c>
      <c r="I12" s="227">
        <f t="shared" si="1"/>
        <v>0.82682206649602785</v>
      </c>
      <c r="J12" s="227">
        <f t="shared" si="1"/>
        <v>0.75182729392682679</v>
      </c>
      <c r="K12" s="227">
        <f t="shared" si="1"/>
        <v>0.68363472964476191</v>
      </c>
      <c r="L12" s="227">
        <f t="shared" si="1"/>
        <v>0.62162739681269552</v>
      </c>
      <c r="M12" s="227">
        <f t="shared" si="1"/>
        <v>0.56524427989333526</v>
      </c>
      <c r="N12" s="227">
        <f t="shared" si="1"/>
        <v>0.5139752488232191</v>
      </c>
      <c r="O12" s="227">
        <f t="shared" si="1"/>
        <v>0.46735644357646666</v>
      </c>
      <c r="P12" s="227">
        <f t="shared" si="1"/>
        <v>0.42496607735982422</v>
      </c>
      <c r="Q12" s="227">
        <f t="shared" si="1"/>
        <v>0.38642062046812842</v>
      </c>
      <c r="R12" s="227">
        <f t="shared" si="1"/>
        <v>0.35137133027336065</v>
      </c>
      <c r="S12" s="227">
        <f t="shared" si="1"/>
        <v>0.31950109595213522</v>
      </c>
    </row>
    <row r="13" spans="1:19" ht="13.8">
      <c r="A13" s="231" t="s">
        <v>336</v>
      </c>
      <c r="H13" s="228">
        <f t="shared" ref="H13:S13" si="2">H11*H12</f>
        <v>-869630.99193901569</v>
      </c>
      <c r="I13" s="228">
        <f t="shared" si="2"/>
        <v>-839923.05961712729</v>
      </c>
      <c r="J13" s="228">
        <f t="shared" si="2"/>
        <v>-334597.99619730288</v>
      </c>
      <c r="K13" s="228">
        <f t="shared" si="2"/>
        <v>-167085.23842700568</v>
      </c>
      <c r="L13" s="228">
        <f t="shared" si="2"/>
        <v>-1846.2670120565756</v>
      </c>
      <c r="M13" s="228">
        <f t="shared" si="2"/>
        <v>161742.90821234239</v>
      </c>
      <c r="N13" s="228">
        <f t="shared" si="2"/>
        <v>250779.77030027437</v>
      </c>
      <c r="O13" s="228">
        <f t="shared" si="2"/>
        <v>284908.63664675719</v>
      </c>
      <c r="P13" s="228">
        <f t="shared" si="2"/>
        <v>244275.61414490905</v>
      </c>
      <c r="Q13" s="228">
        <f t="shared" si="2"/>
        <v>201939.32813714325</v>
      </c>
      <c r="R13" s="228">
        <f t="shared" si="2"/>
        <v>193946.17804765908</v>
      </c>
      <c r="S13" s="228">
        <f t="shared" si="2"/>
        <v>185589.00325924464</v>
      </c>
    </row>
    <row r="14" spans="1:19" ht="13.8">
      <c r="A14" s="231" t="s">
        <v>337</v>
      </c>
      <c r="F14" s="228">
        <f>SUM(H13:R13)</f>
        <v>-875491.1177034229</v>
      </c>
    </row>
    <row r="15" spans="1:19" ht="13.8">
      <c r="A15" s="231" t="s">
        <v>338</v>
      </c>
      <c r="F15" s="85">
        <f>COUNT(H6:S6)</f>
        <v>12</v>
      </c>
    </row>
    <row r="16" spans="1:19" ht="13.8">
      <c r="A16" s="231" t="s">
        <v>339</v>
      </c>
      <c r="F16" s="110">
        <f>NOPAT!U24</f>
        <v>6.2463267893858587E-2</v>
      </c>
    </row>
    <row r="17" spans="1:6" ht="13.8">
      <c r="A17" s="231" t="s">
        <v>340</v>
      </c>
      <c r="F17" s="228">
        <f>((S10-S7*S9)/(S7-F16))/(1+S7)^F15</f>
        <v>4977346.9750833074</v>
      </c>
    </row>
    <row r="18" spans="1:6" ht="13.8">
      <c r="A18" s="231" t="s">
        <v>341</v>
      </c>
      <c r="F18" s="114">
        <f>H9+F14+F17</f>
        <v>6748411.8573798845</v>
      </c>
    </row>
    <row r="19" spans="1:6" ht="13.8">
      <c r="A19" s="231" t="s">
        <v>342</v>
      </c>
      <c r="F19" s="225">
        <f>'DCF Valuation'!I61</f>
        <v>137668</v>
      </c>
    </row>
    <row r="20" spans="1:6" ht="13.8">
      <c r="A20" s="231" t="s">
        <v>329</v>
      </c>
      <c r="F20" s="229">
        <f>F18/F19</f>
        <v>49.019466087833663</v>
      </c>
    </row>
    <row r="21" spans="1:6" ht="13.8">
      <c r="A21" s="231"/>
    </row>
    <row r="22" spans="1:6" ht="13.8">
      <c r="A22" s="231" t="s">
        <v>343</v>
      </c>
      <c r="F22" s="230">
        <f>F20-'DCF Valuation'!I64</f>
        <v>28.425546473152401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C28" sqref="A1:XFD1048576"/>
    </sheetView>
  </sheetViews>
  <sheetFormatPr defaultColWidth="12.6640625" defaultRowHeight="15.75" customHeight="1"/>
  <cols>
    <col min="1" max="1" width="38.33203125" customWidth="1"/>
    <col min="2" max="2" width="22.88671875" customWidth="1"/>
  </cols>
  <sheetData>
    <row r="1" spans="1:26" ht="15.75" customHeight="1">
      <c r="A1" s="10"/>
      <c r="B1" s="47"/>
      <c r="C1" s="47"/>
      <c r="D1" s="47"/>
      <c r="E1" s="47"/>
      <c r="F1" s="47"/>
      <c r="G1" s="47"/>
      <c r="H1" s="47"/>
      <c r="I1" s="47"/>
      <c r="J1" s="47"/>
      <c r="K1" s="47"/>
      <c r="L1" s="47"/>
      <c r="M1" s="47"/>
      <c r="N1" s="47"/>
      <c r="O1" s="47"/>
      <c r="P1" s="47"/>
      <c r="Q1" s="47"/>
      <c r="R1" s="47"/>
      <c r="S1" s="47"/>
      <c r="T1" s="47"/>
      <c r="U1" s="47"/>
      <c r="V1" s="47"/>
      <c r="W1" s="47"/>
      <c r="X1" s="47"/>
      <c r="Y1" s="47"/>
      <c r="Z1" s="47"/>
    </row>
    <row r="2" spans="1:26" ht="13.2">
      <c r="A2" s="10" t="s">
        <v>344</v>
      </c>
      <c r="B2" s="47"/>
      <c r="C2" s="47"/>
      <c r="D2" s="47"/>
      <c r="E2" s="47"/>
      <c r="F2" s="47"/>
      <c r="G2" s="47"/>
      <c r="H2" s="47"/>
      <c r="I2" s="47"/>
      <c r="J2" s="47"/>
      <c r="K2" s="47"/>
      <c r="L2" s="47"/>
      <c r="M2" s="47"/>
      <c r="N2" s="47"/>
      <c r="O2" s="47"/>
      <c r="P2" s="47"/>
      <c r="Q2" s="47"/>
      <c r="R2" s="47"/>
      <c r="S2" s="47"/>
      <c r="T2" s="47"/>
      <c r="U2" s="47"/>
      <c r="V2" s="47"/>
      <c r="W2" s="47"/>
      <c r="X2" s="47"/>
      <c r="Y2" s="47"/>
      <c r="Z2" s="47"/>
    </row>
    <row r="3" spans="1:26" ht="13.2">
      <c r="A3" s="48"/>
      <c r="B3" s="48"/>
      <c r="C3" s="48"/>
      <c r="D3" s="47"/>
      <c r="E3" s="49" t="s">
        <v>345</v>
      </c>
      <c r="F3" s="47"/>
      <c r="G3" s="47"/>
      <c r="H3" s="47"/>
      <c r="I3" s="47"/>
      <c r="J3" s="47"/>
      <c r="K3" s="47"/>
      <c r="L3" s="47"/>
      <c r="M3" s="47"/>
      <c r="N3" s="47"/>
      <c r="O3" s="47"/>
      <c r="P3" s="47"/>
      <c r="Q3" s="47"/>
      <c r="R3" s="47"/>
      <c r="S3" s="47"/>
      <c r="T3" s="47"/>
      <c r="U3" s="47"/>
      <c r="V3" s="47"/>
      <c r="W3" s="47"/>
      <c r="X3" s="47"/>
      <c r="Y3" s="47"/>
      <c r="Z3" s="47"/>
    </row>
    <row r="4" spans="1:26" ht="13.2">
      <c r="A4" s="50" t="s">
        <v>346</v>
      </c>
      <c r="B4" s="51"/>
      <c r="C4" s="52"/>
      <c r="D4" s="47"/>
      <c r="E4" s="47"/>
      <c r="F4" s="47"/>
      <c r="G4" s="47"/>
      <c r="H4" s="47"/>
      <c r="I4" s="47"/>
      <c r="J4" s="47"/>
      <c r="K4" s="47"/>
      <c r="L4" s="47"/>
      <c r="M4" s="47"/>
      <c r="N4" s="47"/>
      <c r="O4" s="47"/>
      <c r="P4" s="47"/>
      <c r="Q4" s="47"/>
      <c r="R4" s="47"/>
      <c r="S4" s="47"/>
      <c r="T4" s="47"/>
      <c r="U4" s="47"/>
      <c r="V4" s="47"/>
      <c r="W4" s="47"/>
      <c r="X4" s="47"/>
      <c r="Y4" s="47"/>
      <c r="Z4" s="47"/>
    </row>
    <row r="5" spans="1:26" ht="13.2">
      <c r="A5" s="53" t="s">
        <v>347</v>
      </c>
      <c r="B5" s="54"/>
      <c r="C5" s="55"/>
      <c r="D5" s="47"/>
      <c r="E5" s="47"/>
      <c r="F5" s="47"/>
      <c r="G5" s="47"/>
      <c r="H5" s="47"/>
      <c r="I5" s="47"/>
      <c r="J5" s="47"/>
      <c r="K5" s="47"/>
      <c r="L5" s="47"/>
      <c r="M5" s="47"/>
      <c r="N5" s="47"/>
      <c r="O5" s="47"/>
      <c r="P5" s="47"/>
      <c r="Q5" s="47"/>
      <c r="R5" s="47"/>
      <c r="S5" s="47"/>
      <c r="T5" s="47"/>
      <c r="U5" s="47"/>
      <c r="V5" s="47"/>
      <c r="W5" s="47"/>
      <c r="X5" s="47"/>
      <c r="Y5" s="47"/>
      <c r="Z5" s="47"/>
    </row>
    <row r="6" spans="1:26" ht="13.2">
      <c r="A6" s="56" t="s">
        <v>348</v>
      </c>
      <c r="B6" s="57">
        <f>'Cost of Capital'!M29</f>
        <v>40.700000000000003</v>
      </c>
      <c r="C6" s="58"/>
      <c r="D6" s="47"/>
      <c r="E6" s="47"/>
      <c r="F6" s="47"/>
      <c r="G6" s="47"/>
      <c r="H6" s="47"/>
      <c r="I6" s="47"/>
      <c r="J6" s="47"/>
      <c r="K6" s="47"/>
      <c r="L6" s="47"/>
      <c r="M6" s="47"/>
      <c r="N6" s="47"/>
      <c r="O6" s="47"/>
      <c r="P6" s="47"/>
      <c r="Q6" s="47"/>
      <c r="R6" s="47"/>
      <c r="S6" s="47"/>
      <c r="T6" s="47"/>
      <c r="U6" s="47"/>
      <c r="V6" s="47"/>
      <c r="W6" s="47"/>
      <c r="X6" s="47"/>
      <c r="Y6" s="47"/>
      <c r="Z6" s="47"/>
    </row>
    <row r="7" spans="1:26" ht="13.2">
      <c r="A7" s="56" t="s">
        <v>349</v>
      </c>
      <c r="B7" s="59">
        <v>72.790000000000006</v>
      </c>
      <c r="C7" s="58"/>
      <c r="D7" s="47"/>
      <c r="E7" s="47"/>
      <c r="F7" s="47"/>
      <c r="G7" s="47"/>
      <c r="H7" s="47"/>
      <c r="I7" s="47"/>
      <c r="J7" s="47"/>
      <c r="K7" s="47"/>
      <c r="L7" s="47"/>
      <c r="M7" s="47"/>
      <c r="N7" s="47"/>
      <c r="O7" s="47"/>
      <c r="P7" s="47"/>
      <c r="Q7" s="47"/>
      <c r="R7" s="47"/>
      <c r="S7" s="47"/>
      <c r="T7" s="47"/>
      <c r="U7" s="47"/>
      <c r="V7" s="47"/>
      <c r="W7" s="47"/>
      <c r="X7" s="47"/>
      <c r="Y7" s="47"/>
      <c r="Z7" s="47"/>
    </row>
    <row r="8" spans="1:26" ht="13.2">
      <c r="A8" s="56" t="s">
        <v>350</v>
      </c>
      <c r="B8" s="60">
        <v>0.59</v>
      </c>
      <c r="C8" s="58"/>
      <c r="D8" s="47"/>
      <c r="E8" s="47"/>
      <c r="F8" s="47"/>
      <c r="G8" s="47"/>
      <c r="H8" s="47"/>
      <c r="I8" s="47"/>
      <c r="J8" s="47"/>
      <c r="K8" s="47"/>
      <c r="L8" s="47"/>
      <c r="M8" s="47"/>
      <c r="N8" s="47"/>
      <c r="O8" s="47"/>
      <c r="P8" s="47"/>
      <c r="Q8" s="47"/>
      <c r="R8" s="47"/>
      <c r="S8" s="47"/>
      <c r="T8" s="47"/>
      <c r="U8" s="47"/>
      <c r="V8" s="47"/>
      <c r="W8" s="47"/>
      <c r="X8" s="47"/>
      <c r="Y8" s="47"/>
      <c r="Z8" s="47"/>
    </row>
    <row r="9" spans="1:26" ht="13.2">
      <c r="A9" s="56" t="s">
        <v>351</v>
      </c>
      <c r="B9" s="60">
        <v>2.8500000000000001E-2</v>
      </c>
      <c r="C9" s="58"/>
      <c r="D9" s="47"/>
      <c r="E9" s="47"/>
      <c r="F9" s="47"/>
      <c r="G9" s="47"/>
      <c r="H9" s="47"/>
      <c r="I9" s="47"/>
      <c r="J9" s="47"/>
      <c r="K9" s="47"/>
      <c r="L9" s="47"/>
      <c r="M9" s="47"/>
      <c r="N9" s="47"/>
      <c r="O9" s="47"/>
      <c r="P9" s="47"/>
      <c r="Q9" s="47"/>
      <c r="R9" s="47"/>
      <c r="S9" s="47"/>
      <c r="T9" s="47"/>
      <c r="U9" s="47"/>
      <c r="V9" s="47"/>
      <c r="W9" s="47"/>
      <c r="X9" s="47"/>
      <c r="Y9" s="47"/>
      <c r="Z9" s="47"/>
    </row>
    <row r="10" spans="1:26" ht="13.2">
      <c r="A10" s="56" t="s">
        <v>352</v>
      </c>
      <c r="B10" s="61">
        <v>5.9</v>
      </c>
      <c r="C10" s="58" t="s">
        <v>353</v>
      </c>
      <c r="D10" s="47"/>
      <c r="E10" s="47"/>
      <c r="F10" s="47"/>
      <c r="G10" s="47"/>
      <c r="H10" s="47"/>
      <c r="I10" s="47"/>
      <c r="J10" s="47"/>
      <c r="K10" s="47"/>
      <c r="L10" s="47"/>
      <c r="M10" s="47"/>
      <c r="N10" s="47"/>
      <c r="O10" s="47"/>
      <c r="P10" s="47"/>
      <c r="Q10" s="47"/>
      <c r="R10" s="47"/>
      <c r="S10" s="47"/>
      <c r="T10" s="47"/>
      <c r="U10" s="47"/>
      <c r="V10" s="47"/>
      <c r="W10" s="47"/>
      <c r="X10" s="47"/>
      <c r="Y10" s="47"/>
      <c r="Z10" s="47"/>
    </row>
    <row r="11" spans="1:26" ht="13.2">
      <c r="A11" s="56" t="s">
        <v>354</v>
      </c>
      <c r="B11" s="60">
        <v>0</v>
      </c>
      <c r="C11" s="58"/>
      <c r="D11" s="47"/>
      <c r="E11" s="47"/>
      <c r="F11" s="47"/>
      <c r="G11" s="47"/>
      <c r="H11" s="47"/>
      <c r="I11" s="47"/>
      <c r="J11" s="47"/>
      <c r="K11" s="47"/>
      <c r="L11" s="47"/>
      <c r="M11" s="47"/>
      <c r="N11" s="47"/>
      <c r="O11" s="47"/>
      <c r="P11" s="47"/>
      <c r="Q11" s="47"/>
      <c r="R11" s="47"/>
      <c r="S11" s="47"/>
      <c r="T11" s="47"/>
      <c r="U11" s="47"/>
      <c r="V11" s="47"/>
      <c r="W11" s="47"/>
      <c r="X11" s="47"/>
      <c r="Y11" s="47"/>
      <c r="Z11" s="47"/>
    </row>
    <row r="12" spans="1:26" ht="13.2">
      <c r="A12" s="62" t="s">
        <v>355</v>
      </c>
      <c r="B12" s="63">
        <v>5807</v>
      </c>
      <c r="C12" s="58"/>
      <c r="D12" s="47"/>
      <c r="E12" s="47"/>
      <c r="F12" s="47"/>
      <c r="G12" s="47"/>
      <c r="H12" s="47"/>
      <c r="I12" s="47"/>
      <c r="J12" s="47"/>
      <c r="K12" s="47"/>
      <c r="L12" s="47"/>
      <c r="M12" s="47"/>
      <c r="N12" s="47"/>
      <c r="O12" s="47"/>
      <c r="P12" s="47"/>
      <c r="Q12" s="47"/>
      <c r="R12" s="47"/>
      <c r="S12" s="47"/>
      <c r="T12" s="47"/>
      <c r="U12" s="47"/>
      <c r="V12" s="47"/>
      <c r="W12" s="47"/>
      <c r="X12" s="47"/>
      <c r="Y12" s="47"/>
      <c r="Z12" s="47"/>
    </row>
    <row r="13" spans="1:26" ht="13.2">
      <c r="A13" s="62" t="s">
        <v>356</v>
      </c>
      <c r="B13" s="63">
        <v>137668</v>
      </c>
      <c r="C13" s="58"/>
      <c r="D13" s="47"/>
      <c r="E13" s="47"/>
      <c r="F13" s="47"/>
      <c r="G13" s="47"/>
      <c r="H13" s="47"/>
      <c r="I13" s="47"/>
      <c r="J13" s="47"/>
      <c r="K13" s="47"/>
      <c r="L13" s="47"/>
      <c r="M13" s="47"/>
      <c r="N13" s="47"/>
      <c r="O13" s="47"/>
      <c r="P13" s="47"/>
      <c r="Q13" s="47"/>
      <c r="R13" s="47"/>
      <c r="S13" s="47"/>
      <c r="T13" s="47"/>
      <c r="U13" s="47"/>
      <c r="V13" s="47"/>
      <c r="W13" s="47"/>
      <c r="X13" s="47"/>
      <c r="Y13" s="47"/>
      <c r="Z13" s="47"/>
    </row>
    <row r="14" spans="1:26" ht="13.2">
      <c r="A14" s="64" t="s">
        <v>357</v>
      </c>
      <c r="B14" s="65">
        <f>'IS Assumptions'!J58</f>
        <v>0.21</v>
      </c>
      <c r="C14" s="66"/>
      <c r="D14" s="47"/>
      <c r="E14" s="47"/>
      <c r="F14" s="47"/>
      <c r="G14" s="47"/>
      <c r="H14" s="47"/>
      <c r="I14" s="47"/>
      <c r="J14" s="47"/>
      <c r="K14" s="47"/>
      <c r="L14" s="47"/>
      <c r="M14" s="47"/>
      <c r="N14" s="47"/>
      <c r="O14" s="47"/>
      <c r="P14" s="47"/>
      <c r="Q14" s="47"/>
      <c r="R14" s="47"/>
      <c r="S14" s="47"/>
      <c r="T14" s="47"/>
      <c r="U14" s="47"/>
      <c r="V14" s="47"/>
      <c r="W14" s="47"/>
      <c r="X14" s="47"/>
      <c r="Y14" s="47"/>
      <c r="Z14" s="47"/>
    </row>
    <row r="15" spans="1:26" ht="13.2">
      <c r="A15" s="53" t="s">
        <v>358</v>
      </c>
      <c r="B15" s="54"/>
      <c r="C15" s="55"/>
      <c r="D15" s="47"/>
      <c r="E15" s="47"/>
      <c r="F15" s="47"/>
      <c r="G15" s="47"/>
      <c r="H15" s="47"/>
      <c r="I15" s="47"/>
      <c r="J15" s="47"/>
      <c r="K15" s="47"/>
      <c r="L15" s="47"/>
      <c r="M15" s="47"/>
      <c r="N15" s="47"/>
      <c r="O15" s="47"/>
      <c r="P15" s="47"/>
      <c r="Q15" s="47"/>
      <c r="R15" s="47"/>
      <c r="S15" s="47"/>
      <c r="T15" s="47"/>
      <c r="U15" s="47"/>
      <c r="V15" s="47"/>
      <c r="W15" s="47"/>
      <c r="X15" s="47"/>
      <c r="Y15" s="47"/>
      <c r="Z15" s="47"/>
    </row>
    <row r="16" spans="1:26" ht="13.2">
      <c r="A16" s="56"/>
      <c r="B16" s="67"/>
      <c r="C16" s="58"/>
      <c r="D16" s="47"/>
      <c r="E16" s="47"/>
      <c r="F16" s="47"/>
      <c r="G16" s="47"/>
      <c r="H16" s="47"/>
      <c r="I16" s="47"/>
      <c r="J16" s="47"/>
      <c r="K16" s="47"/>
      <c r="L16" s="47"/>
      <c r="M16" s="47"/>
      <c r="N16" s="47"/>
      <c r="O16" s="47"/>
      <c r="P16" s="47"/>
      <c r="Q16" s="47"/>
      <c r="R16" s="47"/>
      <c r="S16" s="47"/>
      <c r="T16" s="47"/>
      <c r="U16" s="47"/>
      <c r="V16" s="47"/>
      <c r="W16" s="47"/>
      <c r="X16" s="47"/>
      <c r="Y16" s="47"/>
      <c r="Z16" s="47"/>
    </row>
    <row r="17" spans="1:26" ht="13.2">
      <c r="A17" s="56" t="s">
        <v>359</v>
      </c>
      <c r="B17" s="68">
        <f>(LN((B6*EXP(-B11*B10))/B7)+((B9+((B8)^2)/2)*B10)) / ((B8)*SQRT(B10))</f>
        <v>0.42822717142651862</v>
      </c>
      <c r="C17" s="58"/>
      <c r="D17" s="47"/>
      <c r="E17" s="47"/>
      <c r="F17" s="47"/>
      <c r="G17" s="47"/>
      <c r="H17" s="47"/>
      <c r="I17" s="47"/>
      <c r="J17" s="47"/>
      <c r="K17" s="47"/>
      <c r="L17" s="47"/>
      <c r="M17" s="47"/>
      <c r="N17" s="47"/>
      <c r="O17" s="47"/>
      <c r="P17" s="47"/>
      <c r="Q17" s="47"/>
      <c r="R17" s="47"/>
      <c r="S17" s="47"/>
      <c r="T17" s="47"/>
      <c r="U17" s="47"/>
      <c r="V17" s="47"/>
      <c r="W17" s="47"/>
      <c r="X17" s="47"/>
      <c r="Y17" s="47"/>
      <c r="Z17" s="47"/>
    </row>
    <row r="18" spans="1:26" ht="13.2">
      <c r="A18" s="56" t="s">
        <v>360</v>
      </c>
      <c r="B18" s="68">
        <f>B17-B8*SQRT(B10)</f>
        <v>-1.0048778491494332</v>
      </c>
      <c r="C18" s="58"/>
      <c r="D18" s="47"/>
      <c r="E18" s="47"/>
      <c r="F18" s="47"/>
      <c r="G18" s="47"/>
      <c r="H18" s="47"/>
      <c r="I18" s="47"/>
      <c r="J18" s="47"/>
      <c r="K18" s="47"/>
      <c r="L18" s="47"/>
      <c r="M18" s="47"/>
      <c r="N18" s="47"/>
      <c r="O18" s="47"/>
      <c r="P18" s="47"/>
      <c r="Q18" s="47"/>
      <c r="R18" s="47"/>
      <c r="S18" s="47"/>
      <c r="T18" s="47"/>
      <c r="U18" s="47"/>
      <c r="V18" s="47"/>
      <c r="W18" s="47"/>
      <c r="X18" s="47"/>
      <c r="Y18" s="47"/>
      <c r="Z18" s="47"/>
    </row>
    <row r="19" spans="1:26" ht="13.2">
      <c r="A19" s="56" t="s">
        <v>361</v>
      </c>
      <c r="B19" s="68">
        <f t="shared" ref="B19:B20" si="0">NORMSDIST(B17)</f>
        <v>0.66575713204524456</v>
      </c>
      <c r="C19" s="58"/>
      <c r="D19" s="47"/>
      <c r="E19" s="47"/>
      <c r="F19" s="47"/>
      <c r="G19" s="47"/>
      <c r="H19" s="47"/>
      <c r="I19" s="47"/>
      <c r="J19" s="47"/>
      <c r="K19" s="47"/>
      <c r="L19" s="47"/>
      <c r="M19" s="47"/>
      <c r="N19" s="47"/>
      <c r="O19" s="47"/>
      <c r="P19" s="47"/>
      <c r="Q19" s="47"/>
      <c r="R19" s="47"/>
      <c r="S19" s="47"/>
      <c r="T19" s="47"/>
      <c r="U19" s="47"/>
      <c r="V19" s="47"/>
      <c r="W19" s="47"/>
      <c r="X19" s="47"/>
      <c r="Y19" s="47"/>
      <c r="Z19" s="47"/>
    </row>
    <row r="20" spans="1:26" ht="13.2">
      <c r="A20" s="64" t="s">
        <v>362</v>
      </c>
      <c r="B20" s="69">
        <f t="shared" si="0"/>
        <v>0.15747783588187875</v>
      </c>
      <c r="C20" s="66"/>
      <c r="D20" s="47"/>
      <c r="E20" s="47"/>
      <c r="F20" s="47"/>
      <c r="G20" s="47"/>
      <c r="H20" s="47"/>
      <c r="I20" s="47"/>
      <c r="J20" s="47"/>
      <c r="K20" s="47"/>
      <c r="L20" s="47"/>
      <c r="M20" s="47"/>
      <c r="N20" s="47"/>
      <c r="O20" s="47"/>
      <c r="P20" s="47"/>
      <c r="Q20" s="47"/>
      <c r="R20" s="47"/>
      <c r="S20" s="47"/>
      <c r="T20" s="47"/>
      <c r="U20" s="47"/>
      <c r="V20" s="47"/>
      <c r="W20" s="47"/>
      <c r="X20" s="47"/>
      <c r="Y20" s="47"/>
      <c r="Z20" s="47"/>
    </row>
    <row r="21" spans="1:26" ht="13.2">
      <c r="A21" s="56" t="s">
        <v>363</v>
      </c>
      <c r="B21" s="70">
        <f>(B6*EXP(-B11*B10))*B19-B7*EXP(-B9*B10)*B20</f>
        <v>17.407636880253264</v>
      </c>
      <c r="C21" s="58"/>
      <c r="D21" s="47"/>
      <c r="E21" s="47"/>
      <c r="F21" s="47"/>
      <c r="G21" s="47"/>
      <c r="H21" s="47"/>
      <c r="I21" s="47"/>
      <c r="J21" s="47"/>
      <c r="K21" s="47"/>
      <c r="L21" s="47"/>
      <c r="M21" s="47"/>
      <c r="N21" s="47"/>
      <c r="O21" s="47"/>
      <c r="P21" s="47"/>
      <c r="Q21" s="47"/>
      <c r="R21" s="47"/>
      <c r="S21" s="47"/>
      <c r="T21" s="47"/>
      <c r="U21" s="47"/>
      <c r="V21" s="47"/>
      <c r="W21" s="47"/>
      <c r="X21" s="47"/>
      <c r="Y21" s="47"/>
      <c r="Z21" s="47"/>
    </row>
    <row r="22" spans="1:26" ht="13.2">
      <c r="A22" s="71" t="s">
        <v>364</v>
      </c>
      <c r="B22" s="72">
        <f>B12*B21</f>
        <v>101086.14736363071</v>
      </c>
      <c r="C22" s="58"/>
      <c r="D22" s="47"/>
      <c r="E22" s="47"/>
      <c r="F22" s="47"/>
      <c r="G22" s="47"/>
      <c r="H22" s="47"/>
      <c r="I22" s="47"/>
      <c r="J22" s="47"/>
      <c r="K22" s="47"/>
      <c r="L22" s="47"/>
      <c r="M22" s="47"/>
      <c r="N22" s="47"/>
      <c r="O22" s="47"/>
      <c r="P22" s="47"/>
      <c r="Q22" s="47"/>
      <c r="R22" s="47"/>
      <c r="S22" s="47"/>
      <c r="T22" s="47"/>
      <c r="U22" s="47"/>
      <c r="V22" s="47"/>
      <c r="W22" s="47"/>
      <c r="X22" s="47"/>
      <c r="Y22" s="47"/>
      <c r="Z22" s="47"/>
    </row>
    <row r="23" spans="1:26" ht="13.2">
      <c r="A23" s="71"/>
      <c r="B23" s="73"/>
      <c r="C23" s="58"/>
      <c r="D23" s="47"/>
      <c r="E23" s="47"/>
      <c r="F23" s="47"/>
      <c r="G23" s="47"/>
      <c r="H23" s="47"/>
      <c r="I23" s="47"/>
      <c r="J23" s="47"/>
      <c r="K23" s="47"/>
      <c r="L23" s="47"/>
      <c r="M23" s="47"/>
      <c r="N23" s="47"/>
      <c r="O23" s="47"/>
      <c r="P23" s="47"/>
      <c r="Q23" s="47"/>
      <c r="R23" s="47"/>
      <c r="S23" s="47"/>
      <c r="T23" s="47"/>
      <c r="U23" s="47"/>
      <c r="V23" s="47"/>
      <c r="W23" s="47"/>
      <c r="X23" s="47"/>
      <c r="Y23" s="47"/>
      <c r="Z23" s="47"/>
    </row>
    <row r="24" spans="1:26" ht="13.2">
      <c r="A24" s="71" t="s">
        <v>365</v>
      </c>
      <c r="B24" s="74">
        <v>8577</v>
      </c>
      <c r="C24" s="58"/>
      <c r="D24" s="47"/>
      <c r="E24" s="47"/>
      <c r="F24" s="47"/>
      <c r="G24" s="47"/>
      <c r="H24" s="47"/>
      <c r="I24" s="47"/>
      <c r="J24" s="47"/>
      <c r="K24" s="47"/>
      <c r="L24" s="47"/>
      <c r="M24" s="47"/>
      <c r="N24" s="47"/>
      <c r="O24" s="47"/>
      <c r="P24" s="47"/>
      <c r="Q24" s="47"/>
      <c r="R24" s="47"/>
      <c r="S24" s="47"/>
      <c r="T24" s="47"/>
      <c r="U24" s="47"/>
      <c r="V24" s="47"/>
      <c r="W24" s="47"/>
      <c r="X24" s="47"/>
      <c r="Y24" s="47"/>
      <c r="Z24" s="47"/>
    </row>
    <row r="25" spans="1:26" ht="13.2">
      <c r="A25" s="71" t="s">
        <v>366</v>
      </c>
      <c r="B25" s="72">
        <f>B24*B6</f>
        <v>349083.9</v>
      </c>
      <c r="C25" s="58"/>
      <c r="D25" s="47"/>
      <c r="E25" s="47"/>
      <c r="F25" s="47"/>
      <c r="G25" s="47"/>
      <c r="H25" s="47"/>
      <c r="I25" s="47"/>
      <c r="J25" s="47"/>
      <c r="K25" s="47"/>
      <c r="L25" s="47"/>
      <c r="M25" s="47"/>
      <c r="N25" s="47"/>
      <c r="O25" s="47"/>
      <c r="P25" s="47"/>
      <c r="Q25" s="47"/>
      <c r="R25" s="47"/>
      <c r="S25" s="47"/>
      <c r="T25" s="47"/>
      <c r="U25" s="47"/>
      <c r="V25" s="47"/>
      <c r="W25" s="47"/>
      <c r="X25" s="47"/>
      <c r="Y25" s="47"/>
      <c r="Z25" s="47"/>
    </row>
    <row r="26" spans="1:26" ht="13.2">
      <c r="A26" s="71"/>
      <c r="B26" s="73"/>
      <c r="C26" s="58"/>
      <c r="D26" s="47"/>
      <c r="E26" s="47"/>
      <c r="F26" s="47"/>
      <c r="G26" s="47"/>
      <c r="H26" s="47"/>
      <c r="I26" s="47"/>
      <c r="J26" s="47"/>
      <c r="K26" s="47"/>
      <c r="L26" s="47"/>
      <c r="M26" s="47"/>
      <c r="N26" s="47"/>
      <c r="O26" s="47"/>
      <c r="P26" s="47"/>
      <c r="Q26" s="47"/>
      <c r="R26" s="47"/>
      <c r="S26" s="47"/>
      <c r="T26" s="47"/>
      <c r="U26" s="47"/>
      <c r="V26" s="47"/>
      <c r="W26" s="47"/>
      <c r="X26" s="47"/>
      <c r="Y26" s="47"/>
      <c r="Z26" s="47"/>
    </row>
    <row r="27" spans="1:26" ht="13.2">
      <c r="A27" s="71" t="s">
        <v>367</v>
      </c>
      <c r="B27" s="72">
        <f>B22+B25</f>
        <v>450170.04736363073</v>
      </c>
      <c r="C27" s="58"/>
      <c r="D27" s="47"/>
      <c r="E27" s="47"/>
      <c r="F27" s="47"/>
      <c r="G27" s="47"/>
      <c r="H27" s="47"/>
      <c r="I27" s="47"/>
      <c r="J27" s="47"/>
      <c r="K27" s="47"/>
      <c r="L27" s="47"/>
      <c r="M27" s="47"/>
      <c r="N27" s="47"/>
      <c r="O27" s="47"/>
      <c r="P27" s="47"/>
      <c r="Q27" s="47"/>
      <c r="R27" s="47"/>
      <c r="S27" s="47"/>
      <c r="T27" s="47"/>
      <c r="U27" s="47"/>
      <c r="V27" s="47"/>
      <c r="W27" s="47"/>
      <c r="X27" s="47"/>
      <c r="Y27" s="47"/>
      <c r="Z27" s="47"/>
    </row>
    <row r="28" spans="1:26" ht="13.2">
      <c r="A28" s="71" t="s">
        <v>368</v>
      </c>
      <c r="B28" s="75">
        <v>107800</v>
      </c>
      <c r="C28" s="58"/>
      <c r="D28" s="47"/>
      <c r="E28" s="47"/>
      <c r="F28" s="47"/>
      <c r="G28" s="47"/>
      <c r="H28" s="47"/>
      <c r="I28" s="47"/>
      <c r="J28" s="47"/>
      <c r="K28" s="47"/>
      <c r="L28" s="47"/>
      <c r="M28" s="47"/>
      <c r="N28" s="47"/>
      <c r="O28" s="47"/>
      <c r="P28" s="47"/>
      <c r="Q28" s="47"/>
      <c r="R28" s="47"/>
      <c r="S28" s="47"/>
      <c r="T28" s="47"/>
      <c r="U28" s="47"/>
      <c r="V28" s="47"/>
      <c r="W28" s="47"/>
      <c r="X28" s="47"/>
      <c r="Y28" s="47"/>
      <c r="Z28" s="47"/>
    </row>
    <row r="29" spans="1:26" ht="13.2">
      <c r="A29" s="71" t="s">
        <v>369</v>
      </c>
      <c r="B29" s="76">
        <f>B27-B28</f>
        <v>342370.04736363073</v>
      </c>
      <c r="C29" s="58"/>
      <c r="D29" s="47"/>
      <c r="E29" s="47"/>
      <c r="F29" s="47"/>
      <c r="G29" s="47"/>
      <c r="H29" s="47"/>
      <c r="I29" s="47"/>
      <c r="J29" s="47"/>
      <c r="K29" s="47"/>
      <c r="L29" s="47"/>
      <c r="M29" s="47"/>
      <c r="N29" s="47"/>
      <c r="O29" s="47"/>
      <c r="P29" s="47"/>
      <c r="Q29" s="47"/>
      <c r="R29" s="47"/>
      <c r="S29" s="47"/>
      <c r="T29" s="47"/>
      <c r="U29" s="47"/>
      <c r="V29" s="47"/>
      <c r="W29" s="47"/>
      <c r="X29" s="47"/>
      <c r="Y29" s="47"/>
      <c r="Z29" s="47"/>
    </row>
    <row r="30" spans="1:26" ht="13.2">
      <c r="A30" s="77" t="s">
        <v>370</v>
      </c>
      <c r="B30" s="78">
        <f>IF(B28&gt;B27,0,(B27-B28)*(1-B14))</f>
        <v>270472.33741726831</v>
      </c>
      <c r="C30" s="66"/>
      <c r="D30" s="47"/>
      <c r="E30" s="47"/>
      <c r="F30" s="47"/>
      <c r="G30" s="47"/>
      <c r="H30" s="47"/>
      <c r="I30" s="47"/>
      <c r="J30" s="47"/>
      <c r="K30" s="47"/>
      <c r="L30" s="47"/>
      <c r="M30" s="47"/>
      <c r="N30" s="47"/>
      <c r="O30" s="47"/>
      <c r="P30" s="47"/>
      <c r="Q30" s="47"/>
      <c r="R30" s="47"/>
      <c r="S30" s="47"/>
      <c r="T30" s="47"/>
      <c r="U30" s="47"/>
      <c r="V30" s="47"/>
      <c r="W30" s="47"/>
      <c r="X30" s="47"/>
      <c r="Y30" s="47"/>
      <c r="Z30" s="47"/>
    </row>
    <row r="31" spans="1:26" ht="13.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3.2">
      <c r="A33" s="47" t="s">
        <v>371</v>
      </c>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3.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3.2">
      <c r="A35" s="232" t="s">
        <v>372</v>
      </c>
      <c r="B35" s="233"/>
      <c r="C35" s="233"/>
      <c r="D35" s="47"/>
      <c r="E35" s="47"/>
      <c r="F35" s="47"/>
      <c r="G35" s="47"/>
      <c r="H35" s="47"/>
      <c r="I35" s="47"/>
      <c r="J35" s="47"/>
      <c r="K35" s="47"/>
      <c r="L35" s="47"/>
      <c r="M35" s="47"/>
      <c r="N35" s="47"/>
      <c r="O35" s="47"/>
      <c r="P35" s="47"/>
      <c r="Q35" s="47"/>
      <c r="R35" s="47"/>
      <c r="S35" s="47"/>
      <c r="T35" s="47"/>
      <c r="U35" s="47"/>
      <c r="V35" s="47"/>
      <c r="W35" s="47"/>
      <c r="X35" s="47"/>
      <c r="Y35" s="47"/>
      <c r="Z35" s="47"/>
    </row>
    <row r="36" spans="1:26" ht="13.2">
      <c r="A36" s="79"/>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3.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3.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3.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3.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3.2">
      <c r="D41" s="47"/>
      <c r="E41" s="47"/>
      <c r="F41" s="47"/>
      <c r="G41" s="47"/>
      <c r="H41" s="47"/>
      <c r="I41" s="47"/>
      <c r="J41" s="47"/>
      <c r="K41" s="47"/>
      <c r="L41" s="47"/>
      <c r="M41" s="47"/>
      <c r="N41" s="47"/>
      <c r="O41" s="47"/>
      <c r="P41" s="47"/>
      <c r="Q41" s="47"/>
      <c r="R41" s="47"/>
      <c r="S41" s="47"/>
      <c r="T41" s="47"/>
      <c r="U41" s="47"/>
      <c r="V41" s="47"/>
      <c r="W41" s="47"/>
      <c r="X41" s="47"/>
      <c r="Y41" s="47"/>
      <c r="Z41" s="47"/>
    </row>
    <row r="42" spans="1:26" ht="13.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3.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3.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3.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3.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3.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3.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3.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3.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3.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3.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3.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3.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3.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3.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3.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3.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3.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3.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3.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3.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3.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3.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3.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3.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3.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3.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3.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3.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3.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3.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3.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3.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3.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3.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3.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3.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3.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3.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3.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3.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3.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3.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3.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3.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3.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3.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3.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3.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3.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3.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3.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3.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3.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3.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3.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3.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3.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3.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3.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3.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3.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3.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3.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3.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3.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3.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3.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3.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3.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3.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3.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3.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3.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3.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3.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3.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3.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3.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3.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3.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3.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3.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3.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3.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3.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3.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3.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3.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3.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3.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3.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3.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3.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3.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3.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3.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3.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3.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3.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3.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3.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3.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3.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3.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3.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3.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3.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3.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3.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3.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3.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3.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3.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3.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3.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3.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3.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3.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3.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3.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3.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3.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3.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3.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3.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3.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3.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3.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3.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3.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3.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3.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3.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3.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3.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3.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3.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3.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3.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3.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3.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3.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3.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3.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3.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3.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3.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3.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3.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3.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3.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3.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3.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3.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3.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3.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3.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3.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3.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3.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3.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3.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3.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3.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3.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3.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3.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3.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3.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3.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3.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3.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3.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3.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3.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3.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3.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3.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3.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3.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3.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3.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3.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3.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3.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3.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3.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3.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3.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3.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3.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3.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3.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3.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3.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3.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3.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3.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3.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3.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3.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3.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3.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3.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3.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3.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3.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3.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3.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3.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3.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3.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3.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3.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3.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3.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3.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3.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3.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3.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3.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3.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3.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3.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3.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3.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3.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3.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3.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3.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3.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3.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3.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3.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3.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3.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3.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3.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3.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3.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3.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3.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3.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3.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3.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3.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3.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3.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3.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3.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3.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3.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3.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3.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3.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3.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3.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3.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3.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3.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3.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3.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3.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3.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3.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3.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3.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3.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3.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3.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3.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3.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3.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3.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3.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3.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3.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3.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3.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3.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3.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3.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3.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3.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3.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3.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3.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3.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3.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3.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3.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3.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3.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3.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3.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3.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3.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3.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3.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3.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3.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3.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3.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3.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3.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3.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3.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3.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3.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3.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3.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3.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3.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3.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3.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3.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3.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3.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3.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3.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3.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3.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3.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3.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3.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3.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3.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3.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3.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3.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3.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3.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3.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3.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3.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3.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3.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3.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3.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3.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3.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3.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3.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3.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3.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3.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3.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3.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3.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3.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3.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3.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3.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3.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3.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3.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3.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3.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3.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3.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3.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3.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3.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3.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3.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3.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3.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3.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3.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3.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3.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3.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3.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3.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3.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3.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3.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3.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3.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3.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3.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3.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3.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3.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3.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3.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3.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3.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3.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3.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3.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3.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3.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3.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3.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3.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3.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3.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3.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3.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3.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3.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3.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3.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3.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3.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3.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3.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3.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3.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3.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3.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3.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3.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3.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3.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3.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3.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3.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3.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3.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3.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3.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3.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3.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3.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3.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3.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3.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3.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3.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3.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3.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3.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3.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3.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3.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3.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3.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3.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3.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3.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3.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3.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3.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3.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3.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3.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3.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3.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3.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3.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3.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3.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3.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3.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3.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3.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3.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3.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3.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3.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3.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3.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3.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3.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3.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3.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3.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3.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3.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3.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3.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3.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3.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3.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3.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3.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3.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3.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3.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3.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3.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3.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3.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3.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3.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3.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3.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3.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3.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3.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3.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3.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3.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3.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3.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3.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3.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3.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3.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3.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3.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3.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3.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3.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3.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3.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3.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3.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3.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3.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3.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3.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3.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3.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3.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3.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3.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3.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3.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3.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3.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3.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3.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3.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3.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3.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3.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3.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3.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3.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3.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3.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3.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3.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3.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3.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3.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3.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3.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3.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3.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3.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3.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3.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3.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3.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3.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3.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3.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3.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3.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3.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3.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3.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3.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3.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3.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3.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3.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3.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3.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3.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3.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3.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3.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3.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3.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3.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3.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3.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3.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3.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3.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3.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3.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3.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3.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3.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3.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3.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3.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3.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3.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3.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3.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3.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3.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3.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3.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3.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3.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3.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3.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3.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3.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3.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3.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3.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3.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3.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3.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3.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3.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3.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3.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3.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3.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3.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3.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3.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3.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3.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3.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3.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3.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3.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3.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3.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3.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3.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3.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3.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3.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3.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3.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3.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3.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3.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3.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3.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3.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3.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3.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3.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3.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3.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3.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3.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3.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3.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3.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3.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3.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3.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3.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3.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3.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3.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3.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3.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3.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3.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3.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3.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3.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3.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3.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3.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3.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3.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3.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3.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3.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3.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3.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3.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3.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3.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3.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3.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3.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3.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3.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3.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3.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3.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3.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3.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3.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3.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3.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3.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3.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3.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3.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3.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3.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3.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3.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3.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3.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3.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3.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3.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3.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3.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3.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3.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3.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3.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3.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3.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3.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3.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3.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3.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3.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3.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3.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3.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3.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3.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3.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3.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3.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3.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3.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3.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3.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3.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3.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3.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3.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3.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3.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3.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3.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3.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3.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3.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3.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3.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3.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3.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3.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3.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3.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3.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3.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3.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3.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3.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3.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3.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3.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3.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3.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3.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3.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3.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3.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3.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3.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3.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3.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3.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3.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3.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3.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3.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3.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3.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3.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3.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3.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3.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3.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3.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3.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3.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3.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3.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3.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3.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3.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3.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3.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3.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3.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3.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3.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3.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3.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3.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3.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3.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3.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3.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3.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3.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3.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3.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3.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3.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3.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3.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3.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3.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3.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3.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3.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3.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3.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3.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3.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3.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3.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3.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3.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3.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3.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3.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3.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3.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3.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3.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3.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3.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3.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3.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3.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3.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3.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3.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3.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3.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3.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3.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3.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3.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3.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3.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3.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3.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3.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3.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3.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3.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3.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3.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3.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3.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3.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3.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3.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3.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3.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3.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3.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3.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3.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3.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3.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3.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3.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3.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3.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3.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3.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3.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3.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3.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3.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3.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3.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3.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3.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3.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3.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3.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3.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3.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3.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3.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3.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3.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3.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3.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3.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3.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3.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3.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3.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3.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3.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3.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3.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3.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3.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3.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3.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3.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3.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3.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3.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3.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3.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3.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3.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3.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3.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3.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3.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3.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3.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3.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3.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3.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3.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3.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3.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3.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3.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3.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3.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3.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3.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3.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3.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3.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3.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3.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3.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3.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3.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3.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3.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3.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3.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3.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3.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3.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3.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3.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3.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3.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3.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3.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3.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3.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3.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3.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3.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3.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3.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3.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3.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
    <mergeCell ref="A35:C3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0"/>
  <sheetViews>
    <sheetView zoomScale="85" zoomScaleNormal="85" workbookViewId="0">
      <selection activeCell="N9" sqref="A1:XFD1048576"/>
    </sheetView>
  </sheetViews>
  <sheetFormatPr defaultColWidth="12.6640625" defaultRowHeight="15.75" customHeight="1"/>
  <cols>
    <col min="1" max="10" width="12.6640625" style="242"/>
    <col min="11" max="11" width="20.77734375" style="242" customWidth="1"/>
    <col min="12" max="12" width="19.44140625" style="242" customWidth="1"/>
    <col min="13" max="16384" width="12.6640625" style="242"/>
  </cols>
  <sheetData>
    <row r="1" spans="1:28" ht="15.75" customHeight="1">
      <c r="A1" s="238" t="s">
        <v>373</v>
      </c>
      <c r="B1" s="239"/>
      <c r="C1" s="239"/>
      <c r="D1" s="240"/>
      <c r="E1" s="240"/>
      <c r="F1" s="240"/>
      <c r="G1" s="240"/>
      <c r="H1" s="240"/>
      <c r="I1" s="240"/>
      <c r="J1" s="240"/>
      <c r="K1" s="240"/>
      <c r="L1" s="240"/>
      <c r="M1" s="240"/>
      <c r="N1" s="240"/>
      <c r="O1" s="240"/>
      <c r="P1" s="240"/>
      <c r="Q1" s="240"/>
      <c r="R1" s="240"/>
      <c r="S1" s="240"/>
      <c r="T1" s="240"/>
      <c r="U1" s="240"/>
      <c r="V1" s="240"/>
      <c r="W1" s="240"/>
      <c r="X1" s="241"/>
      <c r="Y1" s="240"/>
      <c r="Z1" s="240"/>
      <c r="AA1" s="240"/>
      <c r="AB1" s="240"/>
    </row>
    <row r="2" spans="1:28" ht="15.75" customHeight="1">
      <c r="A2" s="243" t="s">
        <v>374</v>
      </c>
      <c r="B2" s="239"/>
      <c r="C2" s="239"/>
      <c r="D2" s="239"/>
      <c r="E2" s="239"/>
      <c r="F2" s="239"/>
      <c r="G2" s="239"/>
      <c r="H2" s="244"/>
      <c r="I2" s="244"/>
      <c r="J2" s="244"/>
      <c r="K2" s="244"/>
      <c r="L2" s="244"/>
      <c r="M2" s="244"/>
      <c r="N2" s="244"/>
      <c r="O2" s="244"/>
      <c r="P2" s="244"/>
      <c r="Q2" s="244"/>
      <c r="R2" s="244"/>
      <c r="S2" s="244"/>
      <c r="T2" s="244"/>
      <c r="U2" s="244"/>
      <c r="V2" s="244"/>
      <c r="W2" s="244"/>
      <c r="X2" s="245"/>
      <c r="Y2" s="244"/>
      <c r="Z2" s="244"/>
      <c r="AA2" s="244"/>
      <c r="AB2" s="244"/>
    </row>
    <row r="3" spans="1:28" ht="15.75" customHeight="1">
      <c r="A3" s="244" t="s">
        <v>375</v>
      </c>
      <c r="B3" s="244"/>
      <c r="C3" s="244"/>
      <c r="D3" s="244"/>
      <c r="E3" s="244"/>
      <c r="F3" s="244"/>
      <c r="G3" s="244"/>
      <c r="H3" s="244"/>
      <c r="I3" s="244"/>
      <c r="J3" s="244"/>
      <c r="K3" s="244"/>
      <c r="L3" s="244"/>
      <c r="M3" s="244"/>
      <c r="N3" s="244"/>
      <c r="O3" s="244"/>
      <c r="P3" s="244"/>
      <c r="Q3" s="244"/>
      <c r="R3" s="244"/>
      <c r="S3" s="244"/>
      <c r="T3" s="244"/>
      <c r="U3" s="244"/>
      <c r="V3" s="244"/>
      <c r="W3" s="244"/>
      <c r="X3" s="245"/>
      <c r="Y3" s="244"/>
      <c r="Z3" s="244"/>
      <c r="AA3" s="244"/>
      <c r="AB3" s="244"/>
    </row>
    <row r="4" spans="1:28" ht="13.2">
      <c r="A4" s="235"/>
      <c r="B4" s="235"/>
      <c r="C4" s="235"/>
      <c r="D4" s="235"/>
      <c r="E4" s="235"/>
      <c r="F4" s="246"/>
      <c r="G4" s="235"/>
      <c r="H4" s="235"/>
      <c r="I4" s="235"/>
      <c r="J4" s="235"/>
      <c r="K4" s="235"/>
      <c r="L4" s="235"/>
      <c r="M4" s="235"/>
      <c r="N4" s="235"/>
      <c r="O4" s="235"/>
      <c r="P4" s="247" t="s">
        <v>376</v>
      </c>
      <c r="Q4" s="234"/>
      <c r="R4" s="234"/>
      <c r="S4" s="234"/>
      <c r="T4" s="248"/>
      <c r="U4" s="248"/>
      <c r="V4" s="249"/>
      <c r="W4" s="250"/>
      <c r="X4" s="251"/>
      <c r="Y4" s="250"/>
      <c r="Z4" s="250"/>
      <c r="AA4" s="250"/>
      <c r="AB4" s="250"/>
    </row>
    <row r="5" spans="1:28" ht="15.75" customHeight="1">
      <c r="A5" s="235"/>
      <c r="B5" s="244"/>
      <c r="C5" s="244"/>
      <c r="D5" s="235"/>
      <c r="E5" s="235"/>
      <c r="F5" s="246"/>
      <c r="G5" s="235"/>
      <c r="H5" s="235"/>
      <c r="I5" s="235"/>
      <c r="J5" s="235"/>
      <c r="K5" s="235"/>
      <c r="L5" s="235"/>
      <c r="M5" s="235"/>
      <c r="N5" s="235"/>
      <c r="O5" s="235"/>
      <c r="P5" s="252"/>
      <c r="Q5" s="235"/>
      <c r="R5" s="235"/>
      <c r="S5" s="235"/>
      <c r="T5" s="235"/>
      <c r="U5" s="235"/>
      <c r="V5" s="246"/>
      <c r="W5" s="250"/>
      <c r="X5" s="251"/>
      <c r="Y5" s="250"/>
      <c r="Z5" s="250"/>
      <c r="AA5" s="250"/>
      <c r="AB5" s="250"/>
    </row>
    <row r="6" spans="1:28" ht="13.2">
      <c r="A6" s="235"/>
      <c r="B6" s="235"/>
      <c r="C6" s="235"/>
      <c r="D6" s="235"/>
      <c r="E6" s="235"/>
      <c r="F6" s="235"/>
      <c r="G6" s="252"/>
      <c r="H6" s="235"/>
      <c r="I6" s="235"/>
      <c r="J6" s="235"/>
      <c r="K6" s="235"/>
      <c r="L6" s="235"/>
      <c r="M6" s="235"/>
      <c r="N6" s="235"/>
      <c r="O6" s="235"/>
      <c r="P6" s="253" t="s">
        <v>377</v>
      </c>
      <c r="Q6" s="239"/>
      <c r="R6" s="239"/>
      <c r="S6" s="239"/>
      <c r="T6" s="239"/>
      <c r="U6" s="239"/>
      <c r="V6" s="236"/>
      <c r="W6" s="250"/>
      <c r="X6" s="251"/>
      <c r="Y6" s="250"/>
      <c r="Z6" s="250"/>
      <c r="AA6" s="250"/>
      <c r="AB6" s="250"/>
    </row>
    <row r="7" spans="1:28" ht="13.2">
      <c r="A7" s="254" t="s">
        <v>378</v>
      </c>
      <c r="B7" s="239"/>
      <c r="C7" s="239"/>
      <c r="D7" s="239"/>
      <c r="E7" s="235"/>
      <c r="F7" s="255"/>
      <c r="G7" s="256">
        <v>1</v>
      </c>
      <c r="H7" s="235"/>
      <c r="I7" s="235"/>
      <c r="J7" s="235"/>
      <c r="K7" s="235"/>
      <c r="L7" s="235"/>
      <c r="M7" s="235"/>
      <c r="N7" s="235"/>
      <c r="O7" s="235"/>
      <c r="P7" s="253" t="s">
        <v>379</v>
      </c>
      <c r="Q7" s="239"/>
      <c r="R7" s="239"/>
      <c r="S7" s="239"/>
      <c r="T7" s="239"/>
      <c r="U7" s="239"/>
      <c r="V7" s="246"/>
      <c r="W7" s="250"/>
      <c r="X7" s="251"/>
      <c r="Y7" s="250"/>
      <c r="Z7" s="250"/>
      <c r="AA7" s="250"/>
      <c r="AB7" s="250"/>
    </row>
    <row r="8" spans="1:28" ht="13.2">
      <c r="A8" s="254" t="s">
        <v>380</v>
      </c>
      <c r="B8" s="239"/>
      <c r="C8" s="239"/>
      <c r="D8" s="239"/>
      <c r="E8" s="239"/>
      <c r="F8" s="236"/>
      <c r="G8" s="257">
        <v>1961956</v>
      </c>
      <c r="H8" s="235"/>
      <c r="I8" s="235"/>
      <c r="J8" s="235"/>
      <c r="K8" s="235"/>
      <c r="L8" s="235"/>
      <c r="M8" s="235"/>
      <c r="N8" s="235"/>
      <c r="O8" s="235"/>
      <c r="P8" s="252"/>
      <c r="Q8" s="235"/>
      <c r="R8" s="235"/>
      <c r="S8" s="235"/>
      <c r="T8" s="235"/>
      <c r="U8" s="235"/>
      <c r="V8" s="246"/>
      <c r="W8" s="250"/>
      <c r="X8" s="251"/>
      <c r="Y8" s="250"/>
      <c r="Z8" s="250"/>
      <c r="AA8" s="250"/>
      <c r="AB8" s="250"/>
    </row>
    <row r="9" spans="1:28" ht="13.2">
      <c r="A9" s="235"/>
      <c r="B9" s="235"/>
      <c r="C9" s="235"/>
      <c r="D9" s="235"/>
      <c r="E9" s="235"/>
      <c r="F9" s="250"/>
      <c r="G9" s="252"/>
      <c r="H9" s="235"/>
      <c r="I9" s="235"/>
      <c r="J9" s="235"/>
      <c r="K9" s="235"/>
      <c r="L9" s="235"/>
      <c r="M9" s="235"/>
      <c r="N9" s="235"/>
      <c r="O9" s="235"/>
      <c r="P9" s="258" t="s">
        <v>462</v>
      </c>
      <c r="Q9" s="239"/>
      <c r="R9" s="235"/>
      <c r="S9" s="235"/>
      <c r="T9" s="259" t="s">
        <v>381</v>
      </c>
      <c r="U9" s="235" t="s">
        <v>407</v>
      </c>
      <c r="V9" s="246"/>
      <c r="W9" s="250"/>
      <c r="X9" s="251">
        <v>2</v>
      </c>
      <c r="Y9" s="260" t="s">
        <v>383</v>
      </c>
      <c r="Z9" s="239"/>
      <c r="AA9" s="239"/>
      <c r="AB9" s="250"/>
    </row>
    <row r="10" spans="1:28" ht="15.75" customHeight="1">
      <c r="A10" s="243" t="s">
        <v>384</v>
      </c>
      <c r="B10" s="239"/>
      <c r="C10" s="244"/>
      <c r="D10" s="235"/>
      <c r="E10" s="235"/>
      <c r="F10" s="255"/>
      <c r="G10" s="235"/>
      <c r="H10" s="235"/>
      <c r="I10" s="235"/>
      <c r="J10" s="235"/>
      <c r="K10" s="235"/>
      <c r="L10" s="247" t="s">
        <v>385</v>
      </c>
      <c r="M10" s="234"/>
      <c r="N10" s="249"/>
      <c r="O10" s="235"/>
      <c r="P10" s="252"/>
      <c r="Q10" s="235"/>
      <c r="R10" s="235"/>
      <c r="S10" s="235"/>
      <c r="T10" s="235"/>
      <c r="U10" s="235"/>
      <c r="V10" s="246"/>
      <c r="W10" s="250"/>
      <c r="X10" s="251"/>
      <c r="Y10" s="250"/>
      <c r="Z10" s="250"/>
      <c r="AA10" s="250"/>
      <c r="AB10" s="250"/>
    </row>
    <row r="11" spans="1:28" ht="15.75" customHeight="1">
      <c r="A11" s="254" t="s">
        <v>386</v>
      </c>
      <c r="B11" s="239"/>
      <c r="C11" s="244"/>
      <c r="D11" s="235"/>
      <c r="E11" s="235"/>
      <c r="F11" s="255"/>
      <c r="G11" s="261">
        <v>3.9750000000000001E-2</v>
      </c>
      <c r="H11" s="254" t="s">
        <v>387</v>
      </c>
      <c r="I11" s="239"/>
      <c r="J11" s="239"/>
      <c r="K11" s="235"/>
      <c r="L11" s="253" t="s">
        <v>388</v>
      </c>
      <c r="M11" s="239"/>
      <c r="N11" s="262">
        <v>75</v>
      </c>
      <c r="O11" s="235"/>
      <c r="P11" s="253" t="s">
        <v>389</v>
      </c>
      <c r="Q11" s="239"/>
      <c r="R11" s="239"/>
      <c r="S11" s="239"/>
      <c r="T11" s="239"/>
      <c r="U11" s="239"/>
      <c r="V11" s="246"/>
      <c r="W11" s="250"/>
      <c r="X11" s="251"/>
      <c r="Y11" s="250"/>
      <c r="Z11" s="250"/>
      <c r="AA11" s="250"/>
      <c r="AB11" s="250"/>
    </row>
    <row r="12" spans="1:28" ht="15.75" customHeight="1">
      <c r="A12" s="254" t="s">
        <v>390</v>
      </c>
      <c r="B12" s="239"/>
      <c r="C12" s="244"/>
      <c r="D12" s="235"/>
      <c r="E12" s="235"/>
      <c r="F12" s="255"/>
      <c r="G12" s="261">
        <v>0.06</v>
      </c>
      <c r="H12" s="254" t="s">
        <v>391</v>
      </c>
      <c r="I12" s="239"/>
      <c r="J12" s="235"/>
      <c r="K12" s="235"/>
      <c r="L12" s="252" t="s">
        <v>392</v>
      </c>
      <c r="M12" s="235"/>
      <c r="N12" s="262">
        <v>100</v>
      </c>
      <c r="O12" s="235"/>
      <c r="P12" s="252"/>
      <c r="Q12" s="235"/>
      <c r="R12" s="235"/>
      <c r="S12" s="235"/>
      <c r="T12" s="235"/>
      <c r="U12" s="235"/>
      <c r="V12" s="246"/>
      <c r="W12" s="250"/>
      <c r="X12" s="251"/>
      <c r="Y12" s="250"/>
      <c r="Z12" s="250"/>
      <c r="AA12" s="250"/>
      <c r="AB12" s="250"/>
    </row>
    <row r="13" spans="1:28" ht="13.2">
      <c r="A13" s="254" t="s">
        <v>393</v>
      </c>
      <c r="B13" s="239"/>
      <c r="C13" s="239"/>
      <c r="D13" s="239"/>
      <c r="E13" s="239"/>
      <c r="F13" s="236"/>
      <c r="G13" s="263" t="s">
        <v>394</v>
      </c>
      <c r="H13" s="239"/>
      <c r="I13" s="235"/>
      <c r="J13" s="235"/>
      <c r="K13" s="235"/>
      <c r="L13" s="252" t="s">
        <v>395</v>
      </c>
      <c r="M13" s="235"/>
      <c r="N13" s="262">
        <v>130</v>
      </c>
      <c r="O13" s="235"/>
      <c r="P13" s="264">
        <v>0.104</v>
      </c>
      <c r="Q13" s="235"/>
      <c r="R13" s="235"/>
      <c r="S13" s="235"/>
      <c r="T13" s="235"/>
      <c r="U13" s="235"/>
      <c r="V13" s="246"/>
      <c r="W13" s="250"/>
      <c r="X13" s="251"/>
      <c r="Y13" s="235"/>
      <c r="Z13" s="250"/>
      <c r="AA13" s="250"/>
      <c r="AB13" s="250"/>
    </row>
    <row r="14" spans="1:28" ht="15.75" customHeight="1">
      <c r="A14" s="235" t="s">
        <v>396</v>
      </c>
      <c r="B14" s="244"/>
      <c r="C14" s="244"/>
      <c r="D14" s="235"/>
      <c r="E14" s="235"/>
      <c r="F14" s="255"/>
      <c r="G14" s="265">
        <f>IF(G13="Below Average",0.9,(IF(G13="Average",1,(IF(G13="Above Average",1.5,(IF(G13="Very High",2)))))))</f>
        <v>1</v>
      </c>
      <c r="H14" s="241" t="s">
        <v>397</v>
      </c>
      <c r="I14" s="235"/>
      <c r="J14" s="235"/>
      <c r="K14" s="235"/>
      <c r="L14" s="252" t="s">
        <v>398</v>
      </c>
      <c r="M14" s="235"/>
      <c r="N14" s="262">
        <v>200</v>
      </c>
      <c r="O14" s="235"/>
      <c r="P14" s="252"/>
      <c r="Q14" s="235"/>
      <c r="R14" s="235"/>
      <c r="S14" s="235"/>
      <c r="T14" s="235"/>
      <c r="U14" s="235"/>
      <c r="V14" s="246"/>
      <c r="W14" s="250"/>
      <c r="X14" s="251"/>
      <c r="Y14" s="250"/>
      <c r="Z14" s="250"/>
      <c r="AA14" s="250"/>
      <c r="AB14" s="250"/>
    </row>
    <row r="15" spans="1:28" ht="13.2">
      <c r="A15" s="254" t="s">
        <v>399</v>
      </c>
      <c r="B15" s="239"/>
      <c r="C15" s="239"/>
      <c r="D15" s="239"/>
      <c r="E15" s="239"/>
      <c r="F15" s="255"/>
      <c r="G15" s="261">
        <v>0</v>
      </c>
      <c r="H15" s="235"/>
      <c r="I15" s="235"/>
      <c r="J15" s="235"/>
      <c r="K15" s="235"/>
      <c r="L15" s="253" t="s">
        <v>400</v>
      </c>
      <c r="M15" s="239"/>
      <c r="N15" s="262">
        <v>350</v>
      </c>
      <c r="O15" s="235"/>
      <c r="P15" s="253" t="s">
        <v>401</v>
      </c>
      <c r="Q15" s="239"/>
      <c r="R15" s="239"/>
      <c r="S15" s="239"/>
      <c r="T15" s="239"/>
      <c r="U15" s="239"/>
      <c r="V15" s="236"/>
      <c r="W15" s="250"/>
      <c r="X15" s="251"/>
      <c r="Y15" s="250"/>
      <c r="Z15" s="250"/>
      <c r="AA15" s="250"/>
      <c r="AB15" s="250"/>
    </row>
    <row r="16" spans="1:28" ht="13.2">
      <c r="A16" s="254" t="s">
        <v>402</v>
      </c>
      <c r="B16" s="239"/>
      <c r="C16" s="239"/>
      <c r="D16" s="235"/>
      <c r="E16" s="235"/>
      <c r="F16" s="255"/>
      <c r="G16" s="266">
        <f>G11+G14*G12</f>
        <v>9.9750000000000005E-2</v>
      </c>
      <c r="H16" s="235"/>
      <c r="I16" s="235"/>
      <c r="J16" s="235"/>
      <c r="K16" s="235"/>
      <c r="L16" s="252" t="s">
        <v>382</v>
      </c>
      <c r="M16" s="235"/>
      <c r="N16" s="262">
        <v>550</v>
      </c>
      <c r="O16" s="235"/>
      <c r="P16" s="253" t="s">
        <v>403</v>
      </c>
      <c r="Q16" s="239"/>
      <c r="R16" s="239"/>
      <c r="S16" s="235"/>
      <c r="T16" s="235"/>
      <c r="U16" s="235"/>
      <c r="V16" s="246"/>
      <c r="W16" s="250"/>
      <c r="X16" s="251"/>
      <c r="Y16" s="250"/>
      <c r="Z16" s="250"/>
      <c r="AA16" s="250"/>
      <c r="AB16" s="250"/>
    </row>
    <row r="17" spans="1:28" ht="13.2">
      <c r="A17" s="254" t="s">
        <v>404</v>
      </c>
      <c r="B17" s="239"/>
      <c r="C17" s="239"/>
      <c r="D17" s="239"/>
      <c r="E17" s="239"/>
      <c r="F17" s="236"/>
      <c r="G17" s="263" t="s">
        <v>392</v>
      </c>
      <c r="H17" s="239"/>
      <c r="I17" s="235"/>
      <c r="J17" s="235"/>
      <c r="K17" s="235"/>
      <c r="L17" s="267" t="s">
        <v>405</v>
      </c>
      <c r="M17" s="268"/>
      <c r="N17" s="269">
        <v>1000</v>
      </c>
      <c r="O17" s="235"/>
      <c r="P17" s="252"/>
      <c r="Q17" s="235"/>
      <c r="R17" s="235"/>
      <c r="S17" s="235"/>
      <c r="T17" s="259" t="s">
        <v>406</v>
      </c>
      <c r="U17" s="259" t="s">
        <v>407</v>
      </c>
      <c r="V17" s="246"/>
      <c r="W17" s="250"/>
      <c r="X17" s="251"/>
      <c r="Y17" s="250"/>
      <c r="Z17" s="250"/>
      <c r="AA17" s="250"/>
      <c r="AB17" s="250"/>
    </row>
    <row r="18" spans="1:28" ht="13.2">
      <c r="A18" s="254" t="s">
        <v>408</v>
      </c>
      <c r="B18" s="239"/>
      <c r="C18" s="239"/>
      <c r="D18" s="235"/>
      <c r="E18" s="235"/>
      <c r="F18" s="255"/>
      <c r="G18" s="270">
        <f>G11+0.03+G20+VLOOKUP(G17,L11:N17,3,FALSE)/10000</f>
        <v>7.9750000000000001E-2</v>
      </c>
      <c r="H18" s="235"/>
      <c r="I18" s="235"/>
      <c r="J18" s="235"/>
      <c r="K18" s="235"/>
      <c r="L18" s="235"/>
      <c r="M18" s="235"/>
      <c r="N18" s="235"/>
      <c r="O18" s="235"/>
      <c r="P18" s="271">
        <v>0.3</v>
      </c>
      <c r="Q18" s="235"/>
      <c r="R18" s="235"/>
      <c r="S18" s="235"/>
      <c r="T18" s="259" t="s">
        <v>409</v>
      </c>
      <c r="U18" s="259">
        <v>2.8</v>
      </c>
      <c r="V18" s="246"/>
      <c r="W18" s="250"/>
      <c r="X18" s="251"/>
      <c r="Y18" s="250"/>
      <c r="Z18" s="250"/>
      <c r="AA18" s="250"/>
      <c r="AB18" s="250"/>
    </row>
    <row r="19" spans="1:28" ht="13.2">
      <c r="A19" s="254" t="s">
        <v>410</v>
      </c>
      <c r="B19" s="239"/>
      <c r="C19" s="239"/>
      <c r="D19" s="235"/>
      <c r="E19" s="235"/>
      <c r="F19" s="255"/>
      <c r="G19" s="235"/>
      <c r="H19" s="235"/>
      <c r="I19" s="235"/>
      <c r="J19" s="235"/>
      <c r="K19" s="235"/>
      <c r="L19" s="235"/>
      <c r="M19" s="235"/>
      <c r="N19" s="235"/>
      <c r="O19" s="235"/>
      <c r="P19" s="252"/>
      <c r="Q19" s="235"/>
      <c r="R19" s="235"/>
      <c r="S19" s="235"/>
      <c r="T19" s="235"/>
      <c r="U19" s="235"/>
      <c r="V19" s="246"/>
      <c r="W19" s="250"/>
      <c r="X19" s="251">
        <v>2</v>
      </c>
      <c r="Y19" s="260" t="s">
        <v>411</v>
      </c>
      <c r="Z19" s="239"/>
      <c r="AA19" s="239"/>
      <c r="AB19" s="250"/>
    </row>
    <row r="20" spans="1:28" ht="13.2">
      <c r="A20" s="254" t="s">
        <v>412</v>
      </c>
      <c r="B20" s="239"/>
      <c r="C20" s="239"/>
      <c r="D20" s="239"/>
      <c r="E20" s="239"/>
      <c r="F20" s="255"/>
      <c r="G20" s="235"/>
      <c r="H20" s="235"/>
      <c r="I20" s="235"/>
      <c r="J20" s="272" t="s">
        <v>413</v>
      </c>
      <c r="K20" s="235"/>
      <c r="L20" s="235"/>
      <c r="M20" s="235"/>
      <c r="N20" s="235"/>
      <c r="O20" s="235"/>
      <c r="P20" s="253" t="s">
        <v>414</v>
      </c>
      <c r="Q20" s="239"/>
      <c r="R20" s="239"/>
      <c r="S20" s="239"/>
      <c r="T20" s="239"/>
      <c r="U20" s="239"/>
      <c r="V20" s="246"/>
      <c r="W20" s="250"/>
      <c r="X20" s="251"/>
      <c r="Y20" s="250"/>
      <c r="Z20" s="250"/>
      <c r="AA20" s="250"/>
      <c r="AB20" s="250"/>
    </row>
    <row r="21" spans="1:28" ht="13.2">
      <c r="A21" s="254" t="s">
        <v>415</v>
      </c>
      <c r="B21" s="239"/>
      <c r="C21" s="239"/>
      <c r="D21" s="235"/>
      <c r="E21" s="235"/>
      <c r="F21" s="255"/>
      <c r="G21" s="273">
        <f t="shared" ref="G21:G23" si="0">J21/$J$24</f>
        <v>1.5057543749099396</v>
      </c>
      <c r="H21" s="235"/>
      <c r="I21" s="235"/>
      <c r="J21" s="274">
        <f>M29*M28</f>
        <v>5603087.6000000006</v>
      </c>
      <c r="K21" s="235" t="s">
        <v>416</v>
      </c>
      <c r="L21" s="235"/>
      <c r="M21" s="235"/>
      <c r="N21" s="235"/>
      <c r="O21" s="235"/>
      <c r="P21" s="252"/>
      <c r="Q21" s="235"/>
      <c r="R21" s="235"/>
      <c r="S21" s="235"/>
      <c r="T21" s="235"/>
      <c r="U21" s="235"/>
      <c r="V21" s="246"/>
      <c r="W21" s="250"/>
      <c r="X21" s="251"/>
      <c r="Y21" s="250"/>
      <c r="Z21" s="250"/>
      <c r="AA21" s="250"/>
      <c r="AB21" s="250"/>
    </row>
    <row r="22" spans="1:28" ht="13.2">
      <c r="A22" s="254" t="s">
        <v>417</v>
      </c>
      <c r="B22" s="239"/>
      <c r="C22" s="239"/>
      <c r="D22" s="235"/>
      <c r="E22" s="235"/>
      <c r="F22" s="255"/>
      <c r="G22" s="273">
        <f t="shared" si="0"/>
        <v>-0.50575437490993957</v>
      </c>
      <c r="H22" s="235"/>
      <c r="I22" s="235"/>
      <c r="J22" s="274">
        <f>'[1]Balance Sheet'!I27+'[1]Balance Sheet'!I32-'[1]Balance Sheet'!I8</f>
        <v>-1881971</v>
      </c>
      <c r="K22" s="235" t="s">
        <v>418</v>
      </c>
      <c r="L22" s="235"/>
      <c r="M22" s="235"/>
      <c r="N22" s="235"/>
      <c r="O22" s="235"/>
      <c r="P22" s="275">
        <v>1.4</v>
      </c>
      <c r="Q22" s="235"/>
      <c r="R22" s="235"/>
      <c r="S22" s="235"/>
      <c r="T22" s="259" t="s">
        <v>419</v>
      </c>
      <c r="U22" s="235" t="s">
        <v>407</v>
      </c>
      <c r="V22" s="246"/>
      <c r="W22" s="250"/>
      <c r="X22" s="251"/>
      <c r="Y22" s="250"/>
      <c r="Z22" s="250"/>
      <c r="AA22" s="250"/>
      <c r="AB22" s="250"/>
    </row>
    <row r="23" spans="1:28" ht="13.2">
      <c r="A23" s="254" t="s">
        <v>420</v>
      </c>
      <c r="B23" s="239"/>
      <c r="C23" s="239"/>
      <c r="D23" s="235"/>
      <c r="E23" s="235"/>
      <c r="F23" s="255"/>
      <c r="G23" s="273">
        <f t="shared" si="0"/>
        <v>0</v>
      </c>
      <c r="H23" s="235"/>
      <c r="I23" s="235"/>
      <c r="J23" s="274">
        <v>0</v>
      </c>
      <c r="K23" s="254" t="s">
        <v>421</v>
      </c>
      <c r="L23" s="239"/>
      <c r="M23" s="235"/>
      <c r="N23" s="235"/>
      <c r="O23" s="235"/>
      <c r="P23" s="252"/>
      <c r="Q23" s="235"/>
      <c r="R23" s="235"/>
      <c r="S23" s="235"/>
      <c r="T23" s="235"/>
      <c r="U23" s="235"/>
      <c r="V23" s="246"/>
      <c r="W23" s="250"/>
      <c r="X23" s="251">
        <v>2</v>
      </c>
      <c r="Y23" s="260" t="s">
        <v>422</v>
      </c>
      <c r="Z23" s="239"/>
      <c r="AA23" s="239"/>
      <c r="AB23" s="250"/>
    </row>
    <row r="24" spans="1:28" ht="13.2">
      <c r="A24" s="235" t="s">
        <v>263</v>
      </c>
      <c r="B24" s="235"/>
      <c r="C24" s="235"/>
      <c r="D24" s="235"/>
      <c r="E24" s="235"/>
      <c r="F24" s="255"/>
      <c r="G24" s="273">
        <f>SUM(G21:G23)</f>
        <v>1</v>
      </c>
      <c r="H24" s="235"/>
      <c r="I24" s="235"/>
      <c r="J24" s="276">
        <f>SUM(J21:J23)</f>
        <v>3721116.6000000006</v>
      </c>
      <c r="K24" s="254" t="s">
        <v>423</v>
      </c>
      <c r="L24" s="239"/>
      <c r="M24" s="235"/>
      <c r="N24" s="235"/>
      <c r="O24" s="235"/>
      <c r="P24" s="277" t="s">
        <v>424</v>
      </c>
      <c r="Q24" s="237"/>
      <c r="R24" s="237"/>
      <c r="S24" s="237"/>
      <c r="T24" s="278" t="s">
        <v>394</v>
      </c>
      <c r="U24" s="268"/>
      <c r="V24" s="279"/>
      <c r="W24" s="250"/>
      <c r="X24" s="251">
        <v>2</v>
      </c>
      <c r="Y24" s="260" t="s">
        <v>425</v>
      </c>
      <c r="Z24" s="239"/>
      <c r="AA24" s="250"/>
      <c r="AB24" s="250"/>
    </row>
    <row r="25" spans="1:28" ht="15.75" customHeight="1">
      <c r="A25" s="235"/>
      <c r="B25" s="235"/>
      <c r="C25" s="235"/>
      <c r="D25" s="235"/>
      <c r="E25" s="235"/>
      <c r="F25" s="255"/>
      <c r="G25" s="235"/>
      <c r="H25" s="235"/>
      <c r="I25" s="235"/>
      <c r="J25" s="235"/>
      <c r="K25" s="235"/>
      <c r="L25" s="244"/>
      <c r="M25" s="244"/>
      <c r="N25" s="244"/>
      <c r="O25" s="235"/>
      <c r="P25" s="244"/>
      <c r="Q25" s="244"/>
      <c r="R25" s="244"/>
      <c r="S25" s="244"/>
      <c r="T25" s="244"/>
      <c r="U25" s="244"/>
      <c r="V25" s="244"/>
      <c r="W25" s="244"/>
      <c r="X25" s="245"/>
      <c r="Y25" s="244"/>
      <c r="Z25" s="244"/>
      <c r="AA25" s="244"/>
      <c r="AB25" s="244"/>
    </row>
    <row r="26" spans="1:28" ht="15.75" customHeight="1">
      <c r="A26" s="254" t="s">
        <v>426</v>
      </c>
      <c r="B26" s="239"/>
      <c r="C26" s="239"/>
      <c r="D26" s="235"/>
      <c r="E26" s="235"/>
      <c r="F26" s="255"/>
      <c r="G26" s="280">
        <f>'[1]IS Assumptions'!J58</f>
        <v>0.21</v>
      </c>
      <c r="H26" s="235"/>
      <c r="I26" s="235"/>
      <c r="J26" s="235"/>
      <c r="K26" s="235"/>
      <c r="L26" s="235"/>
      <c r="M26" s="235"/>
      <c r="N26" s="235"/>
      <c r="O26" s="244"/>
      <c r="P26" s="235"/>
      <c r="Q26" s="235"/>
      <c r="R26" s="235"/>
      <c r="S26" s="235"/>
      <c r="T26" s="235"/>
      <c r="U26" s="235"/>
      <c r="V26" s="235"/>
      <c r="W26" s="235"/>
      <c r="X26" s="281"/>
      <c r="Y26" s="235"/>
      <c r="Z26" s="235"/>
      <c r="AA26" s="235"/>
      <c r="AB26" s="235"/>
    </row>
    <row r="27" spans="1:28" ht="13.2">
      <c r="A27" s="235"/>
      <c r="B27" s="235"/>
      <c r="C27" s="235"/>
      <c r="D27" s="235"/>
      <c r="E27" s="235"/>
      <c r="F27" s="255"/>
      <c r="G27" s="235"/>
      <c r="H27" s="235"/>
      <c r="I27" s="235"/>
      <c r="J27" s="235"/>
      <c r="K27" s="235"/>
      <c r="L27" s="235"/>
      <c r="M27" s="235"/>
      <c r="N27" s="235"/>
      <c r="O27" s="235"/>
      <c r="P27" s="235"/>
      <c r="Q27" s="235"/>
      <c r="R27" s="235"/>
      <c r="S27" s="235"/>
      <c r="T27" s="235"/>
      <c r="U27" s="235"/>
      <c r="V27" s="235"/>
      <c r="W27" s="235"/>
      <c r="X27" s="281"/>
      <c r="Y27" s="235"/>
      <c r="Z27" s="235"/>
      <c r="AA27" s="235"/>
      <c r="AB27" s="235"/>
    </row>
    <row r="28" spans="1:28" ht="15.75" customHeight="1">
      <c r="A28" s="244" t="s">
        <v>427</v>
      </c>
      <c r="B28" s="244"/>
      <c r="C28" s="244"/>
      <c r="D28" s="244"/>
      <c r="E28" s="244"/>
      <c r="F28" s="282"/>
      <c r="G28" s="283">
        <f>G16*G21+G18*(1-G26)*G22+G19*G23</f>
        <v>0.11833520889200302</v>
      </c>
      <c r="H28" s="244"/>
      <c r="I28" s="244"/>
      <c r="J28" s="244"/>
      <c r="K28" s="244"/>
      <c r="L28" s="235" t="s">
        <v>428</v>
      </c>
      <c r="M28" s="235">
        <v>137668</v>
      </c>
      <c r="N28" s="235"/>
      <c r="O28" s="235"/>
      <c r="P28" s="235"/>
      <c r="Q28" s="235"/>
      <c r="R28" s="235"/>
      <c r="S28" s="235"/>
      <c r="T28" s="235"/>
      <c r="U28" s="235"/>
      <c r="V28" s="235"/>
      <c r="W28" s="235"/>
      <c r="X28" s="281"/>
      <c r="Y28" s="235"/>
      <c r="Z28" s="235"/>
      <c r="AA28" s="235"/>
      <c r="AB28" s="235"/>
    </row>
    <row r="29" spans="1:28" ht="13.2">
      <c r="A29" s="235"/>
      <c r="B29" s="235"/>
      <c r="C29" s="235"/>
      <c r="D29" s="235"/>
      <c r="E29" s="235"/>
      <c r="F29" s="250"/>
      <c r="G29" s="252"/>
      <c r="H29" s="235"/>
      <c r="I29" s="235"/>
      <c r="J29" s="254" t="s">
        <v>429</v>
      </c>
      <c r="K29" s="239"/>
      <c r="L29" s="235" t="s">
        <v>430</v>
      </c>
      <c r="M29" s="284">
        <v>40.700000000000003</v>
      </c>
      <c r="N29" s="235"/>
      <c r="O29" s="235"/>
      <c r="P29" s="235"/>
      <c r="Q29" s="235"/>
      <c r="R29" s="235"/>
      <c r="S29" s="235"/>
      <c r="T29" s="235"/>
      <c r="U29" s="235"/>
      <c r="V29" s="235"/>
      <c r="W29" s="235"/>
      <c r="X29" s="281"/>
      <c r="Y29" s="235"/>
      <c r="Z29" s="235"/>
      <c r="AA29" s="235"/>
      <c r="AB29" s="235"/>
    </row>
    <row r="30" spans="1:28" ht="13.2">
      <c r="A30" s="235"/>
      <c r="B30" s="235"/>
      <c r="C30" s="235"/>
      <c r="D30" s="235"/>
      <c r="E30" s="235"/>
      <c r="F30" s="250"/>
      <c r="G30" s="235"/>
      <c r="H30" s="235"/>
      <c r="I30" s="235"/>
      <c r="J30" s="254" t="s">
        <v>431</v>
      </c>
      <c r="K30" s="239"/>
      <c r="L30" s="235"/>
      <c r="M30" s="235"/>
      <c r="N30" s="235"/>
      <c r="O30" s="235"/>
      <c r="P30" s="235"/>
      <c r="Q30" s="235"/>
      <c r="R30" s="235"/>
      <c r="S30" s="235"/>
      <c r="T30" s="235"/>
      <c r="U30" s="235"/>
      <c r="V30" s="235"/>
      <c r="W30" s="235"/>
      <c r="X30" s="281"/>
      <c r="Y30" s="235"/>
      <c r="Z30" s="235"/>
      <c r="AA30" s="235"/>
      <c r="AB30" s="235"/>
    </row>
    <row r="31" spans="1:28" ht="13.2">
      <c r="A31" s="235"/>
      <c r="B31" s="235"/>
      <c r="C31" s="235"/>
      <c r="D31" s="235"/>
      <c r="E31" s="235"/>
      <c r="F31" s="235"/>
      <c r="G31" s="235"/>
      <c r="H31" s="235"/>
      <c r="I31" s="235"/>
      <c r="J31" s="235"/>
      <c r="K31" s="235"/>
      <c r="L31" s="235"/>
      <c r="M31" s="235"/>
      <c r="N31" s="235"/>
      <c r="O31" s="235"/>
      <c r="P31" s="235"/>
      <c r="Q31" s="235"/>
      <c r="R31" s="235"/>
      <c r="S31" s="235"/>
      <c r="T31" s="235"/>
      <c r="U31" s="235"/>
      <c r="V31" s="235"/>
      <c r="W31" s="235"/>
      <c r="X31" s="281"/>
      <c r="Y31" s="235"/>
      <c r="Z31" s="235"/>
      <c r="AA31" s="235"/>
      <c r="AB31" s="235"/>
    </row>
    <row r="32" spans="1:28" ht="13.2">
      <c r="A32" s="235"/>
      <c r="B32" s="235"/>
      <c r="C32" s="235"/>
      <c r="D32" s="235"/>
      <c r="E32" s="235"/>
      <c r="F32" s="235"/>
      <c r="G32" s="235"/>
      <c r="H32" s="235"/>
      <c r="I32" s="235"/>
      <c r="J32" s="235"/>
      <c r="K32" s="235"/>
      <c r="L32" s="235"/>
      <c r="M32" s="235"/>
      <c r="N32" s="235"/>
      <c r="O32" s="235"/>
      <c r="P32" s="235"/>
      <c r="Q32" s="235"/>
      <c r="R32" s="235"/>
      <c r="S32" s="235"/>
      <c r="T32" s="235"/>
      <c r="U32" s="235"/>
      <c r="V32" s="235"/>
      <c r="W32" s="235"/>
      <c r="X32" s="281"/>
      <c r="Y32" s="235"/>
      <c r="Z32" s="235"/>
      <c r="AA32" s="235"/>
      <c r="AB32" s="235"/>
    </row>
    <row r="33" spans="1:28" ht="13.2">
      <c r="A33" s="254" t="s">
        <v>432</v>
      </c>
      <c r="B33" s="239"/>
      <c r="C33" s="239"/>
      <c r="D33" s="239"/>
      <c r="E33" s="239"/>
      <c r="F33" s="239"/>
      <c r="G33" s="235"/>
      <c r="H33" s="235"/>
      <c r="I33" s="235"/>
      <c r="J33" s="235"/>
      <c r="K33" s="235"/>
      <c r="L33" s="235"/>
      <c r="M33" s="235"/>
      <c r="N33" s="235"/>
      <c r="O33" s="235"/>
      <c r="P33" s="235"/>
      <c r="Q33" s="235"/>
      <c r="R33" s="235"/>
      <c r="S33" s="235"/>
      <c r="T33" s="235"/>
      <c r="U33" s="235"/>
      <c r="V33" s="235"/>
      <c r="W33" s="235"/>
      <c r="X33" s="281"/>
      <c r="Y33" s="235"/>
      <c r="Z33" s="235"/>
      <c r="AA33" s="235"/>
      <c r="AB33" s="235"/>
    </row>
    <row r="34" spans="1:28" ht="13.2">
      <c r="A34" s="254" t="s">
        <v>433</v>
      </c>
      <c r="B34" s="239"/>
      <c r="C34" s="239"/>
      <c r="D34" s="239"/>
      <c r="E34" s="239"/>
      <c r="F34" s="239"/>
      <c r="G34" s="239"/>
      <c r="H34" s="239"/>
      <c r="I34" s="235"/>
      <c r="J34" s="235"/>
      <c r="K34" s="235"/>
      <c r="L34" s="235"/>
      <c r="M34" s="235"/>
      <c r="N34" s="235"/>
      <c r="O34" s="235"/>
      <c r="P34" s="235"/>
      <c r="Q34" s="235"/>
      <c r="R34" s="235"/>
      <c r="S34" s="235"/>
      <c r="T34" s="235"/>
      <c r="U34" s="235"/>
      <c r="V34" s="235"/>
      <c r="W34" s="235"/>
      <c r="X34" s="281"/>
      <c r="Y34" s="235"/>
      <c r="Z34" s="235"/>
      <c r="AA34" s="235"/>
      <c r="AB34" s="235"/>
    </row>
    <row r="35" spans="1:28" ht="13.2">
      <c r="A35" s="254" t="s">
        <v>434</v>
      </c>
      <c r="B35" s="239"/>
      <c r="C35" s="239"/>
      <c r="D35" s="239"/>
      <c r="E35" s="239"/>
      <c r="F35" s="239"/>
      <c r="G35" s="239"/>
      <c r="H35" s="239"/>
      <c r="I35" s="239"/>
      <c r="J35" s="239"/>
      <c r="K35" s="235"/>
      <c r="L35" s="235"/>
      <c r="M35" s="235"/>
      <c r="N35" s="235"/>
      <c r="O35" s="235"/>
      <c r="P35" s="235"/>
      <c r="Q35" s="235"/>
      <c r="R35" s="235"/>
      <c r="S35" s="235"/>
      <c r="T35" s="235"/>
      <c r="U35" s="235"/>
      <c r="V35" s="235"/>
      <c r="W35" s="235"/>
      <c r="X35" s="281"/>
      <c r="Y35" s="235"/>
      <c r="Z35" s="235"/>
      <c r="AA35" s="235"/>
      <c r="AB35" s="235"/>
    </row>
    <row r="36" spans="1:28" ht="13.2">
      <c r="A36" s="285"/>
      <c r="B36" s="254" t="s">
        <v>435</v>
      </c>
      <c r="C36" s="239"/>
      <c r="D36" s="239"/>
      <c r="E36" s="239"/>
      <c r="F36" s="235"/>
      <c r="G36" s="235"/>
      <c r="H36" s="235"/>
      <c r="I36" s="235"/>
      <c r="J36" s="235"/>
      <c r="K36" s="235"/>
      <c r="L36" s="235"/>
      <c r="M36" s="235"/>
      <c r="N36" s="235"/>
      <c r="O36" s="235"/>
      <c r="P36" s="235"/>
      <c r="Q36" s="235"/>
      <c r="R36" s="235"/>
      <c r="S36" s="235"/>
      <c r="T36" s="235"/>
      <c r="U36" s="235"/>
      <c r="V36" s="235"/>
      <c r="W36" s="235"/>
      <c r="X36" s="281"/>
      <c r="Y36" s="235"/>
      <c r="Z36" s="235"/>
      <c r="AA36" s="235"/>
      <c r="AB36" s="235"/>
    </row>
    <row r="37" spans="1:28" ht="13.2">
      <c r="A37" s="286"/>
      <c r="B37" s="254" t="s">
        <v>436</v>
      </c>
      <c r="C37" s="239"/>
      <c r="D37" s="235"/>
      <c r="E37" s="235"/>
      <c r="F37" s="235"/>
      <c r="G37" s="235"/>
      <c r="H37" s="235"/>
      <c r="I37" s="235"/>
      <c r="J37" s="235"/>
      <c r="K37" s="235"/>
      <c r="L37" s="235"/>
      <c r="M37" s="235"/>
      <c r="N37" s="235"/>
      <c r="O37" s="235"/>
      <c r="P37" s="235"/>
      <c r="Q37" s="235"/>
      <c r="R37" s="235"/>
      <c r="S37" s="235"/>
      <c r="T37" s="235"/>
      <c r="U37" s="235"/>
      <c r="V37" s="235"/>
      <c r="W37" s="235"/>
      <c r="X37" s="281"/>
      <c r="Y37" s="235"/>
      <c r="Z37" s="235"/>
      <c r="AA37" s="235"/>
      <c r="AB37" s="235"/>
    </row>
    <row r="38" spans="1:28" ht="13.2">
      <c r="A38" s="235"/>
      <c r="B38" s="235"/>
      <c r="C38" s="235"/>
      <c r="D38" s="235"/>
      <c r="E38" s="235"/>
      <c r="F38" s="235"/>
      <c r="G38" s="235"/>
      <c r="H38" s="235"/>
      <c r="I38" s="235"/>
      <c r="J38" s="235"/>
      <c r="K38" s="235"/>
      <c r="L38" s="235"/>
      <c r="M38" s="235"/>
      <c r="N38" s="235"/>
      <c r="O38" s="235"/>
      <c r="P38" s="235"/>
      <c r="Q38" s="235"/>
      <c r="R38" s="235"/>
      <c r="S38" s="235"/>
      <c r="T38" s="235"/>
      <c r="U38" s="235"/>
      <c r="V38" s="235"/>
      <c r="W38" s="235"/>
      <c r="X38" s="281"/>
      <c r="Y38" s="235"/>
      <c r="Z38" s="235"/>
      <c r="AA38" s="235"/>
      <c r="AB38" s="235"/>
    </row>
    <row r="39" spans="1:28" ht="13.2">
      <c r="A39" s="254"/>
      <c r="B39" s="239"/>
      <c r="C39" s="239"/>
      <c r="D39" s="239"/>
      <c r="E39" s="239"/>
      <c r="F39" s="239"/>
      <c r="G39" s="239"/>
      <c r="H39" s="239"/>
      <c r="I39" s="239"/>
      <c r="J39" s="239"/>
      <c r="K39" s="239"/>
      <c r="L39" s="239"/>
      <c r="M39" s="239"/>
      <c r="N39" s="239"/>
      <c r="O39" s="239"/>
      <c r="P39" s="239"/>
      <c r="Q39" s="239"/>
      <c r="R39" s="239"/>
      <c r="S39" s="235"/>
      <c r="T39" s="235"/>
      <c r="U39" s="235"/>
      <c r="V39" s="235"/>
      <c r="W39" s="235"/>
      <c r="X39" s="281"/>
      <c r="Y39" s="235"/>
      <c r="Z39" s="235"/>
      <c r="AA39" s="235"/>
      <c r="AB39" s="235"/>
    </row>
    <row r="40" spans="1:28" ht="13.2">
      <c r="A40" s="235"/>
      <c r="B40" s="235"/>
      <c r="C40" s="235"/>
      <c r="D40" s="235"/>
      <c r="E40" s="235"/>
      <c r="F40" s="235"/>
      <c r="G40" s="235"/>
      <c r="H40" s="235"/>
      <c r="I40" s="235"/>
      <c r="J40" s="235"/>
      <c r="K40" s="235"/>
      <c r="L40" s="235"/>
      <c r="M40" s="235"/>
      <c r="N40" s="235"/>
      <c r="O40" s="235"/>
      <c r="P40" s="235"/>
      <c r="Q40" s="235"/>
      <c r="R40" s="235"/>
      <c r="S40" s="235"/>
      <c r="T40" s="235"/>
      <c r="U40" s="235"/>
      <c r="V40" s="235"/>
      <c r="W40" s="235"/>
      <c r="X40" s="281"/>
      <c r="Y40" s="235"/>
      <c r="Z40" s="235"/>
      <c r="AA40" s="235"/>
      <c r="AB40" s="235"/>
    </row>
    <row r="41" spans="1:28" ht="13.2">
      <c r="A41" s="235"/>
      <c r="B41" s="244" t="s">
        <v>463</v>
      </c>
      <c r="C41" s="235"/>
      <c r="D41" s="235"/>
      <c r="E41" s="235"/>
      <c r="F41" s="235"/>
      <c r="G41" s="235"/>
      <c r="H41" s="235"/>
      <c r="I41" s="235"/>
      <c r="J41" s="235"/>
      <c r="K41" s="235"/>
      <c r="L41" s="235"/>
      <c r="M41" s="235"/>
      <c r="N41" s="235"/>
      <c r="O41" s="235"/>
      <c r="P41" s="235"/>
      <c r="Q41" s="235"/>
      <c r="R41" s="235"/>
      <c r="S41" s="235"/>
      <c r="T41" s="235"/>
      <c r="U41" s="235"/>
      <c r="V41" s="235"/>
      <c r="W41" s="235"/>
      <c r="X41" s="281"/>
      <c r="Y41" s="235"/>
      <c r="Z41" s="235"/>
      <c r="AA41" s="235"/>
      <c r="AB41" s="235"/>
    </row>
    <row r="42" spans="1:28" ht="13.2">
      <c r="A42" s="235"/>
      <c r="B42" s="235" t="s">
        <v>464</v>
      </c>
      <c r="C42" s="235"/>
      <c r="D42" s="235"/>
      <c r="E42" s="235"/>
      <c r="F42" s="235"/>
      <c r="G42" s="235"/>
      <c r="H42" s="235"/>
      <c r="I42" s="235"/>
      <c r="J42" s="235"/>
      <c r="K42" s="235"/>
      <c r="L42" s="235"/>
      <c r="M42" s="235"/>
      <c r="N42" s="235"/>
      <c r="O42" s="235"/>
      <c r="P42" s="235"/>
      <c r="Q42" s="235"/>
      <c r="R42" s="235"/>
      <c r="S42" s="235"/>
      <c r="T42" s="235"/>
      <c r="U42" s="235"/>
      <c r="V42" s="235"/>
      <c r="W42" s="235"/>
      <c r="X42" s="281"/>
      <c r="Y42" s="235"/>
      <c r="Z42" s="235"/>
      <c r="AA42" s="235"/>
      <c r="AB42" s="235"/>
    </row>
    <row r="43" spans="1:28" ht="13.2">
      <c r="A43" s="235"/>
      <c r="B43" s="235"/>
      <c r="C43" s="268">
        <v>2016</v>
      </c>
      <c r="D43" s="268">
        <v>2017</v>
      </c>
      <c r="E43" s="268">
        <v>2018</v>
      </c>
      <c r="F43" s="268">
        <v>2019</v>
      </c>
      <c r="G43" s="268">
        <v>2020</v>
      </c>
      <c r="H43" s="268">
        <v>2021</v>
      </c>
      <c r="I43" s="268">
        <v>2022</v>
      </c>
      <c r="J43" s="268">
        <v>2023</v>
      </c>
      <c r="K43" s="268">
        <v>2024</v>
      </c>
      <c r="L43" s="268">
        <v>2025</v>
      </c>
      <c r="M43" s="240"/>
      <c r="N43" s="240"/>
      <c r="O43" s="235"/>
      <c r="P43" s="240"/>
      <c r="Q43" s="240"/>
      <c r="R43" s="240"/>
      <c r="S43" s="240"/>
      <c r="T43" s="240"/>
      <c r="U43" s="240"/>
      <c r="V43" s="240"/>
      <c r="W43" s="240"/>
      <c r="X43" s="241"/>
      <c r="Y43" s="240"/>
      <c r="Z43" s="240"/>
      <c r="AA43" s="240"/>
      <c r="AB43" s="240"/>
    </row>
    <row r="44" spans="1:28" ht="13.2">
      <c r="A44" s="235"/>
      <c r="B44" s="235"/>
      <c r="C44" s="287">
        <f>('[1]Balance Sheet'!C27+'[1]Balance Sheet'!C32)/'[1]Balance Sheet'!C40</f>
        <v>0.77495350278983266</v>
      </c>
      <c r="D44" s="287">
        <f>('[1]Balance Sheet'!D27+'[1]Balance Sheet'!D32)/'[1]Balance Sheet'!D40</f>
        <v>0</v>
      </c>
      <c r="E44" s="287">
        <f>('[1]Balance Sheet'!E27+'[1]Balance Sheet'!E32)/'[1]Balance Sheet'!E40</f>
        <v>0</v>
      </c>
      <c r="F44" s="287">
        <f>('[1]Balance Sheet'!F27+'[1]Balance Sheet'!F32)/'[1]Balance Sheet'!F40</f>
        <v>0.14261782923316144</v>
      </c>
      <c r="G44" s="287">
        <f>('[1]Balance Sheet'!G27+'[1]Balance Sheet'!G32)/'[1]Balance Sheet'!G40</f>
        <v>7.1341061659695115E-2</v>
      </c>
      <c r="H44" s="287">
        <f>('[1]Balance Sheet'!H27+'[1]Balance Sheet'!H32)/'[1]Balance Sheet'!H40</f>
        <v>3.2483121919058951E-2</v>
      </c>
      <c r="I44" s="287">
        <f>('[1]Balance Sheet'!I27+'[1]Balance Sheet'!I32)/'[1]Balance Sheet'!I40</f>
        <v>3.0222296448667627E-2</v>
      </c>
      <c r="J44" s="287">
        <f>('[1]Balance Sheet'!J27+'[1]Balance Sheet'!J32)/'[1]Balance Sheet'!J40</f>
        <v>3.2175070154133796E-2</v>
      </c>
      <c r="K44" s="287">
        <f>('[1]Balance Sheet'!K27+'[1]Balance Sheet'!K32)/'[1]Balance Sheet'!K40</f>
        <v>2.8681673534031758E-2</v>
      </c>
      <c r="L44" s="287">
        <f>('[1]Balance Sheet'!L27+'[1]Balance Sheet'!L32)/'[1]Balance Sheet'!L40</f>
        <v>2.5395611943719858E-2</v>
      </c>
      <c r="M44" s="240"/>
      <c r="N44" s="240"/>
      <c r="O44" s="240"/>
      <c r="P44" s="240"/>
      <c r="Q44" s="240"/>
      <c r="R44" s="240"/>
      <c r="S44" s="240"/>
      <c r="T44" s="240"/>
      <c r="U44" s="240"/>
      <c r="V44" s="240"/>
      <c r="W44" s="240"/>
      <c r="X44" s="241"/>
      <c r="Y44" s="240"/>
      <c r="Z44" s="240"/>
      <c r="AA44" s="240"/>
      <c r="AB44" s="240"/>
    </row>
    <row r="45" spans="1:28" ht="13.2">
      <c r="A45" s="235"/>
      <c r="B45" s="235"/>
      <c r="C45" s="235"/>
      <c r="D45" s="235"/>
      <c r="E45" s="235"/>
      <c r="F45" s="235"/>
      <c r="G45" s="235"/>
      <c r="H45" s="235"/>
      <c r="I45" s="235"/>
      <c r="J45" s="235"/>
      <c r="K45" s="235"/>
      <c r="L45" s="240"/>
      <c r="M45" s="240"/>
      <c r="N45" s="240"/>
      <c r="O45" s="240"/>
      <c r="P45" s="240"/>
      <c r="Q45" s="240"/>
      <c r="R45" s="240"/>
      <c r="S45" s="240"/>
      <c r="T45" s="240"/>
      <c r="U45" s="240"/>
      <c r="V45" s="240"/>
      <c r="W45" s="240"/>
      <c r="X45" s="241"/>
      <c r="Y45" s="240"/>
      <c r="Z45" s="240"/>
      <c r="AA45" s="240"/>
      <c r="AB45" s="240"/>
    </row>
    <row r="46" spans="1:28" ht="13.2">
      <c r="A46" s="82"/>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row>
    <row r="47" spans="1:28" ht="13.2">
      <c r="A47" s="82"/>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row>
    <row r="48" spans="1:28" ht="13.2">
      <c r="A48" s="82"/>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row>
    <row r="49" spans="1:28" ht="13.2">
      <c r="A49" s="82"/>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row>
    <row r="50" spans="1:28" ht="13.2">
      <c r="A50" s="82"/>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row>
    <row r="51" spans="1:28" ht="13.2">
      <c r="A51" s="82"/>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row>
    <row r="52" spans="1:28" ht="13.2">
      <c r="A52" s="82"/>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row>
    <row r="53" spans="1:28" ht="13.2">
      <c r="A53" s="82"/>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row>
    <row r="54" spans="1:28" ht="13.2">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row>
    <row r="55" spans="1:28" ht="13.2">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row>
    <row r="56" spans="1:28" ht="13.2">
      <c r="A56" s="82"/>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row>
    <row r="57" spans="1:28" ht="13.2">
      <c r="A57" s="82"/>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row>
    <row r="58" spans="1:28" ht="13.2">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row>
    <row r="59" spans="1:28" ht="13.2">
      <c r="A59" s="82"/>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row>
    <row r="60" spans="1:28" ht="13.2">
      <c r="A60" s="82"/>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row>
    <row r="61" spans="1:28" ht="13.2">
      <c r="A61" s="82"/>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row>
    <row r="62" spans="1:28" ht="13.2">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row>
    <row r="63" spans="1:28" ht="13.2">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row>
    <row r="64" spans="1:28" ht="13.2">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row>
    <row r="65" spans="1:28" ht="13.2">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row>
    <row r="66" spans="1:28" ht="13.2">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row>
    <row r="67" spans="1:28" ht="13.2">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row>
    <row r="68" spans="1:28" ht="13.2">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row>
    <row r="69" spans="1:28" ht="13.2">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row>
    <row r="70" spans="1:28" ht="13.2">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row>
    <row r="71" spans="1:28" ht="13.2">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row>
    <row r="72" spans="1:28" ht="13.2">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row>
    <row r="73" spans="1:28" ht="13.2">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row>
    <row r="74" spans="1:28" ht="13.2">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row>
    <row r="75" spans="1:28" ht="13.2">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row>
    <row r="76" spans="1:28" ht="13.2">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row>
    <row r="77" spans="1:28" ht="13.2">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row>
    <row r="78" spans="1:28" ht="13.2">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row>
    <row r="79" spans="1:28" ht="13.2">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row>
    <row r="80" spans="1:28" ht="13.2">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row>
    <row r="81" spans="1:28" ht="13.2">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row>
    <row r="82" spans="1:28" ht="13.2">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row>
    <row r="83" spans="1:28" ht="13.2">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row>
    <row r="84" spans="1:28" ht="13.2">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row>
    <row r="85" spans="1:28" ht="13.2">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row>
    <row r="86" spans="1:28" ht="13.2">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row>
    <row r="87" spans="1:28" ht="13.2">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row>
    <row r="88" spans="1:28" ht="13.2">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row>
    <row r="89" spans="1:28" ht="13.2">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row>
    <row r="90" spans="1:28" ht="13.2">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row>
    <row r="91" spans="1:28" ht="13.2">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row>
    <row r="92" spans="1:28" ht="13.2">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row>
    <row r="93" spans="1:28" ht="13.2">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row>
    <row r="94" spans="1:28" ht="13.2">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row>
    <row r="95" spans="1:28" ht="13.2">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row>
    <row r="96" spans="1:28" ht="13.2">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row>
    <row r="97" spans="1:28" ht="13.2">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row>
    <row r="98" spans="1:28" ht="13.2">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row>
    <row r="99" spans="1:28" ht="13.2">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row>
    <row r="100" spans="1:28" ht="13.2">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row>
    <row r="101" spans="1:28" ht="13.2">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row>
    <row r="102" spans="1:28" ht="13.2">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row>
    <row r="103" spans="1:28" ht="13.2">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row>
    <row r="104" spans="1:28" ht="13.2">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row>
    <row r="105" spans="1:28" ht="13.2">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row>
    <row r="106" spans="1:28" ht="13.2">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row>
    <row r="107" spans="1:28" ht="13.2">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row>
    <row r="108" spans="1:28" ht="13.2">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row>
    <row r="109" spans="1:28" ht="13.2">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row>
    <row r="110" spans="1:28" ht="13.2">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row>
    <row r="111" spans="1:28" ht="13.2">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row>
    <row r="112" spans="1:28" ht="13.2">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row>
    <row r="113" spans="1:28" ht="13.2">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row>
    <row r="114" spans="1:28" ht="13.2">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row>
    <row r="115" spans="1:28" ht="13.2">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row>
    <row r="116" spans="1:28" ht="13.2">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row>
    <row r="117" spans="1:28" ht="13.2">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row>
    <row r="118" spans="1:28" ht="13.2">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row>
    <row r="119" spans="1:28" ht="13.2">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row>
    <row r="120" spans="1:28" ht="13.2">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row>
    <row r="121" spans="1:28" ht="13.2">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row>
    <row r="122" spans="1:28" ht="13.2">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row>
    <row r="123" spans="1:28" ht="13.2">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row>
    <row r="124" spans="1:28" ht="13.2">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row>
    <row r="125" spans="1:28" ht="13.2">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row>
    <row r="126" spans="1:28" ht="13.2">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row>
    <row r="127" spans="1:28" ht="13.2">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row>
    <row r="128" spans="1:28" ht="13.2">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row>
    <row r="129" spans="1:28" ht="13.2">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row>
    <row r="130" spans="1:28" ht="13.2">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row>
    <row r="131" spans="1:28" ht="13.2">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row>
    <row r="132" spans="1:28" ht="13.2">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row>
    <row r="133" spans="1:28" ht="13.2">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row>
    <row r="134" spans="1:28" ht="13.2">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row>
    <row r="135" spans="1:28" ht="13.2">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row>
    <row r="136" spans="1:28" ht="13.2">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row>
    <row r="137" spans="1:28" ht="13.2">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row>
    <row r="138" spans="1:28" ht="13.2">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row>
    <row r="139" spans="1:28" ht="13.2">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row>
    <row r="140" spans="1:28" ht="13.2">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row>
    <row r="141" spans="1:28" ht="13.2">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row>
    <row r="142" spans="1:28" ht="13.2">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row>
    <row r="143" spans="1:28" ht="13.2">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row>
    <row r="144" spans="1:28" ht="13.2">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row>
    <row r="145" spans="1:28" ht="13.2">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row>
    <row r="146" spans="1:28" ht="13.2">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row>
    <row r="147" spans="1:28" ht="13.2">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row>
    <row r="148" spans="1:28" ht="13.2">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row>
    <row r="149" spans="1:28" ht="13.2">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row>
    <row r="150" spans="1:28" ht="13.2">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row>
    <row r="151" spans="1:28" ht="13.2">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row>
    <row r="152" spans="1:28" ht="13.2">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row>
    <row r="153" spans="1:28" ht="13.2">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row>
    <row r="154" spans="1:28" ht="13.2">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row>
    <row r="155" spans="1:28" ht="13.2">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row>
    <row r="156" spans="1:28" ht="13.2">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row>
    <row r="157" spans="1:28" ht="13.2">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row>
    <row r="158" spans="1:28" ht="13.2">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row>
    <row r="159" spans="1:28" ht="13.2">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row>
    <row r="160" spans="1:28" ht="13.2">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row>
    <row r="161" spans="1:28" ht="13.2">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row>
    <row r="162" spans="1:28" ht="13.2">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row>
    <row r="163" spans="1:28" ht="13.2">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row>
    <row r="164" spans="1:28" ht="13.2">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row>
    <row r="165" spans="1:28" ht="13.2">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row>
    <row r="166" spans="1:28" ht="13.2">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row>
    <row r="167" spans="1:28" ht="13.2">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row>
    <row r="168" spans="1:28" ht="13.2">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row>
    <row r="169" spans="1:28" ht="13.2">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row>
    <row r="170" spans="1:28" ht="13.2">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row>
    <row r="171" spans="1:28" ht="13.2">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row>
    <row r="172" spans="1:28" ht="13.2">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row>
    <row r="173" spans="1:28" ht="13.2">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row>
    <row r="174" spans="1:28" ht="13.2">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row>
    <row r="175" spans="1:28" ht="13.2">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row>
    <row r="176" spans="1:28" ht="13.2">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row>
    <row r="177" spans="1:28" ht="13.2">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row>
    <row r="178" spans="1:28" ht="13.2">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row>
    <row r="179" spans="1:28" ht="13.2">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row>
    <row r="180" spans="1:28" ht="13.2">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row>
    <row r="181" spans="1:28" ht="13.2">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row>
    <row r="182" spans="1:28" ht="13.2">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row>
    <row r="183" spans="1:28" ht="13.2">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row>
    <row r="184" spans="1:28" ht="13.2">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row>
    <row r="185" spans="1:28" ht="13.2">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row>
    <row r="186" spans="1:28" ht="13.2">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row>
    <row r="187" spans="1:28" ht="13.2">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row>
    <row r="188" spans="1:28" ht="13.2">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row>
    <row r="189" spans="1:28" ht="13.2">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row>
    <row r="190" spans="1:28" ht="13.2">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row>
    <row r="191" spans="1:28" ht="13.2">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row>
    <row r="192" spans="1:28" ht="13.2">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row>
    <row r="193" spans="1:28" ht="13.2">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row>
    <row r="194" spans="1:28" ht="13.2">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row>
    <row r="195" spans="1:28" ht="13.2">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row>
    <row r="196" spans="1:28" ht="13.2">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row>
    <row r="197" spans="1:28" ht="13.2">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row>
    <row r="198" spans="1:28" ht="13.2">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row>
    <row r="199" spans="1:28" ht="13.2">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row>
    <row r="200" spans="1:28" ht="13.2">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row>
    <row r="201" spans="1:28" ht="13.2">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row>
    <row r="202" spans="1:28" ht="13.2">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row>
    <row r="203" spans="1:28" ht="13.2">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row>
    <row r="204" spans="1:28" ht="13.2">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row>
    <row r="205" spans="1:28" ht="13.2">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row>
    <row r="206" spans="1:28" ht="13.2">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row>
    <row r="207" spans="1:28" ht="13.2">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row>
    <row r="208" spans="1:28" ht="13.2">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row>
    <row r="209" spans="1:28" ht="13.2">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row>
    <row r="210" spans="1:28" ht="13.2">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row>
    <row r="211" spans="1:28" ht="13.2">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row>
    <row r="212" spans="1:28" ht="13.2">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row>
    <row r="213" spans="1:28" ht="13.2">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row>
    <row r="214" spans="1:28" ht="13.2">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row>
    <row r="215" spans="1:28" ht="13.2">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row>
    <row r="216" spans="1:28" ht="13.2">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row>
    <row r="217" spans="1:28" ht="13.2">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row>
    <row r="218" spans="1:28" ht="13.2">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row>
    <row r="219" spans="1:28" ht="13.2">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row>
    <row r="220" spans="1:28" ht="13.2">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row>
    <row r="221" spans="1:28" ht="13.2">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row>
    <row r="222" spans="1:28" ht="13.2">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row>
    <row r="223" spans="1:28" ht="13.2">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row>
    <row r="224" spans="1:28" ht="13.2">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row>
    <row r="225" spans="1:28" ht="13.2">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row>
    <row r="226" spans="1:28" ht="13.2">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row>
    <row r="227" spans="1:28" ht="13.2">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row>
    <row r="228" spans="1:28" ht="13.2">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row>
    <row r="229" spans="1:28" ht="13.2">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row>
    <row r="230" spans="1:28" ht="13.2">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row>
    <row r="231" spans="1:28" ht="13.2">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row>
    <row r="232" spans="1:28" ht="13.2">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row>
    <row r="233" spans="1:28" ht="13.2">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row>
    <row r="234" spans="1:28" ht="13.2">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row>
    <row r="235" spans="1:28" ht="13.2">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row>
    <row r="236" spans="1:28" ht="13.2">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row>
    <row r="237" spans="1:28" ht="13.2">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row>
    <row r="238" spans="1:28" ht="13.2">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row>
    <row r="239" spans="1:28" ht="13.2">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row>
    <row r="240" spans="1:28" ht="13.2">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row>
    <row r="241" spans="1:28" ht="13.2">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row>
    <row r="242" spans="1:28" ht="13.2">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row>
    <row r="243" spans="1:28" ht="13.2">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row>
    <row r="244" spans="1:28" ht="13.2">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row>
    <row r="245" spans="1:28" ht="13.2">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row>
    <row r="246" spans="1:28" ht="13.2">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row>
    <row r="247" spans="1:28" ht="13.2">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row>
    <row r="248" spans="1:28" ht="13.2">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row>
    <row r="249" spans="1:28" ht="13.2">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row>
    <row r="250" spans="1:28" ht="13.2">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row>
    <row r="251" spans="1:28" ht="13.2">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row>
    <row r="252" spans="1:28" ht="13.2">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row>
    <row r="253" spans="1:28" ht="13.2">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row>
    <row r="254" spans="1:28" ht="13.2">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row>
    <row r="255" spans="1:28" ht="13.2">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row>
    <row r="256" spans="1:28" ht="13.2">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row>
    <row r="257" spans="1:28" ht="13.2">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row>
    <row r="258" spans="1:28" ht="13.2">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row>
    <row r="259" spans="1:28" ht="13.2">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row>
    <row r="260" spans="1:28" ht="13.2">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row>
    <row r="261" spans="1:28" ht="13.2">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row>
    <row r="262" spans="1:28" ht="13.2">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row>
    <row r="263" spans="1:28" ht="13.2">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row>
    <row r="264" spans="1:28" ht="13.2">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row>
    <row r="265" spans="1:28" ht="13.2">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row>
    <row r="266" spans="1:28" ht="13.2">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row>
    <row r="267" spans="1:28" ht="13.2">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row>
    <row r="268" spans="1:28" ht="13.2">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row>
    <row r="269" spans="1:28" ht="13.2">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row>
    <row r="270" spans="1:28" ht="13.2">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row>
    <row r="271" spans="1:28" ht="13.2">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row>
    <row r="272" spans="1:28" ht="13.2">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row>
    <row r="273" spans="1:28" ht="13.2">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row>
    <row r="274" spans="1:28" ht="13.2">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row>
    <row r="275" spans="1:28" ht="13.2">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row>
    <row r="276" spans="1:28" ht="13.2">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row>
    <row r="277" spans="1:28" ht="13.2">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row>
    <row r="278" spans="1:28" ht="13.2">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row>
    <row r="279" spans="1:28" ht="13.2">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row>
    <row r="280" spans="1:28" ht="13.2">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row>
    <row r="281" spans="1:28" ht="13.2">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row>
    <row r="282" spans="1:28" ht="13.2">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row>
    <row r="283" spans="1:28" ht="13.2">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row>
    <row r="284" spans="1:28" ht="13.2">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row>
    <row r="285" spans="1:28" ht="13.2">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row>
    <row r="286" spans="1:28" ht="13.2">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row>
    <row r="287" spans="1:28" ht="13.2">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row>
    <row r="288" spans="1:28" ht="13.2">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row>
    <row r="289" spans="1:28" ht="13.2">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row>
    <row r="290" spans="1:28" ht="13.2">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row>
    <row r="291" spans="1:28" ht="13.2">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row>
    <row r="292" spans="1:28" ht="13.2">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row>
    <row r="293" spans="1:28" ht="13.2">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row>
    <row r="294" spans="1:28" ht="13.2">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row>
    <row r="295" spans="1:28" ht="13.2">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row>
    <row r="296" spans="1:28" ht="13.2">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row>
    <row r="297" spans="1:28" ht="13.2">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row>
    <row r="298" spans="1:28" ht="13.2">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row>
    <row r="299" spans="1:28" ht="13.2">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row>
    <row r="300" spans="1:28" ht="13.2">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row>
    <row r="301" spans="1:28" ht="13.2">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row>
    <row r="302" spans="1:28" ht="13.2">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row>
    <row r="303" spans="1:28" ht="13.2">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row>
    <row r="304" spans="1:28" ht="13.2">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row>
    <row r="305" spans="1:28" ht="13.2">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row>
    <row r="306" spans="1:28" ht="13.2">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row>
    <row r="307" spans="1:28" ht="13.2">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row>
    <row r="308" spans="1:28" ht="13.2">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row>
    <row r="309" spans="1:28" ht="13.2">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row>
    <row r="310" spans="1:28" ht="13.2">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row>
    <row r="311" spans="1:28" ht="13.2">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row>
    <row r="312" spans="1:28" ht="13.2">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row>
    <row r="313" spans="1:28" ht="13.2">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row>
    <row r="314" spans="1:28" ht="13.2">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row>
    <row r="315" spans="1:28" ht="13.2">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row>
    <row r="316" spans="1:28" ht="13.2">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row>
    <row r="317" spans="1:28" ht="13.2">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row>
    <row r="318" spans="1:28" ht="13.2">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row>
    <row r="319" spans="1:28" ht="13.2">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row>
    <row r="320" spans="1:28" ht="13.2">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row>
    <row r="321" spans="1:28" ht="13.2">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row>
    <row r="322" spans="1:28" ht="13.2">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row>
    <row r="323" spans="1:28" ht="13.2">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row>
    <row r="324" spans="1:28" ht="13.2">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row>
    <row r="325" spans="1:28" ht="13.2">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row>
    <row r="326" spans="1:28" ht="13.2">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row>
    <row r="327" spans="1:28" ht="13.2">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row>
    <row r="328" spans="1:28" ht="13.2">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row>
    <row r="329" spans="1:28" ht="13.2">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row>
    <row r="330" spans="1:28" ht="13.2">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row>
    <row r="331" spans="1:28" ht="13.2">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row>
    <row r="332" spans="1:28" ht="13.2">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row>
    <row r="333" spans="1:28" ht="13.2">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row>
    <row r="334" spans="1:28" ht="13.2">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row>
    <row r="335" spans="1:28" ht="13.2">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row>
    <row r="336" spans="1:28" ht="13.2">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row>
    <row r="337" spans="1:28" ht="13.2">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row>
    <row r="338" spans="1:28" ht="13.2">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row>
    <row r="339" spans="1:28" ht="13.2">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row>
    <row r="340" spans="1:28" ht="13.2">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row>
    <row r="341" spans="1:28" ht="13.2">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row>
    <row r="342" spans="1:28" ht="13.2">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row>
    <row r="343" spans="1:28" ht="13.2">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row>
    <row r="344" spans="1:28" ht="13.2">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row>
    <row r="345" spans="1:28" ht="13.2">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row>
    <row r="346" spans="1:28" ht="13.2">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row>
    <row r="347" spans="1:28" ht="13.2">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row>
    <row r="348" spans="1:28" ht="13.2">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row>
    <row r="349" spans="1:28" ht="13.2">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row>
    <row r="350" spans="1:28" ht="13.2">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row>
    <row r="351" spans="1:28" ht="13.2">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row>
    <row r="352" spans="1:28" ht="13.2">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row>
    <row r="353" spans="1:28" ht="13.2">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row>
    <row r="354" spans="1:28" ht="13.2">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row>
    <row r="355" spans="1:28" ht="13.2">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row>
    <row r="356" spans="1:28" ht="13.2">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row>
    <row r="357" spans="1:28" ht="13.2">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row>
    <row r="358" spans="1:28" ht="13.2">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row>
    <row r="359" spans="1:28" ht="13.2">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row>
    <row r="360" spans="1:28" ht="13.2">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row>
    <row r="361" spans="1:28" ht="13.2">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row>
    <row r="362" spans="1:28" ht="13.2">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row>
    <row r="363" spans="1:28" ht="13.2">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row>
    <row r="364" spans="1:28" ht="13.2">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row>
    <row r="365" spans="1:28" ht="13.2">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row>
    <row r="366" spans="1:28" ht="13.2">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row>
    <row r="367" spans="1:28" ht="13.2">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row>
    <row r="368" spans="1:28" ht="13.2">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row>
    <row r="369" spans="1:28" ht="13.2">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row>
    <row r="370" spans="1:28" ht="13.2">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row>
    <row r="371" spans="1:28" ht="13.2">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row>
    <row r="372" spans="1:28" ht="13.2">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row>
    <row r="373" spans="1:28" ht="13.2">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row>
    <row r="374" spans="1:28" ht="13.2">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row>
    <row r="375" spans="1:28" ht="13.2">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row>
    <row r="376" spans="1:28" ht="13.2">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row>
    <row r="377" spans="1:28" ht="13.2">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row>
    <row r="378" spans="1:28" ht="13.2">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row>
    <row r="379" spans="1:28" ht="13.2">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row>
    <row r="380" spans="1:28" ht="13.2">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row>
    <row r="381" spans="1:28" ht="13.2">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row>
    <row r="382" spans="1:28" ht="13.2">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row>
    <row r="383" spans="1:28" ht="13.2">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row>
    <row r="384" spans="1:28" ht="13.2">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row>
    <row r="385" spans="1:28" ht="13.2">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row>
    <row r="386" spans="1:28" ht="13.2">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row>
    <row r="387" spans="1:28" ht="13.2">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row>
    <row r="388" spans="1:28" ht="13.2">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row>
    <row r="389" spans="1:28" ht="13.2">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row>
    <row r="390" spans="1:28" ht="13.2">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row>
    <row r="391" spans="1:28" ht="13.2">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row>
    <row r="392" spans="1:28" ht="13.2">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row>
    <row r="393" spans="1:28" ht="13.2">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row>
    <row r="394" spans="1:28" ht="13.2">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row>
    <row r="395" spans="1:28" ht="13.2">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row>
    <row r="396" spans="1:28" ht="13.2">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row>
    <row r="397" spans="1:28" ht="13.2">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row>
    <row r="398" spans="1:28" ht="13.2">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row>
    <row r="399" spans="1:28" ht="13.2">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row>
    <row r="400" spans="1:28" ht="13.2">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row>
    <row r="401" spans="1:28" ht="13.2">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row>
    <row r="402" spans="1:28" ht="13.2">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row>
    <row r="403" spans="1:28" ht="13.2">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row>
    <row r="404" spans="1:28" ht="13.2">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row>
    <row r="405" spans="1:28" ht="13.2">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row>
    <row r="406" spans="1:28" ht="13.2">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row>
    <row r="407" spans="1:28" ht="13.2">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row>
    <row r="408" spans="1:28" ht="13.2">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row>
    <row r="409" spans="1:28" ht="13.2">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row>
    <row r="410" spans="1:28" ht="13.2">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row>
    <row r="411" spans="1:28" ht="13.2">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row>
    <row r="412" spans="1:28" ht="13.2">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row>
    <row r="413" spans="1:28" ht="13.2">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row>
    <row r="414" spans="1:28" ht="13.2">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row>
    <row r="415" spans="1:28" ht="13.2">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row>
    <row r="416" spans="1:28" ht="13.2">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row>
    <row r="417" spans="1:28" ht="13.2">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row>
    <row r="418" spans="1:28" ht="13.2">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row>
    <row r="419" spans="1:28" ht="13.2">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row>
    <row r="420" spans="1:28" ht="13.2">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row>
    <row r="421" spans="1:28" ht="13.2">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row>
    <row r="422" spans="1:28" ht="13.2">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row>
    <row r="423" spans="1:28" ht="13.2">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row>
    <row r="424" spans="1:28" ht="13.2">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row>
    <row r="425" spans="1:28" ht="13.2">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row>
    <row r="426" spans="1:28" ht="13.2">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row>
    <row r="427" spans="1:28" ht="13.2">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row>
    <row r="428" spans="1:28" ht="13.2">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row>
    <row r="429" spans="1:28" ht="13.2">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row>
    <row r="430" spans="1:28" ht="13.2">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row>
    <row r="431" spans="1:28" ht="13.2">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row>
    <row r="432" spans="1:28" ht="13.2">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row>
    <row r="433" spans="1:28" ht="13.2">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row>
    <row r="434" spans="1:28" ht="13.2">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row>
    <row r="435" spans="1:28" ht="13.2">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row>
    <row r="436" spans="1:28" ht="13.2">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row>
    <row r="437" spans="1:28" ht="13.2">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row>
    <row r="438" spans="1:28" ht="13.2">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row>
    <row r="439" spans="1:28" ht="13.2">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row>
    <row r="440" spans="1:28" ht="13.2">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row>
    <row r="441" spans="1:28" ht="13.2">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row>
    <row r="442" spans="1:28" ht="13.2">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row>
    <row r="443" spans="1:28" ht="13.2">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row>
    <row r="444" spans="1:28" ht="13.2">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row>
    <row r="445" spans="1:28" ht="13.2">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row>
    <row r="446" spans="1:28" ht="13.2">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row>
    <row r="447" spans="1:28" ht="13.2">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row>
    <row r="448" spans="1:28" ht="13.2">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row>
    <row r="449" spans="1:28" ht="13.2">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row>
    <row r="450" spans="1:28" ht="13.2">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row>
    <row r="451" spans="1:28" ht="13.2">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row>
    <row r="452" spans="1:28" ht="13.2">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row>
    <row r="453" spans="1:28" ht="13.2">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row>
    <row r="454" spans="1:28" ht="13.2">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row>
    <row r="455" spans="1:28" ht="13.2">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row>
    <row r="456" spans="1:28" ht="13.2">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row>
    <row r="457" spans="1:28" ht="13.2">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row>
    <row r="458" spans="1:28" ht="13.2">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row>
    <row r="459" spans="1:28" ht="13.2">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row>
    <row r="460" spans="1:28" ht="13.2">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row>
    <row r="461" spans="1:28" ht="13.2">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row>
    <row r="462" spans="1:28" ht="13.2">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row>
    <row r="463" spans="1:28" ht="13.2">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row>
    <row r="464" spans="1:28" ht="13.2">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row>
    <row r="465" spans="1:28" ht="13.2">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row>
    <row r="466" spans="1:28" ht="13.2">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row>
    <row r="467" spans="1:28" ht="13.2">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row>
    <row r="468" spans="1:28" ht="13.2">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row>
    <row r="469" spans="1:28" ht="13.2">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row>
    <row r="470" spans="1:28" ht="13.2">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row>
    <row r="471" spans="1:28" ht="13.2">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row>
    <row r="472" spans="1:28" ht="13.2">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row>
    <row r="473" spans="1:28" ht="13.2">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row>
    <row r="474" spans="1:28" ht="13.2">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row>
    <row r="475" spans="1:28" ht="13.2">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row>
    <row r="476" spans="1:28" ht="13.2">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row>
    <row r="477" spans="1:28" ht="13.2">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row>
    <row r="478" spans="1:28" ht="13.2">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row>
    <row r="479" spans="1:28" ht="13.2">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row>
    <row r="480" spans="1:28" ht="13.2">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row>
    <row r="481" spans="1:28" ht="13.2">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row>
    <row r="482" spans="1:28" ht="13.2">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row>
    <row r="483" spans="1:28" ht="13.2">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row>
    <row r="484" spans="1:28" ht="13.2">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row>
    <row r="485" spans="1:28" ht="13.2">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row>
    <row r="486" spans="1:28" ht="13.2">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row>
    <row r="487" spans="1:28" ht="13.2">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row>
    <row r="488" spans="1:28" ht="13.2">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row>
    <row r="489" spans="1:28" ht="13.2">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row>
    <row r="490" spans="1:28" ht="13.2">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row>
    <row r="491" spans="1:28" ht="13.2">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row>
    <row r="492" spans="1:28" ht="13.2">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row>
    <row r="493" spans="1:28" ht="13.2">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row>
    <row r="494" spans="1:28" ht="13.2">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row>
    <row r="495" spans="1:28" ht="13.2">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row>
    <row r="496" spans="1:28" ht="13.2">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row>
    <row r="497" spans="1:28" ht="13.2">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row>
    <row r="498" spans="1:28" ht="13.2">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row>
    <row r="499" spans="1:28" ht="13.2">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row>
    <row r="500" spans="1:28" ht="13.2">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row>
    <row r="501" spans="1:28" ht="13.2">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row>
    <row r="502" spans="1:28" ht="13.2">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row>
    <row r="503" spans="1:28" ht="13.2">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row>
    <row r="504" spans="1:28" ht="13.2">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row>
    <row r="505" spans="1:28" ht="13.2">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row>
    <row r="506" spans="1:28" ht="13.2">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row>
    <row r="507" spans="1:28" ht="13.2">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row>
    <row r="508" spans="1:28" ht="13.2">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row>
    <row r="509" spans="1:28" ht="13.2">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row>
    <row r="510" spans="1:28" ht="13.2">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row>
    <row r="511" spans="1:28" ht="13.2">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row>
    <row r="512" spans="1:28" ht="13.2">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row>
    <row r="513" spans="1:28" ht="13.2">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row>
    <row r="514" spans="1:28" ht="13.2">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row>
    <row r="515" spans="1:28" ht="13.2">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row>
    <row r="516" spans="1:28" ht="13.2">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row>
    <row r="517" spans="1:28" ht="13.2">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row>
    <row r="518" spans="1:28" ht="13.2">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row>
    <row r="519" spans="1:28" ht="13.2">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row>
    <row r="520" spans="1:28" ht="13.2">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row>
    <row r="521" spans="1:28" ht="13.2">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row>
    <row r="522" spans="1:28" ht="13.2">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row>
    <row r="523" spans="1:28" ht="13.2">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row>
    <row r="524" spans="1:28" ht="13.2">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row>
    <row r="525" spans="1:28" ht="13.2">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row>
    <row r="526" spans="1:28" ht="13.2">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row>
    <row r="527" spans="1:28" ht="13.2">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row>
    <row r="528" spans="1:28" ht="13.2">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row>
    <row r="529" spans="1:28" ht="13.2">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row>
    <row r="530" spans="1:28" ht="13.2">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row>
    <row r="531" spans="1:28" ht="13.2">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row>
    <row r="532" spans="1:28" ht="13.2">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row>
    <row r="533" spans="1:28" ht="13.2">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row>
    <row r="534" spans="1:28" ht="13.2">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row>
    <row r="535" spans="1:28" ht="13.2">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row>
    <row r="536" spans="1:28" ht="13.2">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row>
    <row r="537" spans="1:28" ht="13.2">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row>
    <row r="538" spans="1:28" ht="13.2">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row>
    <row r="539" spans="1:28" ht="13.2">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row>
    <row r="540" spans="1:28" ht="13.2">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row>
    <row r="541" spans="1:28" ht="13.2">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row>
    <row r="542" spans="1:28" ht="13.2">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row>
    <row r="543" spans="1:28" ht="13.2">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row>
    <row r="544" spans="1:28" ht="13.2">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row>
    <row r="545" spans="1:28" ht="13.2">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row>
    <row r="546" spans="1:28" ht="13.2">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row>
    <row r="547" spans="1:28" ht="13.2">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row>
    <row r="548" spans="1:28" ht="13.2">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row>
    <row r="549" spans="1:28" ht="13.2">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row>
    <row r="550" spans="1:28" ht="13.2">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row>
    <row r="551" spans="1:28" ht="13.2">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row>
    <row r="552" spans="1:28" ht="13.2">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row>
    <row r="553" spans="1:28" ht="13.2">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row>
    <row r="554" spans="1:28" ht="13.2">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row>
    <row r="555" spans="1:28" ht="13.2">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row>
    <row r="556" spans="1:28" ht="13.2">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row>
    <row r="557" spans="1:28" ht="13.2">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row>
    <row r="558" spans="1:28" ht="13.2">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row>
    <row r="559" spans="1:28" ht="13.2">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row>
    <row r="560" spans="1:28" ht="13.2">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row>
    <row r="561" spans="1:28" ht="13.2">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row>
    <row r="562" spans="1:28" ht="13.2">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row>
    <row r="563" spans="1:28" ht="13.2">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row>
    <row r="564" spans="1:28" ht="13.2">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row>
    <row r="565" spans="1:28" ht="13.2">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row>
    <row r="566" spans="1:28" ht="13.2">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row>
    <row r="567" spans="1:28" ht="13.2">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row>
    <row r="568" spans="1:28" ht="13.2">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row>
    <row r="569" spans="1:28" ht="13.2">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row>
    <row r="570" spans="1:28" ht="13.2">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row>
    <row r="571" spans="1:28" ht="13.2">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row>
    <row r="572" spans="1:28" ht="13.2">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row>
    <row r="573" spans="1:28" ht="13.2">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row>
    <row r="574" spans="1:28" ht="13.2">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row>
    <row r="575" spans="1:28" ht="13.2">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row>
    <row r="576" spans="1:28" ht="13.2">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row>
    <row r="577" spans="1:28" ht="13.2">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row>
    <row r="578" spans="1:28" ht="13.2">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row>
    <row r="579" spans="1:28" ht="13.2">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row>
    <row r="580" spans="1:28" ht="13.2">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row>
    <row r="581" spans="1:28" ht="13.2">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row>
    <row r="582" spans="1:28" ht="13.2">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row>
    <row r="583" spans="1:28" ht="13.2">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row>
    <row r="584" spans="1:28" ht="13.2">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row>
    <row r="585" spans="1:28" ht="13.2">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row>
    <row r="586" spans="1:28" ht="13.2">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row>
    <row r="587" spans="1:28" ht="13.2">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row>
    <row r="588" spans="1:28" ht="13.2">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row>
    <row r="589" spans="1:28" ht="13.2">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row>
    <row r="590" spans="1:28" ht="13.2">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row>
    <row r="591" spans="1:28" ht="13.2">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row>
    <row r="592" spans="1:28" ht="13.2">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row>
    <row r="593" spans="1:28" ht="13.2">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row>
    <row r="594" spans="1:28" ht="13.2">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row>
    <row r="595" spans="1:28" ht="13.2">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row>
    <row r="596" spans="1:28" ht="13.2">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row>
    <row r="597" spans="1:28" ht="13.2">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row>
    <row r="598" spans="1:28" ht="13.2">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row>
    <row r="599" spans="1:28" ht="13.2">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row>
    <row r="600" spans="1:28" ht="13.2">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row>
    <row r="601" spans="1:28" ht="13.2">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row>
    <row r="602" spans="1:28" ht="13.2">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row>
    <row r="603" spans="1:28" ht="13.2">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row>
    <row r="604" spans="1:28" ht="13.2">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row>
    <row r="605" spans="1:28" ht="13.2">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row>
    <row r="606" spans="1:28" ht="13.2">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row>
    <row r="607" spans="1:28" ht="13.2">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row>
    <row r="608" spans="1:28" ht="13.2">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row>
    <row r="609" spans="1:28" ht="13.2">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row>
    <row r="610" spans="1:28" ht="13.2">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row>
    <row r="611" spans="1:28" ht="13.2">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row>
    <row r="612" spans="1:28" ht="13.2">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row>
    <row r="613" spans="1:28" ht="13.2">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row>
    <row r="614" spans="1:28" ht="13.2">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row>
    <row r="615" spans="1:28" ht="13.2">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row>
    <row r="616" spans="1:28" ht="13.2">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row>
    <row r="617" spans="1:28" ht="13.2">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row>
    <row r="618" spans="1:28" ht="13.2">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row>
    <row r="619" spans="1:28" ht="13.2">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row>
    <row r="620" spans="1:28" ht="13.2">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row>
    <row r="621" spans="1:28" ht="13.2">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row>
    <row r="622" spans="1:28" ht="13.2">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row>
    <row r="623" spans="1:28" ht="13.2">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row>
    <row r="624" spans="1:28" ht="13.2">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row>
    <row r="625" spans="1:28" ht="13.2">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row>
    <row r="626" spans="1:28" ht="13.2">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row>
    <row r="627" spans="1:28" ht="13.2">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row>
    <row r="628" spans="1:28" ht="13.2">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row>
    <row r="629" spans="1:28" ht="13.2">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row>
    <row r="630" spans="1:28" ht="13.2">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row>
    <row r="631" spans="1:28" ht="13.2">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row>
    <row r="632" spans="1:28" ht="13.2">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row>
    <row r="633" spans="1:28" ht="13.2">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row>
    <row r="634" spans="1:28" ht="13.2">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row>
    <row r="635" spans="1:28" ht="13.2">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row>
    <row r="636" spans="1:28" ht="13.2">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row>
    <row r="637" spans="1:28" ht="13.2">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row>
    <row r="638" spans="1:28" ht="13.2">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row>
    <row r="639" spans="1:28" ht="13.2">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row>
    <row r="640" spans="1:28" ht="13.2">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row>
    <row r="641" spans="1:28" ht="13.2">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row>
    <row r="642" spans="1:28" ht="13.2">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row>
    <row r="643" spans="1:28" ht="13.2">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row>
    <row r="644" spans="1:28" ht="13.2">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row>
    <row r="645" spans="1:28" ht="13.2">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row>
    <row r="646" spans="1:28" ht="13.2">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row>
    <row r="647" spans="1:28" ht="13.2">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row>
    <row r="648" spans="1:28" ht="13.2">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row>
    <row r="649" spans="1:28" ht="13.2">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row>
    <row r="650" spans="1:28" ht="13.2">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row>
    <row r="651" spans="1:28" ht="13.2">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row>
    <row r="652" spans="1:28" ht="13.2">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row>
    <row r="653" spans="1:28" ht="13.2">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row>
    <row r="654" spans="1:28" ht="13.2">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row>
    <row r="655" spans="1:28" ht="13.2">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row>
    <row r="656" spans="1:28" ht="13.2">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row>
    <row r="657" spans="1:28" ht="13.2">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row>
    <row r="658" spans="1:28" ht="13.2">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row>
    <row r="659" spans="1:28" ht="13.2">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row>
    <row r="660" spans="1:28" ht="13.2">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row>
    <row r="661" spans="1:28" ht="13.2">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row>
    <row r="662" spans="1:28" ht="13.2">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row>
    <row r="663" spans="1:28" ht="13.2">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row>
    <row r="664" spans="1:28" ht="13.2">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row>
    <row r="665" spans="1:28" ht="13.2">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row>
    <row r="666" spans="1:28" ht="13.2">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row>
    <row r="667" spans="1:28" ht="13.2">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row>
    <row r="668" spans="1:28" ht="13.2">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row>
    <row r="669" spans="1:28" ht="13.2">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row>
    <row r="670" spans="1:28" ht="13.2">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row>
    <row r="671" spans="1:28" ht="13.2">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row>
    <row r="672" spans="1:28" ht="13.2">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row>
    <row r="673" spans="1:28" ht="13.2">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row>
    <row r="674" spans="1:28" ht="13.2">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row>
    <row r="675" spans="1:28" ht="13.2">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row>
    <row r="676" spans="1:28" ht="13.2">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row>
    <row r="677" spans="1:28" ht="13.2">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row>
    <row r="678" spans="1:28" ht="13.2">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row>
    <row r="679" spans="1:28" ht="13.2">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row>
    <row r="680" spans="1:28" ht="13.2">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row>
    <row r="681" spans="1:28" ht="13.2">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row>
    <row r="682" spans="1:28" ht="13.2">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row>
    <row r="683" spans="1:28" ht="13.2">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row>
    <row r="684" spans="1:28" ht="13.2">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row>
    <row r="685" spans="1:28" ht="13.2">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row>
    <row r="686" spans="1:28" ht="13.2">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row>
    <row r="687" spans="1:28" ht="13.2">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row>
    <row r="688" spans="1:28" ht="13.2">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row>
    <row r="689" spans="1:28" ht="13.2">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row>
    <row r="690" spans="1:28" ht="13.2">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row>
    <row r="691" spans="1:28" ht="13.2">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row>
    <row r="692" spans="1:28" ht="13.2">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row>
    <row r="693" spans="1:28" ht="13.2">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row>
    <row r="694" spans="1:28" ht="13.2">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row>
    <row r="695" spans="1:28" ht="13.2">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row>
    <row r="696" spans="1:28" ht="13.2">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row>
    <row r="697" spans="1:28" ht="13.2">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row>
    <row r="698" spans="1:28" ht="13.2">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row>
    <row r="699" spans="1:28" ht="13.2">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row>
    <row r="700" spans="1:28" ht="13.2">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row>
    <row r="701" spans="1:28" ht="13.2">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row>
    <row r="702" spans="1:28" ht="13.2">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row>
    <row r="703" spans="1:28" ht="13.2">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row>
    <row r="704" spans="1:28" ht="13.2">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row>
    <row r="705" spans="1:28" ht="13.2">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row>
    <row r="706" spans="1:28" ht="13.2">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row>
    <row r="707" spans="1:28" ht="13.2">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row>
    <row r="708" spans="1:28" ht="13.2">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row>
    <row r="709" spans="1:28" ht="13.2">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row>
    <row r="710" spans="1:28" ht="13.2">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row>
    <row r="711" spans="1:28" ht="13.2">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row>
    <row r="712" spans="1:28" ht="13.2">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row>
    <row r="713" spans="1:28" ht="13.2">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row>
    <row r="714" spans="1:28" ht="13.2">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row>
    <row r="715" spans="1:28" ht="13.2">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row>
    <row r="716" spans="1:28" ht="13.2">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row>
    <row r="717" spans="1:28" ht="13.2">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row>
    <row r="718" spans="1:28" ht="13.2">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row>
    <row r="719" spans="1:28" ht="13.2">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row>
    <row r="720" spans="1:28" ht="13.2">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row>
    <row r="721" spans="1:28" ht="13.2">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row>
    <row r="722" spans="1:28" ht="13.2">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row>
    <row r="723" spans="1:28" ht="13.2">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row>
    <row r="724" spans="1:28" ht="13.2">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row>
    <row r="725" spans="1:28" ht="13.2">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row>
    <row r="726" spans="1:28" ht="13.2">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row>
    <row r="727" spans="1:28" ht="13.2">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row>
    <row r="728" spans="1:28" ht="13.2">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row>
    <row r="729" spans="1:28" ht="13.2">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row>
    <row r="730" spans="1:28" ht="13.2">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row>
    <row r="731" spans="1:28" ht="13.2">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row>
    <row r="732" spans="1:28" ht="13.2">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row>
    <row r="733" spans="1:28" ht="13.2">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row>
    <row r="734" spans="1:28" ht="13.2">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row>
    <row r="735" spans="1:28" ht="13.2">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row>
    <row r="736" spans="1:28" ht="13.2">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row>
    <row r="737" spans="1:28" ht="13.2">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row>
    <row r="738" spans="1:28" ht="13.2">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row>
    <row r="739" spans="1:28" ht="13.2">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row>
    <row r="740" spans="1:28" ht="13.2">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row>
    <row r="741" spans="1:28" ht="13.2">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row>
    <row r="742" spans="1:28" ht="13.2">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row>
    <row r="743" spans="1:28" ht="13.2">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row>
    <row r="744" spans="1:28" ht="13.2">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row>
    <row r="745" spans="1:28" ht="13.2">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row>
    <row r="746" spans="1:28" ht="13.2">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row>
    <row r="747" spans="1:28" ht="13.2">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row>
    <row r="748" spans="1:28" ht="13.2">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row>
    <row r="749" spans="1:28" ht="13.2">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row>
    <row r="750" spans="1:28" ht="13.2">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row>
    <row r="751" spans="1:28" ht="13.2">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row>
    <row r="752" spans="1:28" ht="13.2">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row>
    <row r="753" spans="1:28" ht="13.2">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row>
    <row r="754" spans="1:28" ht="13.2">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row>
    <row r="755" spans="1:28" ht="13.2">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row>
    <row r="756" spans="1:28" ht="13.2">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row>
    <row r="757" spans="1:28" ht="13.2">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row>
    <row r="758" spans="1:28" ht="13.2">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row>
    <row r="759" spans="1:28" ht="13.2">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row>
    <row r="760" spans="1:28" ht="13.2">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row>
    <row r="761" spans="1:28" ht="13.2">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row>
    <row r="762" spans="1:28" ht="13.2">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row>
    <row r="763" spans="1:28" ht="13.2">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row>
    <row r="764" spans="1:28" ht="13.2">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row>
    <row r="765" spans="1:28" ht="13.2">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row>
    <row r="766" spans="1:28" ht="13.2">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row>
    <row r="767" spans="1:28" ht="13.2">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row>
    <row r="768" spans="1:28" ht="13.2">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row>
    <row r="769" spans="1:28" ht="13.2">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row>
    <row r="770" spans="1:28" ht="13.2">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row>
    <row r="771" spans="1:28" ht="13.2">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row>
    <row r="772" spans="1:28" ht="13.2">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row>
    <row r="773" spans="1:28" ht="13.2">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row>
    <row r="774" spans="1:28" ht="13.2">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row>
    <row r="775" spans="1:28" ht="13.2">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row>
    <row r="776" spans="1:28" ht="13.2">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row>
    <row r="777" spans="1:28" ht="13.2">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row>
    <row r="778" spans="1:28" ht="13.2">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row>
    <row r="779" spans="1:28" ht="13.2">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row>
    <row r="780" spans="1:28" ht="13.2">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row>
    <row r="781" spans="1:28" ht="13.2">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row>
    <row r="782" spans="1:28" ht="13.2">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row>
    <row r="783" spans="1:28" ht="13.2">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row>
    <row r="784" spans="1:28" ht="13.2">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row>
    <row r="785" spans="1:28" ht="13.2">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row>
    <row r="786" spans="1:28" ht="13.2">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row>
    <row r="787" spans="1:28" ht="13.2">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row>
    <row r="788" spans="1:28" ht="13.2">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row>
    <row r="789" spans="1:28" ht="13.2">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row>
    <row r="790" spans="1:28" ht="13.2">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row>
    <row r="791" spans="1:28" ht="13.2">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row>
    <row r="792" spans="1:28" ht="13.2">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row>
    <row r="793" spans="1:28" ht="13.2">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row>
    <row r="794" spans="1:28" ht="13.2">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row>
    <row r="795" spans="1:28" ht="13.2">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row>
    <row r="796" spans="1:28" ht="13.2">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row>
    <row r="797" spans="1:28" ht="13.2">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row>
    <row r="798" spans="1:28" ht="13.2">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row>
    <row r="799" spans="1:28" ht="13.2">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row>
    <row r="800" spans="1:28" ht="13.2">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row>
    <row r="801" spans="1:28" ht="13.2">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row>
    <row r="802" spans="1:28" ht="13.2">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row>
    <row r="803" spans="1:28" ht="13.2">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row>
    <row r="804" spans="1:28" ht="13.2">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row>
    <row r="805" spans="1:28" ht="13.2">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row>
    <row r="806" spans="1:28" ht="13.2">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row>
    <row r="807" spans="1:28" ht="13.2">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row>
    <row r="808" spans="1:28" ht="13.2">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row>
    <row r="809" spans="1:28" ht="13.2">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row>
    <row r="810" spans="1:28" ht="13.2">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row>
    <row r="811" spans="1:28" ht="13.2">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row>
    <row r="812" spans="1:28" ht="13.2">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row>
    <row r="813" spans="1:28" ht="13.2">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row>
    <row r="814" spans="1:28" ht="13.2">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row>
    <row r="815" spans="1:28" ht="13.2">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row>
    <row r="816" spans="1:28" ht="13.2">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row>
    <row r="817" spans="1:28" ht="13.2">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row>
    <row r="818" spans="1:28" ht="13.2">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row>
    <row r="819" spans="1:28" ht="13.2">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row>
    <row r="820" spans="1:28" ht="13.2">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row>
    <row r="821" spans="1:28" ht="13.2">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row>
    <row r="822" spans="1:28" ht="13.2">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row>
    <row r="823" spans="1:28" ht="13.2">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row>
    <row r="824" spans="1:28" ht="13.2">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row>
    <row r="825" spans="1:28" ht="13.2">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row>
    <row r="826" spans="1:28" ht="13.2">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row>
    <row r="827" spans="1:28" ht="13.2">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row>
    <row r="828" spans="1:28" ht="13.2">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row>
    <row r="829" spans="1:28" ht="13.2">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row>
    <row r="830" spans="1:28" ht="13.2">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row>
    <row r="831" spans="1:28" ht="13.2">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row>
    <row r="832" spans="1:28" ht="13.2">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row>
    <row r="833" spans="1:28" ht="13.2">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row>
    <row r="834" spans="1:28" ht="13.2">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row>
    <row r="835" spans="1:28" ht="13.2">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row>
    <row r="836" spans="1:28" ht="13.2">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row>
    <row r="837" spans="1:28" ht="13.2">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row>
    <row r="838" spans="1:28" ht="13.2">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row>
    <row r="839" spans="1:28" ht="13.2">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row>
    <row r="840" spans="1:28" ht="13.2">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row>
    <row r="841" spans="1:28" ht="13.2">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row>
    <row r="842" spans="1:28" ht="13.2">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row>
    <row r="843" spans="1:28" ht="13.2">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row>
    <row r="844" spans="1:28" ht="13.2">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row>
    <row r="845" spans="1:28" ht="13.2">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row>
    <row r="846" spans="1:28" ht="13.2">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row>
    <row r="847" spans="1:28" ht="13.2">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row>
    <row r="848" spans="1:28" ht="13.2">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row>
    <row r="849" spans="1:28" ht="13.2">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row>
    <row r="850" spans="1:28" ht="13.2">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row>
    <row r="851" spans="1:28" ht="13.2">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row>
    <row r="852" spans="1:28" ht="13.2">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row>
    <row r="853" spans="1:28" ht="13.2">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row>
    <row r="854" spans="1:28" ht="13.2">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row>
    <row r="855" spans="1:28" ht="13.2">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row>
    <row r="856" spans="1:28" ht="13.2">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row>
    <row r="857" spans="1:28" ht="13.2">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row>
    <row r="858" spans="1:28" ht="13.2">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row>
    <row r="859" spans="1:28" ht="13.2">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row>
    <row r="860" spans="1:28" ht="13.2">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row>
    <row r="861" spans="1:28" ht="13.2">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row>
    <row r="862" spans="1:28" ht="13.2">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row>
    <row r="863" spans="1:28" ht="13.2">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row>
    <row r="864" spans="1:28" ht="13.2">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row>
    <row r="865" spans="1:28" ht="13.2">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row>
    <row r="866" spans="1:28" ht="13.2">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row>
    <row r="867" spans="1:28" ht="13.2">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row>
    <row r="868" spans="1:28" ht="13.2">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row>
    <row r="869" spans="1:28" ht="13.2">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row>
    <row r="870" spans="1:28" ht="13.2">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row>
    <row r="871" spans="1:28" ht="13.2">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row>
    <row r="872" spans="1:28" ht="13.2">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row>
    <row r="873" spans="1:28" ht="13.2">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row>
    <row r="874" spans="1:28" ht="13.2">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row>
    <row r="875" spans="1:28" ht="13.2">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row>
    <row r="876" spans="1:28" ht="13.2">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row>
    <row r="877" spans="1:28" ht="13.2">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row>
    <row r="878" spans="1:28" ht="13.2">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row>
    <row r="879" spans="1:28" ht="13.2">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row>
    <row r="880" spans="1:28" ht="13.2">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row>
    <row r="881" spans="1:28" ht="13.2">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row>
    <row r="882" spans="1:28" ht="13.2">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row>
    <row r="883" spans="1:28" ht="13.2">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row>
    <row r="884" spans="1:28" ht="13.2">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row>
    <row r="885" spans="1:28" ht="13.2">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row>
    <row r="886" spans="1:28" ht="13.2">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row>
    <row r="887" spans="1:28" ht="13.2">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row>
    <row r="888" spans="1:28" ht="13.2">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row>
    <row r="889" spans="1:28" ht="13.2">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row>
    <row r="890" spans="1:28" ht="13.2">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row>
    <row r="891" spans="1:28" ht="13.2">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row>
    <row r="892" spans="1:28" ht="13.2">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row>
    <row r="893" spans="1:28" ht="13.2">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row>
    <row r="894" spans="1:28" ht="13.2">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row>
    <row r="895" spans="1:28" ht="13.2">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row>
    <row r="896" spans="1:28" ht="13.2">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row>
    <row r="897" spans="1:28" ht="13.2">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row>
    <row r="898" spans="1:28" ht="13.2">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row>
    <row r="899" spans="1:28" ht="13.2">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row>
    <row r="900" spans="1:28" ht="13.2">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row>
    <row r="901" spans="1:28" ht="13.2">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row>
    <row r="902" spans="1:28" ht="13.2">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row>
    <row r="903" spans="1:28" ht="13.2">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row>
    <row r="904" spans="1:28" ht="13.2">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row>
    <row r="905" spans="1:28" ht="13.2">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row>
    <row r="906" spans="1:28" ht="13.2">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row>
    <row r="907" spans="1:28" ht="13.2">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row>
    <row r="908" spans="1:28" ht="13.2">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row>
    <row r="909" spans="1:28" ht="13.2">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row>
    <row r="910" spans="1:28" ht="13.2">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row>
    <row r="911" spans="1:28" ht="13.2">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row>
    <row r="912" spans="1:28" ht="13.2">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row>
    <row r="913" spans="1:28" ht="13.2">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row>
    <row r="914" spans="1:28" ht="13.2">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row>
    <row r="915" spans="1:28" ht="13.2">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row>
    <row r="916" spans="1:28" ht="13.2">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row>
    <row r="917" spans="1:28" ht="13.2">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row>
    <row r="918" spans="1:28" ht="13.2">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row>
    <row r="919" spans="1:28" ht="13.2">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row>
    <row r="920" spans="1:28" ht="13.2">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row>
    <row r="921" spans="1:28" ht="13.2">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row>
    <row r="922" spans="1:28" ht="13.2">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row>
    <row r="923" spans="1:28" ht="13.2">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row>
    <row r="924" spans="1:28" ht="13.2">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row>
    <row r="925" spans="1:28" ht="13.2">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row>
    <row r="926" spans="1:28" ht="13.2">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row>
    <row r="927" spans="1:28" ht="13.2">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row>
    <row r="928" spans="1:28" ht="13.2">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row>
    <row r="929" spans="1:28" ht="13.2">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row>
    <row r="930" spans="1:28" ht="13.2">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row>
    <row r="931" spans="1:28" ht="13.2">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row>
    <row r="932" spans="1:28" ht="13.2">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row>
    <row r="933" spans="1:28" ht="13.2">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row>
    <row r="934" spans="1:28" ht="13.2">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row>
    <row r="935" spans="1:28" ht="13.2">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row>
    <row r="936" spans="1:28" ht="13.2">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row>
    <row r="937" spans="1:28" ht="13.2">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row>
    <row r="938" spans="1:28" ht="13.2">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row>
    <row r="939" spans="1:28" ht="13.2">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row>
    <row r="940" spans="1:28" ht="13.2">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row>
    <row r="941" spans="1:28" ht="13.2">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row>
    <row r="942" spans="1:28" ht="13.2">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row>
    <row r="943" spans="1:28" ht="13.2">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row>
    <row r="944" spans="1:28" ht="13.2">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row>
    <row r="945" spans="1:28" ht="13.2">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row>
    <row r="946" spans="1:28" ht="13.2">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row>
    <row r="947" spans="1:28" ht="13.2">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row>
    <row r="948" spans="1:28" ht="13.2">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row>
    <row r="949" spans="1:28" ht="13.2">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row>
    <row r="950" spans="1:28" ht="13.2">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row>
    <row r="951" spans="1:28" ht="13.2">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row>
    <row r="952" spans="1:28" ht="13.2">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row>
    <row r="953" spans="1:28" ht="13.2">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row>
    <row r="954" spans="1:28" ht="13.2">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row>
    <row r="955" spans="1:28" ht="13.2">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row>
    <row r="956" spans="1:28" ht="13.2">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row>
    <row r="957" spans="1:28" ht="13.2">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row>
    <row r="958" spans="1:28" ht="13.2">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row>
    <row r="959" spans="1:28" ht="13.2">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row>
    <row r="960" spans="1:28" ht="13.2">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row>
    <row r="961" spans="1:28" ht="13.2">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row>
    <row r="962" spans="1:28" ht="13.2">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row>
    <row r="963" spans="1:28" ht="13.2">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row>
    <row r="964" spans="1:28" ht="13.2">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row>
    <row r="965" spans="1:28" ht="13.2">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row>
    <row r="966" spans="1:28" ht="13.2">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row>
    <row r="967" spans="1:28" ht="13.2">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row>
    <row r="968" spans="1:28" ht="13.2">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row>
    <row r="969" spans="1:28" ht="13.2">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row>
    <row r="970" spans="1:28" ht="13.2">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row>
    <row r="971" spans="1:28" ht="13.2">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row>
    <row r="972" spans="1:28" ht="13.2">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row>
    <row r="973" spans="1:28" ht="13.2">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row>
    <row r="974" spans="1:28" ht="13.2">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row>
    <row r="975" spans="1:28" ht="13.2">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row>
    <row r="976" spans="1:28" ht="13.2">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row>
    <row r="977" spans="1:28" ht="13.2">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row>
    <row r="978" spans="1:28" ht="13.2">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row>
    <row r="979" spans="1:28" ht="13.2">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row>
    <row r="980" spans="1:28" ht="13.2">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row>
    <row r="981" spans="1:28" ht="13.2">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row>
    <row r="982" spans="1:28" ht="13.2">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row>
    <row r="983" spans="1:28" ht="13.2">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row>
    <row r="984" spans="1:28" ht="13.2">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row>
    <row r="985" spans="1:28" ht="13.2">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row>
    <row r="986" spans="1:28" ht="13.2">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row>
    <row r="987" spans="1:28" ht="13.2">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row>
    <row r="988" spans="1:28" ht="13.2">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row>
    <row r="989" spans="1:28" ht="13.2">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row>
    <row r="990" spans="1:28" ht="13.2">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row>
    <row r="991" spans="1:28" ht="13.2">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row>
    <row r="992" spans="1:28" ht="13.2">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row>
    <row r="993" spans="1:28" ht="13.2">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row>
    <row r="994" spans="1:28" ht="13.2">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row>
    <row r="995" spans="1:28" ht="13.2">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row>
    <row r="996" spans="1:28" ht="13.2">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row>
    <row r="997" spans="1:28" ht="13.2">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row>
    <row r="998" spans="1:28" ht="13.2">
      <c r="A998" s="82"/>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row>
    <row r="999" spans="1:28" ht="13.2">
      <c r="A999" s="82"/>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row>
    <row r="1000" spans="1:28" ht="13.2">
      <c r="A1000" s="82"/>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row>
  </sheetData>
  <mergeCells count="48">
    <mergeCell ref="A1:C1"/>
    <mergeCell ref="A2:G2"/>
    <mergeCell ref="P4:S4"/>
    <mergeCell ref="P6:V6"/>
    <mergeCell ref="A7:D7"/>
    <mergeCell ref="P7:U7"/>
    <mergeCell ref="A8:F8"/>
    <mergeCell ref="P9:Q9"/>
    <mergeCell ref="Y9:AA9"/>
    <mergeCell ref="A10:B10"/>
    <mergeCell ref="L10:M10"/>
    <mergeCell ref="H11:J11"/>
    <mergeCell ref="L11:M11"/>
    <mergeCell ref="P11:U11"/>
    <mergeCell ref="A11:B11"/>
    <mergeCell ref="A12:B12"/>
    <mergeCell ref="H12:I12"/>
    <mergeCell ref="A13:F13"/>
    <mergeCell ref="G13:H13"/>
    <mergeCell ref="L15:M15"/>
    <mergeCell ref="P15:V15"/>
    <mergeCell ref="P16:R16"/>
    <mergeCell ref="A15:E15"/>
    <mergeCell ref="A16:C16"/>
    <mergeCell ref="A17:F17"/>
    <mergeCell ref="G17:H17"/>
    <mergeCell ref="A18:C18"/>
    <mergeCell ref="A19:C19"/>
    <mergeCell ref="Y19:AA19"/>
    <mergeCell ref="A20:E20"/>
    <mergeCell ref="P20:U20"/>
    <mergeCell ref="A21:C21"/>
    <mergeCell ref="A22:C22"/>
    <mergeCell ref="A23:C23"/>
    <mergeCell ref="K23:L23"/>
    <mergeCell ref="Y23:AA23"/>
    <mergeCell ref="A34:H34"/>
    <mergeCell ref="A35:J35"/>
    <mergeCell ref="B36:E36"/>
    <mergeCell ref="B37:C37"/>
    <mergeCell ref="A39:R39"/>
    <mergeCell ref="K24:L24"/>
    <mergeCell ref="P24:S24"/>
    <mergeCell ref="Y24:Z24"/>
    <mergeCell ref="A26:C26"/>
    <mergeCell ref="J29:K29"/>
    <mergeCell ref="J30:K30"/>
    <mergeCell ref="A33:F3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4"/>
  <sheetViews>
    <sheetView workbookViewId="0"/>
  </sheetViews>
  <sheetFormatPr defaultColWidth="12.6640625" defaultRowHeight="15.75" customHeight="1"/>
  <cols>
    <col min="1" max="1" width="18.44140625" customWidth="1"/>
    <col min="2" max="2" width="9.21875" customWidth="1"/>
    <col min="3" max="8" width="13" customWidth="1"/>
  </cols>
  <sheetData>
    <row r="1" spans="1:27">
      <c r="A1" s="2"/>
      <c r="B1" s="2"/>
      <c r="C1" s="2"/>
      <c r="D1" s="2"/>
      <c r="E1" s="2"/>
      <c r="F1" s="2"/>
      <c r="G1" s="2"/>
      <c r="H1" s="2"/>
      <c r="I1" s="2"/>
      <c r="J1" s="2"/>
      <c r="K1" s="2"/>
      <c r="L1" s="2"/>
      <c r="M1" s="2"/>
      <c r="N1" s="2"/>
      <c r="O1" s="2"/>
      <c r="P1" s="2"/>
      <c r="Q1" s="2"/>
      <c r="R1" s="2"/>
      <c r="S1" s="2"/>
      <c r="T1" s="2"/>
      <c r="U1" s="2"/>
      <c r="V1" s="2"/>
      <c r="W1" s="2"/>
      <c r="X1" s="2"/>
      <c r="Y1" s="2"/>
      <c r="Z1" s="2"/>
      <c r="AA1" s="2"/>
    </row>
    <row r="2" spans="1:27">
      <c r="A2" s="46"/>
      <c r="B2" s="80" t="s">
        <v>437</v>
      </c>
      <c r="C2" s="45">
        <v>2021</v>
      </c>
      <c r="D2" s="80">
        <v>2022</v>
      </c>
      <c r="E2" s="81" t="s">
        <v>438</v>
      </c>
      <c r="F2" s="81" t="s">
        <v>439</v>
      </c>
      <c r="G2" s="81" t="s">
        <v>440</v>
      </c>
      <c r="H2" s="81" t="s">
        <v>441</v>
      </c>
      <c r="I2" s="2"/>
      <c r="J2" s="2"/>
      <c r="K2" s="2"/>
      <c r="L2" s="2"/>
      <c r="M2" s="2"/>
      <c r="N2" s="2"/>
      <c r="O2" s="2"/>
      <c r="P2" s="2"/>
      <c r="Q2" s="2"/>
      <c r="R2" s="2"/>
      <c r="S2" s="2"/>
      <c r="T2" s="2"/>
      <c r="U2" s="2"/>
      <c r="V2" s="2"/>
      <c r="W2" s="2"/>
      <c r="X2" s="2"/>
      <c r="Y2" s="2"/>
      <c r="Z2" s="2"/>
      <c r="AA2" s="2"/>
    </row>
    <row r="3" spans="1:27">
      <c r="A3" s="82" t="s">
        <v>442</v>
      </c>
      <c r="B3" s="2"/>
      <c r="C3" s="23">
        <f>'Income Statement'!H9</f>
        <v>2764584</v>
      </c>
      <c r="D3" s="23">
        <f>'Income Statement'!I9</f>
        <v>3126534</v>
      </c>
      <c r="E3" s="23">
        <f>'Income Statement'!J9</f>
        <v>3877685.8549425676</v>
      </c>
      <c r="F3" s="23">
        <f>'Income Statement'!K9</f>
        <v>4452725.9014118174</v>
      </c>
      <c r="G3" s="23">
        <f>'Income Statement'!L9</f>
        <v>5124947.7032658625</v>
      </c>
      <c r="H3" s="23">
        <f>'Income Statement'!M9</f>
        <v>5854498.920849991</v>
      </c>
      <c r="I3" s="2"/>
      <c r="J3" s="2"/>
      <c r="K3" s="2"/>
      <c r="L3" s="2"/>
      <c r="M3" s="2"/>
      <c r="N3" s="2"/>
      <c r="O3" s="2"/>
      <c r="P3" s="2"/>
      <c r="Q3" s="2"/>
      <c r="R3" s="2"/>
      <c r="S3" s="2"/>
      <c r="T3" s="2"/>
      <c r="U3" s="2"/>
      <c r="V3" s="2"/>
      <c r="W3" s="2"/>
      <c r="X3" s="2"/>
      <c r="Y3" s="2"/>
      <c r="Z3" s="2"/>
      <c r="AA3" s="2"/>
    </row>
    <row r="4" spans="1:27">
      <c r="A4" s="82" t="s">
        <v>443</v>
      </c>
      <c r="B4" s="82"/>
      <c r="C4" s="15"/>
      <c r="D4" s="15">
        <f t="shared" ref="D4:H4" si="0">(D3-C3)/C3</f>
        <v>0.13092385689854241</v>
      </c>
      <c r="E4" s="15">
        <f t="shared" si="0"/>
        <v>0.24025065933796583</v>
      </c>
      <c r="F4" s="15">
        <f t="shared" si="0"/>
        <v>0.14829464479085985</v>
      </c>
      <c r="G4" s="15">
        <f t="shared" si="0"/>
        <v>0.15096860142253649</v>
      </c>
      <c r="H4" s="15">
        <f t="shared" si="0"/>
        <v>0.14235290969295616</v>
      </c>
      <c r="I4" s="2"/>
      <c r="J4" s="2"/>
      <c r="K4" s="2"/>
      <c r="L4" s="2"/>
      <c r="M4" s="2"/>
      <c r="N4" s="2"/>
      <c r="O4" s="2"/>
      <c r="P4" s="2"/>
      <c r="Q4" s="2"/>
      <c r="R4" s="2"/>
      <c r="S4" s="2"/>
      <c r="T4" s="2"/>
      <c r="U4" s="2"/>
      <c r="V4" s="2"/>
      <c r="W4" s="2"/>
      <c r="X4" s="2"/>
      <c r="Y4" s="2"/>
      <c r="Z4" s="2"/>
      <c r="AA4" s="2"/>
    </row>
    <row r="5" spans="1:27">
      <c r="A5" s="82" t="s">
        <v>444</v>
      </c>
      <c r="B5" s="27"/>
      <c r="C5" s="27">
        <f>('Income Statement'!H9-'Income Statement'!H19)/'Income Statement'!H9</f>
        <v>0.49048392090817278</v>
      </c>
      <c r="D5" s="27">
        <f>('Income Statement'!I9-'Income Statement'!I19)/'Income Statement'!I9</f>
        <v>0.53906722268173002</v>
      </c>
      <c r="E5" s="27">
        <f>('Income Statement'!J9-'Income Statement'!J19)/'Income Statement'!J9</f>
        <v>0.53036146647329696</v>
      </c>
      <c r="F5" s="27">
        <f>('Income Statement'!K9-'Income Statement'!K19)/'Income Statement'!K9</f>
        <v>0.492938594924894</v>
      </c>
      <c r="G5" s="27">
        <f>('Income Statement'!L9-'Income Statement'!L19)/'Income Statement'!L9</f>
        <v>0.46366735932631953</v>
      </c>
      <c r="H5" s="27">
        <f>('Income Statement'!M9-'Income Statement'!M19)/'Income Statement'!M9</f>
        <v>0.43585167487095144</v>
      </c>
      <c r="I5" s="2"/>
      <c r="J5" s="2"/>
      <c r="K5" s="2"/>
      <c r="L5" s="2"/>
      <c r="M5" s="2"/>
      <c r="N5" s="2"/>
      <c r="O5" s="2"/>
      <c r="P5" s="2"/>
      <c r="Q5" s="2"/>
      <c r="R5" s="2"/>
      <c r="S5" s="2"/>
      <c r="T5" s="2"/>
      <c r="U5" s="2"/>
      <c r="V5" s="2"/>
      <c r="W5" s="2"/>
      <c r="X5" s="2"/>
      <c r="Y5" s="2"/>
      <c r="Z5" s="2"/>
      <c r="AA5" s="2"/>
    </row>
    <row r="6" spans="1:27">
      <c r="A6" s="82" t="s">
        <v>445</v>
      </c>
      <c r="B6" s="2"/>
      <c r="C6" s="15"/>
      <c r="D6" s="15">
        <f t="shared" ref="D6:H6" si="1">(D5-C5)/C5</f>
        <v>9.90517725506702E-2</v>
      </c>
      <c r="E6" s="15">
        <f t="shared" si="1"/>
        <v>-1.6149667132651861E-2</v>
      </c>
      <c r="F6" s="15">
        <f t="shared" si="1"/>
        <v>-7.0561068090506066E-2</v>
      </c>
      <c r="G6" s="15">
        <f t="shared" si="1"/>
        <v>-5.9381099187484701E-2</v>
      </c>
      <c r="H6" s="15">
        <f t="shared" si="1"/>
        <v>-5.999060295247563E-2</v>
      </c>
      <c r="I6" s="2"/>
      <c r="J6" s="2"/>
      <c r="K6" s="2"/>
      <c r="L6" s="2"/>
      <c r="M6" s="2"/>
      <c r="N6" s="2"/>
      <c r="O6" s="2"/>
      <c r="P6" s="2"/>
      <c r="Q6" s="2"/>
      <c r="R6" s="2"/>
      <c r="S6" s="2"/>
      <c r="T6" s="2"/>
      <c r="U6" s="2"/>
      <c r="V6" s="2"/>
      <c r="W6" s="2"/>
      <c r="X6" s="2"/>
      <c r="Y6" s="2"/>
      <c r="Z6" s="2"/>
      <c r="AA6" s="2"/>
    </row>
    <row r="7" spans="1:27">
      <c r="A7" s="82" t="s">
        <v>446</v>
      </c>
      <c r="B7" s="2"/>
      <c r="C7" s="23">
        <f>'Income Statement'!H9-'Income Statement'!H15-C18-C19</f>
        <v>235100</v>
      </c>
      <c r="D7" s="23">
        <f>'Income Statement'!I9-'Income Statement'!I15-D18-D19</f>
        <v>-530888</v>
      </c>
      <c r="E7" s="23">
        <f>'Income Statement'!J9-'Income Statement'!J15-E18-E19</f>
        <v>-740064.90726126311</v>
      </c>
      <c r="F7" s="23">
        <f>'Income Statement'!K9-'Income Statement'!K15-F18-F19</f>
        <v>-816760.557399326</v>
      </c>
      <c r="G7" s="23">
        <f>'Income Statement'!L9-'Income Statement'!L15-G18-G19</f>
        <v>-223792.9328871062</v>
      </c>
      <c r="H7" s="23">
        <f>'Income Statement'!M9-'Income Statement'!M15-H18-H19</f>
        <v>3795.6187683749013</v>
      </c>
      <c r="I7" s="2"/>
      <c r="J7" s="2"/>
      <c r="K7" s="2"/>
      <c r="L7" s="2"/>
      <c r="M7" s="2"/>
      <c r="N7" s="2"/>
      <c r="O7" s="2"/>
      <c r="P7" s="2"/>
      <c r="Q7" s="2"/>
      <c r="R7" s="2"/>
      <c r="S7" s="2"/>
      <c r="T7" s="2"/>
      <c r="U7" s="2"/>
      <c r="V7" s="2"/>
      <c r="W7" s="2"/>
      <c r="X7" s="2"/>
      <c r="Y7" s="2"/>
      <c r="Z7" s="2"/>
      <c r="AA7" s="2"/>
    </row>
    <row r="8" spans="1:27">
      <c r="A8" s="82" t="s">
        <v>447</v>
      </c>
      <c r="B8" s="27"/>
      <c r="C8" s="15"/>
      <c r="D8" s="83">
        <f t="shared" ref="D8:H8" si="2">(D7-C7)/C7</f>
        <v>-3.2581369629944703</v>
      </c>
      <c r="E8" s="83">
        <f t="shared" si="2"/>
        <v>0.39401325187471392</v>
      </c>
      <c r="F8" s="83">
        <f t="shared" si="2"/>
        <v>0.10363368048606476</v>
      </c>
      <c r="G8" s="83">
        <f t="shared" si="2"/>
        <v>-0.72599933865600397</v>
      </c>
      <c r="H8" s="83">
        <f t="shared" si="2"/>
        <v>-1.0169604049574239</v>
      </c>
      <c r="I8" s="2"/>
      <c r="J8" s="2"/>
      <c r="K8" s="2"/>
      <c r="L8" s="2"/>
      <c r="M8" s="2"/>
      <c r="N8" s="2"/>
      <c r="O8" s="2"/>
      <c r="P8" s="2"/>
      <c r="Q8" s="2"/>
      <c r="R8" s="2"/>
      <c r="S8" s="2"/>
      <c r="T8" s="2"/>
      <c r="U8" s="2"/>
      <c r="V8" s="2"/>
      <c r="W8" s="2"/>
      <c r="X8" s="2"/>
      <c r="Y8" s="2"/>
      <c r="Z8" s="2"/>
      <c r="AA8" s="2"/>
    </row>
    <row r="9" spans="1:27">
      <c r="A9" s="2"/>
      <c r="B9" s="2"/>
      <c r="C9" s="2"/>
      <c r="D9" s="2"/>
      <c r="E9" s="2"/>
      <c r="F9" s="2"/>
      <c r="G9" s="2"/>
      <c r="H9" s="2"/>
      <c r="I9" s="2"/>
      <c r="J9" s="2"/>
      <c r="K9" s="2"/>
      <c r="L9" s="2"/>
      <c r="M9" s="2"/>
      <c r="N9" s="2"/>
      <c r="O9" s="2"/>
      <c r="P9" s="2"/>
      <c r="Q9" s="2"/>
      <c r="R9" s="2"/>
      <c r="S9" s="2"/>
      <c r="T9" s="2"/>
      <c r="U9" s="2"/>
      <c r="V9" s="2"/>
      <c r="W9" s="2"/>
      <c r="X9" s="2"/>
      <c r="Y9" s="2"/>
      <c r="Z9" s="2"/>
      <c r="AA9" s="2"/>
    </row>
    <row r="10" spans="1:27">
      <c r="A10" s="2"/>
      <c r="B10" s="82"/>
      <c r="C10" s="82"/>
      <c r="D10" s="82"/>
      <c r="E10" s="82"/>
      <c r="F10" s="82"/>
      <c r="G10" s="82"/>
      <c r="H10" s="82"/>
      <c r="I10" s="2"/>
      <c r="J10" s="2"/>
      <c r="K10" s="2"/>
      <c r="L10" s="2"/>
      <c r="M10" s="2"/>
      <c r="N10" s="2"/>
      <c r="O10" s="2"/>
      <c r="P10" s="2"/>
      <c r="Q10" s="2"/>
      <c r="R10" s="2"/>
      <c r="S10" s="2"/>
      <c r="T10" s="2"/>
      <c r="U10" s="2"/>
      <c r="V10" s="2"/>
      <c r="W10" s="2"/>
      <c r="X10" s="2"/>
      <c r="Y10" s="2"/>
      <c r="Z10" s="2"/>
      <c r="AA10" s="2"/>
    </row>
    <row r="11" spans="1:27">
      <c r="A11" s="82" t="s">
        <v>291</v>
      </c>
      <c r="B11" s="2"/>
      <c r="C11" s="15">
        <f>NOPAT!H21</f>
        <v>0.45195328982970528</v>
      </c>
      <c r="D11" s="15">
        <f>NOPAT!I21</f>
        <v>-0.71984032715577317</v>
      </c>
      <c r="E11" s="15">
        <f>NOPAT!J21</f>
        <v>-0.92280486350607116</v>
      </c>
      <c r="F11" s="15">
        <f>NOPAT!K21</f>
        <v>-0.94609220794221482</v>
      </c>
      <c r="G11" s="15">
        <f>NOPAT!L21</f>
        <v>-0.2437593003961763</v>
      </c>
      <c r="H11" s="15">
        <f>NOPAT!M21</f>
        <v>2.9016815887269063E-3</v>
      </c>
      <c r="I11" s="2"/>
      <c r="J11" s="2"/>
      <c r="K11" s="2"/>
      <c r="L11" s="2"/>
      <c r="M11" s="2"/>
      <c r="N11" s="2"/>
      <c r="O11" s="2"/>
      <c r="P11" s="2"/>
      <c r="Q11" s="2"/>
      <c r="R11" s="2"/>
      <c r="S11" s="2"/>
      <c r="T11" s="2"/>
      <c r="U11" s="2"/>
      <c r="V11" s="2"/>
      <c r="W11" s="2"/>
      <c r="X11" s="2"/>
      <c r="Y11" s="2"/>
      <c r="Z11" s="2"/>
      <c r="AA11" s="2"/>
    </row>
    <row r="12" spans="1:27">
      <c r="A12" s="82" t="s">
        <v>448</v>
      </c>
      <c r="B12" s="2"/>
      <c r="C12" s="2"/>
      <c r="D12" s="15">
        <f t="shared" ref="D12:H12" si="3">(D11-C11)/C11</f>
        <v>-2.5927316900979012</v>
      </c>
      <c r="E12" s="15">
        <f t="shared" si="3"/>
        <v>0.28195771852939899</v>
      </c>
      <c r="F12" s="15">
        <f t="shared" si="3"/>
        <v>2.5235394130527854E-2</v>
      </c>
      <c r="G12" s="15">
        <f t="shared" si="3"/>
        <v>-0.7423514343000861</v>
      </c>
      <c r="H12" s="15">
        <f t="shared" si="3"/>
        <v>-1.0119038805248082</v>
      </c>
      <c r="I12" s="2"/>
      <c r="J12" s="2"/>
      <c r="K12" s="2"/>
      <c r="L12" s="2"/>
      <c r="M12" s="2"/>
      <c r="N12" s="2"/>
      <c r="O12" s="2"/>
      <c r="P12" s="2"/>
      <c r="Q12" s="2"/>
      <c r="R12" s="2"/>
      <c r="S12" s="2"/>
      <c r="T12" s="2"/>
      <c r="U12" s="2"/>
      <c r="V12" s="2"/>
      <c r="W12" s="2"/>
      <c r="X12" s="2"/>
      <c r="Y12" s="2"/>
      <c r="Z12" s="2"/>
      <c r="AA12" s="2"/>
    </row>
    <row r="13" spans="1:27">
      <c r="A13" s="82" t="s">
        <v>293</v>
      </c>
      <c r="B13" s="2"/>
      <c r="C13" s="15">
        <f>NOPAT!H23</f>
        <v>0.55454490246222976</v>
      </c>
      <c r="D13" s="15">
        <f>NOPAT!I23</f>
        <v>0.13092385689854247</v>
      </c>
      <c r="E13" s="15">
        <f>NOPAT!J23</f>
        <v>0.24025065933796586</v>
      </c>
      <c r="F13" s="15">
        <f>NOPAT!K23</f>
        <v>0.14829464479085974</v>
      </c>
      <c r="G13" s="15">
        <f>NOPAT!L23</f>
        <v>0.15096860142253643</v>
      </c>
      <c r="H13" s="15">
        <f>NOPAT!M23</f>
        <v>0.14235290969295611</v>
      </c>
      <c r="I13" s="2"/>
      <c r="J13" s="2"/>
      <c r="K13" s="2"/>
      <c r="L13" s="2"/>
      <c r="M13" s="2"/>
      <c r="N13" s="2"/>
      <c r="O13" s="2"/>
      <c r="P13" s="2"/>
      <c r="Q13" s="2"/>
      <c r="R13" s="2"/>
      <c r="S13" s="2"/>
      <c r="T13" s="2"/>
      <c r="U13" s="2"/>
      <c r="V13" s="2"/>
      <c r="W13" s="2"/>
      <c r="X13" s="2"/>
      <c r="Y13" s="2"/>
      <c r="Z13" s="2"/>
      <c r="AA13" s="2"/>
    </row>
    <row r="14" spans="1:27">
      <c r="A14" s="84" t="s">
        <v>449</v>
      </c>
      <c r="B14" s="30"/>
      <c r="C14" s="2"/>
      <c r="D14" s="15">
        <f t="shared" ref="D14:H14" si="4">(D13-C13)/C13</f>
        <v>-0.76390756399125004</v>
      </c>
      <c r="E14" s="15">
        <f t="shared" si="4"/>
        <v>0.83504110732198022</v>
      </c>
      <c r="F14" s="15">
        <f t="shared" si="4"/>
        <v>-0.38275031086491035</v>
      </c>
      <c r="G14" s="15">
        <f t="shared" si="4"/>
        <v>1.803137689461258E-2</v>
      </c>
      <c r="H14" s="15">
        <f t="shared" si="4"/>
        <v>-5.7069428002889215E-2</v>
      </c>
      <c r="I14" s="15"/>
      <c r="J14" s="2"/>
      <c r="K14" s="2"/>
      <c r="L14" s="2"/>
      <c r="M14" s="2"/>
      <c r="N14" s="2"/>
      <c r="O14" s="2"/>
      <c r="P14" s="2"/>
      <c r="Q14" s="2"/>
      <c r="R14" s="2"/>
      <c r="S14" s="2"/>
      <c r="T14" s="2"/>
      <c r="U14" s="2"/>
      <c r="V14" s="2"/>
      <c r="W14" s="2"/>
      <c r="X14" s="2"/>
      <c r="Y14" s="2"/>
      <c r="Z14" s="2"/>
      <c r="AA14" s="2"/>
    </row>
    <row r="15" spans="1:27">
      <c r="A15" s="84" t="s">
        <v>294</v>
      </c>
      <c r="B15" s="30"/>
      <c r="C15" s="15">
        <f>NOPAT!H24</f>
        <v>-12.608156816274132</v>
      </c>
      <c r="D15" s="15">
        <f>NOPAT!I24</f>
        <v>-3.2581369629944703</v>
      </c>
      <c r="E15" s="15">
        <f>NOPAT!J24</f>
        <v>0.39401325187471348</v>
      </c>
      <c r="F15" s="15">
        <f>NOPAT!K24</f>
        <v>0.10363368048606514</v>
      </c>
      <c r="G15" s="15">
        <f>NOPAT!L24</f>
        <v>-0.72599933865600397</v>
      </c>
      <c r="H15" s="15">
        <f>NOPAT!M24</f>
        <v>-1.0133987199163632</v>
      </c>
      <c r="I15" s="23"/>
      <c r="J15" s="23"/>
      <c r="K15" s="23"/>
      <c r="L15" s="2"/>
      <c r="M15" s="2"/>
      <c r="N15" s="2"/>
      <c r="O15" s="2"/>
      <c r="P15" s="2"/>
      <c r="Q15" s="2"/>
      <c r="R15" s="2"/>
      <c r="S15" s="2"/>
      <c r="T15" s="2"/>
      <c r="U15" s="2"/>
      <c r="V15" s="2"/>
      <c r="W15" s="2"/>
      <c r="X15" s="2"/>
      <c r="Y15" s="2"/>
      <c r="Z15" s="2"/>
      <c r="AA15" s="2"/>
    </row>
    <row r="16" spans="1:27">
      <c r="A16" s="84" t="s">
        <v>450</v>
      </c>
      <c r="B16" s="30"/>
      <c r="C16" s="23"/>
      <c r="D16" s="15">
        <f t="shared" ref="D16:H16" si="5">(D15-C15)/C15</f>
        <v>-0.74158499053652394</v>
      </c>
      <c r="E16" s="15">
        <f t="shared" si="5"/>
        <v>-1.1209320714107076</v>
      </c>
      <c r="F16" s="15">
        <f t="shared" si="5"/>
        <v>-0.73697920059039512</v>
      </c>
      <c r="G16" s="15">
        <f t="shared" si="5"/>
        <v>-8.0054381476263767</v>
      </c>
      <c r="H16" s="15">
        <f t="shared" si="5"/>
        <v>0.39586727694876872</v>
      </c>
      <c r="I16" s="23"/>
      <c r="J16" s="23"/>
      <c r="K16" s="23"/>
      <c r="L16" s="2"/>
      <c r="M16" s="2"/>
      <c r="N16" s="2"/>
      <c r="O16" s="2"/>
      <c r="P16" s="2"/>
      <c r="Q16" s="2"/>
      <c r="R16" s="2"/>
      <c r="S16" s="2"/>
      <c r="T16" s="2"/>
      <c r="U16" s="2"/>
      <c r="V16" s="2"/>
      <c r="W16" s="2"/>
      <c r="X16" s="2"/>
      <c r="Y16" s="2"/>
      <c r="Z16" s="2"/>
      <c r="AA16" s="2"/>
    </row>
    <row r="17" spans="1:27">
      <c r="A17" s="30"/>
      <c r="B17" s="30"/>
      <c r="C17" s="23"/>
      <c r="D17" s="23"/>
      <c r="E17" s="23"/>
      <c r="F17" s="23"/>
      <c r="G17" s="23"/>
      <c r="H17" s="23"/>
      <c r="I17" s="23"/>
      <c r="J17" s="23"/>
      <c r="K17" s="23"/>
      <c r="L17" s="2"/>
      <c r="M17" s="2"/>
      <c r="N17" s="2"/>
      <c r="O17" s="2"/>
      <c r="P17" s="2"/>
      <c r="Q17" s="2"/>
      <c r="R17" s="2"/>
      <c r="S17" s="2"/>
      <c r="T17" s="2"/>
      <c r="U17" s="2"/>
      <c r="V17" s="2"/>
      <c r="W17" s="2"/>
      <c r="X17" s="2"/>
      <c r="Y17" s="2"/>
      <c r="Z17" s="2"/>
      <c r="AA17" s="2"/>
    </row>
    <row r="18" spans="1:27">
      <c r="A18" s="44" t="s">
        <v>451</v>
      </c>
      <c r="B18" s="30"/>
      <c r="C18" s="23">
        <f>'Income Statement'!H25+'Income Statement'!H24</f>
        <v>711898</v>
      </c>
      <c r="D18" s="23">
        <f>'Income Statement'!I25+'Income Statement'!I24</f>
        <v>1183097</v>
      </c>
      <c r="E18" s="23">
        <f>'Income Statement'!J25+'Income Statement'!J24</f>
        <v>1505172.0201445862</v>
      </c>
      <c r="F18" s="23">
        <f>'Income Statement'!K25+'Income Statement'!K24</f>
        <v>1772908.2292351867</v>
      </c>
      <c r="G18" s="23">
        <f>'Income Statement'!L25+'Income Statement'!L24</f>
        <v>1691232.7420777348</v>
      </c>
      <c r="H18" s="23">
        <f>'Income Statement'!M25+'Income Statement'!M24</f>
        <v>1923202.8954992222</v>
      </c>
      <c r="I18" s="15"/>
      <c r="J18" s="15"/>
      <c r="K18" s="15"/>
      <c r="L18" s="2"/>
      <c r="M18" s="2"/>
      <c r="N18" s="2"/>
      <c r="O18" s="2"/>
      <c r="P18" s="2"/>
      <c r="Q18" s="2"/>
      <c r="R18" s="2"/>
      <c r="S18" s="2"/>
      <c r="T18" s="2"/>
      <c r="U18" s="2"/>
      <c r="V18" s="2"/>
      <c r="W18" s="2"/>
      <c r="X18" s="2"/>
      <c r="Y18" s="2"/>
      <c r="Z18" s="2"/>
      <c r="AA18" s="2"/>
    </row>
    <row r="19" spans="1:27">
      <c r="A19" s="44" t="s">
        <v>452</v>
      </c>
      <c r="B19" s="30"/>
      <c r="C19" s="23">
        <f>'Income Statement'!H23</f>
        <v>461602</v>
      </c>
      <c r="D19" s="23">
        <f>'Income Statement'!I23</f>
        <v>788913</v>
      </c>
      <c r="E19" s="23">
        <f>'Income Statement'!J23</f>
        <v>1056003.5855091442</v>
      </c>
      <c r="F19" s="23">
        <f>'Income Statement'!K23</f>
        <v>1301657.7801483334</v>
      </c>
      <c r="G19" s="23">
        <f>'Income Statement'!L23</f>
        <v>1281236.9258164656</v>
      </c>
      <c r="H19" s="23">
        <f>'Income Statement'!M23</f>
        <v>1375807.2463997479</v>
      </c>
      <c r="I19" s="23"/>
      <c r="J19" s="23"/>
      <c r="K19" s="30"/>
      <c r="L19" s="2"/>
      <c r="M19" s="2"/>
      <c r="N19" s="2"/>
      <c r="O19" s="2"/>
      <c r="P19" s="2"/>
      <c r="Q19" s="2"/>
      <c r="R19" s="2"/>
      <c r="S19" s="2"/>
      <c r="T19" s="2"/>
      <c r="U19" s="2"/>
      <c r="V19" s="2"/>
      <c r="W19" s="2"/>
      <c r="X19" s="2"/>
      <c r="Y19" s="2"/>
      <c r="Z19" s="2"/>
      <c r="AA19" s="2"/>
    </row>
    <row r="20" spans="1:27">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Summary Page</vt:lpstr>
      <vt:lpstr>IS Assumptions</vt:lpstr>
      <vt:lpstr>BS Assumptions</vt:lpstr>
      <vt:lpstr>CF Assumptions</vt:lpstr>
      <vt:lpstr>Income Statement</vt:lpstr>
      <vt:lpstr>Balance Sheet</vt:lpstr>
      <vt:lpstr>Cash Flows</vt:lpstr>
      <vt:lpstr>Accrued Liabilities</vt:lpstr>
      <vt:lpstr>Intangible Assets</vt:lpstr>
      <vt:lpstr>Content Assets</vt:lpstr>
      <vt:lpstr>NOPAT</vt:lpstr>
      <vt:lpstr>DCF Valuation</vt:lpstr>
      <vt:lpstr>RI Valuation</vt:lpstr>
      <vt:lpstr>Stock Comp Outstanding</vt:lpstr>
      <vt:lpstr>Cost of Capital</vt:lpstr>
      <vt:lpstr>Financial Summary &amp; Forecasts</vt:lpstr>
      <vt:lpstr>WACC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Lindsey Melnyk</cp:lastModifiedBy>
  <dcterms:modified xsi:type="dcterms:W3CDTF">2023-02-27T21:24:15Z</dcterms:modified>
</cp:coreProperties>
</file>