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 Of Equity-Top Down Approac" sheetId="1" r:id="rId4"/>
    <sheet state="visible" name="Cost Of Equity-Bottom Up Approa" sheetId="2" r:id="rId5"/>
    <sheet state="visible" name="Cost Of Debt" sheetId="3" r:id="rId6"/>
    <sheet state="visible" name="Market Value of Equity for Maru" sheetId="4" r:id="rId7"/>
    <sheet state="visible" name="WACC Calculation" sheetId="5" r:id="rId8"/>
  </sheets>
  <definedNames/>
  <calcPr/>
</workbook>
</file>

<file path=xl/sharedStrings.xml><?xml version="1.0" encoding="utf-8"?>
<sst xmlns="http://schemas.openxmlformats.org/spreadsheetml/2006/main" count="82" uniqueCount="71">
  <si>
    <t>Date</t>
  </si>
  <si>
    <t>Maruti Suzuki India Limited Price</t>
  </si>
  <si>
    <t>Maruti Suzuki India Limited Monthly Reurns</t>
  </si>
  <si>
    <t>NIFTY50 Price</t>
  </si>
  <si>
    <t>NIFTY50 Monthly Returns</t>
  </si>
  <si>
    <t>Risk Free Rate</t>
  </si>
  <si>
    <t>Average Monthly Return</t>
  </si>
  <si>
    <t>EAR</t>
  </si>
  <si>
    <r>
      <rPr>
        <rFont val="Arial"/>
        <b/>
        <color theme="1"/>
        <sz val="16.0"/>
      </rPr>
      <t>CAPM Model: R</t>
    </r>
    <r>
      <rPr>
        <rFont val="Arial"/>
        <b/>
        <color theme="1"/>
        <sz val="11.0"/>
      </rPr>
      <t>e</t>
    </r>
    <r>
      <rPr>
        <rFont val="Arial"/>
        <b/>
        <color theme="1"/>
        <sz val="16.0"/>
      </rPr>
      <t xml:space="preserve"> = R</t>
    </r>
    <r>
      <rPr>
        <rFont val="Arial"/>
        <b/>
        <color theme="1"/>
        <sz val="11.0"/>
      </rPr>
      <t>f</t>
    </r>
    <r>
      <rPr>
        <rFont val="Arial"/>
        <b/>
        <color theme="1"/>
        <sz val="16.0"/>
      </rPr>
      <t xml:space="preserve"> + (Beta)x(R</t>
    </r>
    <r>
      <rPr>
        <rFont val="Arial"/>
        <b/>
        <color theme="1"/>
        <sz val="11.0"/>
      </rPr>
      <t>m</t>
    </r>
    <r>
      <rPr>
        <rFont val="Arial"/>
        <b/>
        <color theme="1"/>
        <sz val="16.0"/>
      </rPr>
      <t xml:space="preserve"> - R</t>
    </r>
    <r>
      <rPr>
        <rFont val="Arial"/>
        <b/>
        <color theme="1"/>
        <sz val="11.0"/>
      </rPr>
      <t>f</t>
    </r>
    <r>
      <rPr>
        <rFont val="Arial"/>
        <b/>
        <color theme="1"/>
        <sz val="16.0"/>
      </rPr>
      <t>)</t>
    </r>
  </si>
  <si>
    <t>Beta Value from regression</t>
  </si>
  <si>
    <t>Market Return</t>
  </si>
  <si>
    <t>Risk free Rate</t>
  </si>
  <si>
    <t>Cost Of Equity Using CAPM Model</t>
  </si>
  <si>
    <t>Comparable Companies</t>
  </si>
  <si>
    <t>D/E ratio</t>
  </si>
  <si>
    <t>Beta Levered</t>
  </si>
  <si>
    <t>Beta Unlevered</t>
  </si>
  <si>
    <t>2023 Tax Rate</t>
  </si>
  <si>
    <t>Tata</t>
  </si>
  <si>
    <t>Mahindra</t>
  </si>
  <si>
    <t>Force</t>
  </si>
  <si>
    <t>Bajaj</t>
  </si>
  <si>
    <t>Average Beta Unlevered</t>
  </si>
  <si>
    <t>Target Company Beta Relevering (Maruti Suzuki India Limited)</t>
  </si>
  <si>
    <t>Beta Unlevered For Comparable Companies</t>
  </si>
  <si>
    <t>Debt/Equity Ratio of Maruti</t>
  </si>
  <si>
    <t>Corporate Tax Rate</t>
  </si>
  <si>
    <t>Beta Levered For Maruti Suzuki India Limted</t>
  </si>
  <si>
    <r>
      <rPr>
        <rFont val="Arial"/>
        <b/>
        <color theme="1"/>
        <sz val="16.0"/>
      </rPr>
      <t>CAPM Model: R</t>
    </r>
    <r>
      <rPr>
        <rFont val="Arial"/>
        <b/>
        <color theme="1"/>
        <sz val="11.0"/>
      </rPr>
      <t>e</t>
    </r>
    <r>
      <rPr>
        <rFont val="Arial"/>
        <b/>
        <color theme="1"/>
        <sz val="16.0"/>
      </rPr>
      <t xml:space="preserve"> = R</t>
    </r>
    <r>
      <rPr>
        <rFont val="Arial"/>
        <b/>
        <color theme="1"/>
        <sz val="11.0"/>
      </rPr>
      <t>f</t>
    </r>
    <r>
      <rPr>
        <rFont val="Arial"/>
        <b/>
        <color theme="1"/>
        <sz val="16.0"/>
      </rPr>
      <t xml:space="preserve"> + (Beta)x(R</t>
    </r>
    <r>
      <rPr>
        <rFont val="Arial"/>
        <b/>
        <color theme="1"/>
        <sz val="11.0"/>
      </rPr>
      <t>m</t>
    </r>
    <r>
      <rPr>
        <rFont val="Arial"/>
        <b/>
        <color theme="1"/>
        <sz val="16.0"/>
      </rPr>
      <t xml:space="preserve"> - R</t>
    </r>
    <r>
      <rPr>
        <rFont val="Arial"/>
        <b/>
        <color theme="1"/>
        <sz val="11.0"/>
      </rPr>
      <t>f</t>
    </r>
    <r>
      <rPr>
        <rFont val="Arial"/>
        <b/>
        <color theme="1"/>
        <sz val="16.0"/>
      </rPr>
      <t>)</t>
    </r>
  </si>
  <si>
    <t>Beta Value From Unlevering and Relevering</t>
  </si>
  <si>
    <t>Quarters</t>
  </si>
  <si>
    <t>EBIT</t>
  </si>
  <si>
    <t>Int. Expense</t>
  </si>
  <si>
    <t>Int. Coverage Ratio</t>
  </si>
  <si>
    <t>23' Q2</t>
  </si>
  <si>
    <t>23' Q1</t>
  </si>
  <si>
    <t>22' Q4</t>
  </si>
  <si>
    <t>22' Q3</t>
  </si>
  <si>
    <t>22' Q2</t>
  </si>
  <si>
    <t>22' Q1</t>
  </si>
  <si>
    <t>21' Q4</t>
  </si>
  <si>
    <t>21' Q3</t>
  </si>
  <si>
    <t>21' Q2</t>
  </si>
  <si>
    <t>21' Q1</t>
  </si>
  <si>
    <t>20' Q4</t>
  </si>
  <si>
    <t>20' Q3</t>
  </si>
  <si>
    <t>20' Q2</t>
  </si>
  <si>
    <t>20' Q1</t>
  </si>
  <si>
    <t>19' Q4</t>
  </si>
  <si>
    <t>19' Q3</t>
  </si>
  <si>
    <t>19' Q2</t>
  </si>
  <si>
    <t>Average</t>
  </si>
  <si>
    <t>The corresponding
  Defualt risk spread 
 for this Interest 
 coverage ratio is:</t>
  </si>
  <si>
    <t>The average
  risk free rate 
 for this time period is:</t>
  </si>
  <si>
    <t>Cost of Debt:</t>
  </si>
  <si>
    <t>Year</t>
  </si>
  <si>
    <t>Total Debt</t>
  </si>
  <si>
    <t>Interest Expense</t>
  </si>
  <si>
    <t>MVD</t>
  </si>
  <si>
    <t>D-E Ratio</t>
  </si>
  <si>
    <t>MVE</t>
  </si>
  <si>
    <t>cost of debt</t>
  </si>
  <si>
    <t>WACC using the Beta from Top down Approach</t>
  </si>
  <si>
    <t>Debt/Equity</t>
  </si>
  <si>
    <t>Weight of Equity(Equity/Value)</t>
  </si>
  <si>
    <t>Weight of Debt(Debt/Value)</t>
  </si>
  <si>
    <t>Tax Rate</t>
  </si>
  <si>
    <t>Cost of Debt</t>
  </si>
  <si>
    <t>Cost of Equity</t>
  </si>
  <si>
    <t>WACC</t>
  </si>
  <si>
    <t>WACC using the Beta from Bottom Up Approach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</si>
</sst>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mmm yyyy"/>
  </numFmts>
  <fonts count="15">
    <font>
      <sz val="10.0"/>
      <color rgb="FF000000"/>
      <name val="Arial"/>
      <scheme val="minor"/>
    </font>
    <font>
      <b/>
      <sz val="11.0"/>
      <color theme="1"/>
      <name val="Arial"/>
    </font>
    <font/>
    <font>
      <color theme="1"/>
      <name val="Arial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6.0"/>
      <color theme="1"/>
      <name val="Arial"/>
      <scheme val="minor"/>
    </font>
    <font>
      <sz val="12.0"/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Calibri"/>
    </font>
    <font>
      <b/>
      <sz val="13.0"/>
      <color rgb="FF000000"/>
      <name val="Calibri"/>
    </font>
    <font>
      <sz val="9.0"/>
      <color rgb="FF000000"/>
      <name val="&quot;Google Sans Mono&quot;"/>
    </font>
    <font>
      <color rgb="FF000000"/>
      <name val="&quot;Lato Regular&quot;"/>
    </font>
    <font>
      <color rgb="FF000000"/>
      <name val="Arial"/>
    </font>
    <font>
      <b/>
      <sz val="14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3" fontId="3" numFmtId="164" xfId="0" applyAlignment="1" applyBorder="1" applyFill="1" applyFont="1" applyNumberFormat="1">
      <alignment horizontal="right" vertical="bottom"/>
    </xf>
    <xf borderId="3" fillId="3" fontId="3" numFmtId="0" xfId="0" applyAlignment="1" applyBorder="1" applyFont="1">
      <alignment horizontal="right" vertical="bottom"/>
    </xf>
    <xf borderId="3" fillId="3" fontId="4" numFmtId="0" xfId="0" applyBorder="1" applyFont="1"/>
    <xf borderId="3" fillId="3" fontId="3" numFmtId="0" xfId="0" applyAlignment="1" applyBorder="1" applyFont="1">
      <alignment vertical="bottom"/>
    </xf>
    <xf borderId="1" fillId="4" fontId="5" numFmtId="0" xfId="0" applyAlignment="1" applyBorder="1" applyFill="1" applyFont="1">
      <alignment horizontal="center" readingOrder="0" shrinkToFit="0" vertical="center" wrapText="1"/>
    </xf>
    <xf borderId="1" fillId="4" fontId="4" numFmtId="0" xfId="0" applyBorder="1" applyFont="1"/>
    <xf borderId="1" fillId="4" fontId="4" numFmtId="10" xfId="0" applyAlignment="1" applyBorder="1" applyFont="1" applyNumberFormat="1">
      <alignment horizontal="center" vertical="center"/>
    </xf>
    <xf borderId="4" fillId="0" fontId="2" numFmtId="0" xfId="0" applyBorder="1" applyFont="1"/>
    <xf borderId="1" fillId="4" fontId="5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center" vertical="center"/>
    </xf>
    <xf borderId="5" fillId="2" fontId="6" numFmtId="0" xfId="0" applyAlignment="1" applyBorder="1" applyFon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5" fillId="3" fontId="5" numFmtId="0" xfId="0" applyAlignment="1" applyBorder="1" applyFont="1">
      <alignment horizontal="center" readingOrder="0" shrinkToFit="0" vertical="center" wrapText="1"/>
    </xf>
    <xf borderId="5" fillId="3" fontId="7" numFmtId="0" xfId="0" applyAlignment="1" applyBorder="1" applyFont="1">
      <alignment horizontal="center" readingOrder="0" vertical="center"/>
    </xf>
    <xf borderId="5" fillId="3" fontId="5" numFmtId="0" xfId="0" applyAlignment="1" applyBorder="1" applyFont="1">
      <alignment horizontal="center" readingOrder="0" vertical="center"/>
    </xf>
    <xf borderId="5" fillId="3" fontId="7" numFmtId="10" xfId="0" applyAlignment="1" applyBorder="1" applyFont="1" applyNumberFormat="1">
      <alignment horizontal="center" vertical="center"/>
    </xf>
    <xf borderId="1" fillId="2" fontId="8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/>
    </xf>
    <xf borderId="3" fillId="3" fontId="4" numFmtId="0" xfId="0" applyAlignment="1" applyBorder="1" applyFont="1">
      <alignment readingOrder="0"/>
    </xf>
    <xf borderId="3" fillId="3" fontId="4" numFmtId="10" xfId="0" applyAlignment="1" applyBorder="1" applyFont="1" applyNumberFormat="1">
      <alignment readingOrder="0"/>
    </xf>
    <xf borderId="1" fillId="4" fontId="8" numFmtId="0" xfId="0" applyAlignment="1" applyBorder="1" applyFont="1">
      <alignment horizontal="center" readingOrder="0" shrinkToFit="0" vertical="center" wrapText="1"/>
    </xf>
    <xf borderId="5" fillId="2" fontId="5" numFmtId="0" xfId="0" applyAlignment="1" applyBorder="1" applyFont="1">
      <alignment horizontal="center" readingOrder="0" vertical="center"/>
    </xf>
    <xf borderId="5" fillId="4" fontId="8" numFmtId="0" xfId="0" applyAlignment="1" applyBorder="1" applyFont="1">
      <alignment horizontal="center" readingOrder="0" vertical="center"/>
    </xf>
    <xf borderId="5" fillId="3" fontId="4" numFmtId="0" xfId="0" applyAlignment="1" applyBorder="1" applyFont="1">
      <alignment horizontal="center" vertical="center"/>
    </xf>
    <xf borderId="5" fillId="3" fontId="4" numFmtId="0" xfId="0" applyAlignment="1" applyBorder="1" applyFont="1">
      <alignment horizontal="center" readingOrder="0" vertical="center"/>
    </xf>
    <xf borderId="5" fillId="3" fontId="4" numFmtId="10" xfId="0" applyAlignment="1" applyBorder="1" applyFont="1" applyNumberFormat="1">
      <alignment horizontal="center" readingOrder="0" vertical="center"/>
    </xf>
    <xf borderId="0" fillId="0" fontId="9" numFmtId="0" xfId="0" applyAlignment="1" applyFont="1">
      <alignment shrinkToFit="0" vertical="bottom" wrapText="0"/>
    </xf>
    <xf borderId="3" fillId="2" fontId="4" numFmtId="0" xfId="0" applyAlignment="1" applyBorder="1" applyFont="1">
      <alignment readingOrder="0"/>
    </xf>
    <xf borderId="3" fillId="2" fontId="9" numFmtId="0" xfId="0" applyAlignment="1" applyBorder="1" applyFont="1">
      <alignment readingOrder="0" shrinkToFit="0" vertical="bottom" wrapText="0"/>
    </xf>
    <xf borderId="0" fillId="5" fontId="4" numFmtId="0" xfId="0" applyAlignment="1" applyFill="1" applyFont="1">
      <alignment readingOrder="0"/>
    </xf>
    <xf borderId="0" fillId="5" fontId="9" numFmtId="0" xfId="0" applyAlignment="1" applyFont="1">
      <alignment readingOrder="0" shrinkToFit="0" vertical="bottom" wrapText="0"/>
    </xf>
    <xf borderId="3" fillId="4" fontId="9" numFmtId="0" xfId="0" applyAlignment="1" applyBorder="1" applyFont="1">
      <alignment readingOrder="0" shrinkToFit="0" vertical="bottom" wrapText="0"/>
    </xf>
    <xf borderId="3" fillId="3" fontId="9" numFmtId="3" xfId="0" applyAlignment="1" applyBorder="1" applyFont="1" applyNumberFormat="1">
      <alignment horizontal="right" readingOrder="0" shrinkToFit="0" vertical="bottom" wrapText="0"/>
    </xf>
    <xf borderId="3" fillId="3" fontId="9" numFmtId="0" xfId="0" applyAlignment="1" applyBorder="1" applyFont="1">
      <alignment horizontal="right" readingOrder="0" shrinkToFit="0" vertical="bottom" wrapText="0"/>
    </xf>
    <xf borderId="0" fillId="5" fontId="4" numFmtId="0" xfId="0" applyFont="1"/>
    <xf borderId="3" fillId="3" fontId="9" numFmtId="0" xfId="0" applyAlignment="1" applyBorder="1" applyFont="1">
      <alignment shrinkToFit="0" vertical="bottom" wrapText="0"/>
    </xf>
    <xf borderId="3" fillId="3" fontId="9" numFmtId="0" xfId="0" applyAlignment="1" applyBorder="1" applyFont="1">
      <alignment readingOrder="0" shrinkToFit="0" vertical="bottom" wrapText="0"/>
    </xf>
    <xf borderId="3" fillId="6" fontId="9" numFmtId="0" xfId="0" applyAlignment="1" applyBorder="1" applyFill="1" applyFont="1">
      <alignment readingOrder="0" shrinkToFit="0" vertical="bottom" wrapText="0"/>
    </xf>
    <xf borderId="3" fillId="6" fontId="9" numFmtId="0" xfId="0" applyAlignment="1" applyBorder="1" applyFont="1">
      <alignment horizontal="right" readingOrder="0" shrinkToFit="0" vertical="bottom" wrapText="0"/>
    </xf>
    <xf borderId="0" fillId="7" fontId="9" numFmtId="0" xfId="0" applyAlignment="1" applyFill="1" applyFont="1">
      <alignment horizontal="center" readingOrder="0" vertical="bottom"/>
    </xf>
    <xf borderId="0" fillId="8" fontId="9" numFmtId="10" xfId="0" applyAlignment="1" applyFill="1" applyFont="1" applyNumberFormat="1">
      <alignment horizontal="right" readingOrder="0" shrinkToFit="0" vertical="bottom" wrapText="0"/>
    </xf>
    <xf borderId="0" fillId="8" fontId="4" numFmtId="10" xfId="0" applyAlignment="1" applyFont="1" applyNumberFormat="1">
      <alignment readingOrder="0"/>
    </xf>
    <xf borderId="0" fillId="0" fontId="9" numFmtId="0" xfId="0" applyAlignment="1" applyFont="1">
      <alignment horizontal="center" vertical="bottom"/>
    </xf>
    <xf borderId="0" fillId="9" fontId="10" numFmtId="0" xfId="0" applyAlignment="1" applyFill="1" applyFont="1">
      <alignment readingOrder="0" shrinkToFit="0" vertical="bottom" wrapText="0"/>
    </xf>
    <xf borderId="0" fillId="8" fontId="9" numFmtId="10" xfId="0" applyAlignment="1" applyFont="1" applyNumberFormat="1">
      <alignment shrinkToFit="0" vertical="bottom" wrapText="0"/>
    </xf>
    <xf borderId="3" fillId="3" fontId="4" numFmtId="165" xfId="0" applyAlignment="1" applyBorder="1" applyFont="1" applyNumberFormat="1">
      <alignment readingOrder="0"/>
    </xf>
    <xf borderId="0" fillId="10" fontId="11" numFmtId="0" xfId="0" applyAlignment="1" applyFill="1" applyFont="1">
      <alignment horizontal="left" readingOrder="0"/>
    </xf>
    <xf borderId="0" fillId="7" fontId="4" numFmtId="0" xfId="0" applyAlignment="1" applyFont="1">
      <alignment readingOrder="0"/>
    </xf>
    <xf borderId="0" fillId="4" fontId="4" numFmtId="10" xfId="0" applyAlignment="1" applyFont="1" applyNumberFormat="1">
      <alignment readingOrder="0"/>
    </xf>
    <xf borderId="0" fillId="10" fontId="9" numFmtId="0" xfId="0" applyAlignment="1" applyFont="1">
      <alignment readingOrder="0" shrinkToFit="0" vertical="bottom" wrapText="0"/>
    </xf>
    <xf borderId="0" fillId="10" fontId="11" numFmtId="0" xfId="0" applyAlignment="1" applyFont="1">
      <alignment horizontal="left"/>
    </xf>
    <xf borderId="0" fillId="10" fontId="4" numFmtId="0" xfId="0" applyAlignment="1" applyFont="1">
      <alignment readingOrder="0"/>
    </xf>
    <xf borderId="0" fillId="10" fontId="4" numFmtId="0" xfId="0" applyFont="1"/>
    <xf borderId="0" fillId="10" fontId="4" numFmtId="165" xfId="0" applyAlignment="1" applyFont="1" applyNumberFormat="1">
      <alignment readingOrder="0"/>
    </xf>
    <xf borderId="0" fillId="11" fontId="12" numFmtId="4" xfId="0" applyAlignment="1" applyFill="1" applyFont="1" applyNumberFormat="1">
      <alignment horizontal="left" readingOrder="0"/>
    </xf>
    <xf borderId="0" fillId="10" fontId="11" numFmtId="0" xfId="0" applyAlignment="1" applyFont="1">
      <alignment horizontal="left"/>
    </xf>
    <xf borderId="0" fillId="11" fontId="12" numFmtId="0" xfId="0" applyAlignment="1" applyFont="1">
      <alignment horizontal="left" readingOrder="0"/>
    </xf>
    <xf borderId="0" fillId="11" fontId="13" numFmtId="0" xfId="0" applyAlignment="1" applyFont="1">
      <alignment horizontal="left" readingOrder="0"/>
    </xf>
    <xf borderId="0" fillId="2" fontId="14" numFmtId="0" xfId="0" applyAlignment="1" applyFont="1">
      <alignment horizontal="center" readingOrder="0" vertical="center"/>
    </xf>
    <xf borderId="0" fillId="4" fontId="5" numFmtId="0" xfId="0" applyAlignment="1" applyFont="1">
      <alignment horizontal="center" readingOrder="0" vertical="center"/>
    </xf>
    <xf borderId="0" fillId="3" fontId="8" numFmtId="0" xfId="0" applyAlignment="1" applyFont="1">
      <alignment horizontal="center" readingOrder="0" vertical="center"/>
    </xf>
    <xf borderId="0" fillId="3" fontId="8" numFmtId="0" xfId="0" applyAlignment="1" applyFont="1">
      <alignment horizontal="center" vertical="center"/>
    </xf>
    <xf borderId="0" fillId="3" fontId="8" numFmtId="10" xfId="0" applyAlignment="1" applyFont="1" applyNumberFormat="1">
      <alignment horizontal="center" readingOrder="0" vertical="center"/>
    </xf>
    <xf borderId="0" fillId="3" fontId="8" numFmtId="10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24.25"/>
    <col customWidth="1" min="4" max="6" width="1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/>
      <c r="B2" s="3"/>
      <c r="C2" s="3"/>
      <c r="D2" s="3"/>
      <c r="E2" s="3"/>
      <c r="F2" s="3"/>
    </row>
    <row r="3">
      <c r="A3" s="4">
        <v>45200.0</v>
      </c>
      <c r="B3" s="5">
        <v>10560.700195</v>
      </c>
      <c r="C3" s="5">
        <f t="shared" ref="C3:C61" si="1">LN(B3/B4)</f>
        <v>-0.004713882177</v>
      </c>
      <c r="D3" s="5">
        <v>19047.25</v>
      </c>
      <c r="E3" s="5">
        <f t="shared" ref="E3:E61" si="2">LN(D3/D4)</f>
        <v>-0.03055904671</v>
      </c>
      <c r="F3" s="6">
        <v>0.07351</v>
      </c>
    </row>
    <row r="4">
      <c r="A4" s="4">
        <v>45170.0</v>
      </c>
      <c r="B4" s="5">
        <v>10610.599609</v>
      </c>
      <c r="C4" s="5">
        <f t="shared" si="1"/>
        <v>0.06825491904</v>
      </c>
      <c r="D4" s="5">
        <v>19638.300781</v>
      </c>
      <c r="E4" s="5">
        <f t="shared" si="2"/>
        <v>0.01977329649</v>
      </c>
      <c r="F4" s="6">
        <v>0.0721</v>
      </c>
    </row>
    <row r="5">
      <c r="A5" s="4">
        <v>45139.0</v>
      </c>
      <c r="B5" s="5">
        <v>9910.537109</v>
      </c>
      <c r="C5" s="5">
        <f t="shared" si="1"/>
        <v>0.01846755527</v>
      </c>
      <c r="D5" s="5">
        <v>19253.800781</v>
      </c>
      <c r="E5" s="5">
        <f t="shared" si="2"/>
        <v>-0.02563743303</v>
      </c>
      <c r="F5" s="6">
        <v>0.07166</v>
      </c>
    </row>
    <row r="6">
      <c r="A6" s="4">
        <v>45108.0</v>
      </c>
      <c r="B6" s="5">
        <v>9729.193359</v>
      </c>
      <c r="C6" s="5">
        <f t="shared" si="1"/>
        <v>0.003233062415</v>
      </c>
      <c r="D6" s="5">
        <v>19753.800781</v>
      </c>
      <c r="E6" s="5">
        <f t="shared" si="2"/>
        <v>0.0290060729</v>
      </c>
      <c r="F6" s="6">
        <v>0.07171999999999999</v>
      </c>
    </row>
    <row r="7">
      <c r="A7" s="4">
        <v>45078.0</v>
      </c>
      <c r="B7" s="5">
        <v>9697.789063</v>
      </c>
      <c r="C7" s="5">
        <f t="shared" si="1"/>
        <v>0.04399681419</v>
      </c>
      <c r="D7" s="5">
        <v>19189.050781</v>
      </c>
      <c r="E7" s="5">
        <f t="shared" si="2"/>
        <v>0.03471135856</v>
      </c>
      <c r="F7" s="6">
        <v>0.0711</v>
      </c>
    </row>
    <row r="8">
      <c r="A8" s="4">
        <v>45047.0</v>
      </c>
      <c r="B8" s="5">
        <v>9280.367188</v>
      </c>
      <c r="C8" s="5">
        <f t="shared" si="1"/>
        <v>0.08672125529</v>
      </c>
      <c r="D8" s="5">
        <v>18534.400391</v>
      </c>
      <c r="E8" s="5">
        <f t="shared" si="2"/>
        <v>0.02565212139</v>
      </c>
      <c r="F8" s="6">
        <v>0.06989</v>
      </c>
    </row>
    <row r="9">
      <c r="A9" s="4">
        <v>45017.0</v>
      </c>
      <c r="B9" s="5">
        <v>8509.47168</v>
      </c>
      <c r="C9" s="5">
        <f t="shared" si="1"/>
        <v>0.03523700825</v>
      </c>
      <c r="D9" s="5">
        <v>18065.0</v>
      </c>
      <c r="E9" s="5">
        <f t="shared" si="2"/>
        <v>0.03982205639</v>
      </c>
      <c r="F9" s="6">
        <v>0.07116</v>
      </c>
    </row>
    <row r="10">
      <c r="A10" s="4">
        <v>44986.0</v>
      </c>
      <c r="B10" s="5">
        <v>8214.844727</v>
      </c>
      <c r="C10" s="5">
        <f t="shared" si="1"/>
        <v>-0.03928025999</v>
      </c>
      <c r="D10" s="5">
        <v>17359.75</v>
      </c>
      <c r="E10" s="5">
        <f t="shared" si="2"/>
        <v>0.0032195542</v>
      </c>
      <c r="F10" s="6">
        <v>0.07315</v>
      </c>
    </row>
    <row r="11">
      <c r="A11" s="4">
        <v>44958.0</v>
      </c>
      <c r="B11" s="5">
        <v>8543.947266</v>
      </c>
      <c r="C11" s="5">
        <f t="shared" si="1"/>
        <v>-0.03093343025</v>
      </c>
      <c r="D11" s="5">
        <v>17303.949219</v>
      </c>
      <c r="E11" s="5">
        <f t="shared" si="2"/>
        <v>-0.02048919995</v>
      </c>
      <c r="F11" s="6">
        <v>0.07457</v>
      </c>
    </row>
    <row r="12">
      <c r="A12" s="4">
        <v>44927.0</v>
      </c>
      <c r="B12" s="5">
        <v>8812.371094</v>
      </c>
      <c r="C12" s="5">
        <f t="shared" si="1"/>
        <v>0.05793442244</v>
      </c>
      <c r="D12" s="5">
        <v>17662.150391</v>
      </c>
      <c r="E12" s="5">
        <f t="shared" si="2"/>
        <v>-0.02478080227</v>
      </c>
      <c r="F12" s="6">
        <v>0.07343</v>
      </c>
    </row>
    <row r="13">
      <c r="A13" s="4">
        <v>44896.0</v>
      </c>
      <c r="B13" s="5">
        <v>8316.338867</v>
      </c>
      <c r="C13" s="5">
        <f t="shared" si="1"/>
        <v>-0.06675963513</v>
      </c>
      <c r="D13" s="5">
        <v>18105.300781</v>
      </c>
      <c r="E13" s="5">
        <f t="shared" si="2"/>
        <v>-0.03543420955</v>
      </c>
      <c r="F13" s="6">
        <v>0.07327</v>
      </c>
    </row>
    <row r="14">
      <c r="A14" s="4">
        <v>44866.0</v>
      </c>
      <c r="B14" s="5">
        <v>8890.486328</v>
      </c>
      <c r="C14" s="5">
        <f t="shared" si="1"/>
        <v>-0.05984459652</v>
      </c>
      <c r="D14" s="5">
        <v>18758.349609</v>
      </c>
      <c r="E14" s="5">
        <f t="shared" si="2"/>
        <v>0.04058970305</v>
      </c>
      <c r="F14" s="6">
        <v>0.0728</v>
      </c>
    </row>
    <row r="15">
      <c r="A15" s="4">
        <v>44835.0</v>
      </c>
      <c r="B15" s="5">
        <v>9438.776367</v>
      </c>
      <c r="C15" s="5">
        <f t="shared" si="1"/>
        <v>0.07624731548</v>
      </c>
      <c r="D15" s="5">
        <v>18012.199219</v>
      </c>
      <c r="E15" s="5">
        <f t="shared" si="2"/>
        <v>0.05230128605</v>
      </c>
      <c r="F15" s="6">
        <v>0.07445</v>
      </c>
    </row>
    <row r="16">
      <c r="A16" s="4">
        <v>44805.0</v>
      </c>
      <c r="B16" s="5">
        <v>8745.847656</v>
      </c>
      <c r="C16" s="5">
        <f t="shared" si="1"/>
        <v>-0.02181399299</v>
      </c>
      <c r="D16" s="5">
        <v>17094.349609</v>
      </c>
      <c r="E16" s="5">
        <f t="shared" si="2"/>
        <v>-0.03816138967</v>
      </c>
      <c r="F16" s="6">
        <v>0.07397999999999999</v>
      </c>
    </row>
    <row r="17">
      <c r="A17" s="4">
        <v>44774.0</v>
      </c>
      <c r="B17" s="5">
        <v>8938.725586</v>
      </c>
      <c r="C17" s="5">
        <f t="shared" si="1"/>
        <v>0.03458039874</v>
      </c>
      <c r="D17" s="5">
        <v>17759.300781</v>
      </c>
      <c r="E17" s="5">
        <f t="shared" si="2"/>
        <v>0.03443025884</v>
      </c>
      <c r="F17" s="6">
        <v>0.07188</v>
      </c>
    </row>
    <row r="18">
      <c r="A18" s="4">
        <v>44743.0</v>
      </c>
      <c r="B18" s="5">
        <v>8634.904297</v>
      </c>
      <c r="C18" s="5">
        <f t="shared" si="1"/>
        <v>0.03512242546</v>
      </c>
      <c r="D18" s="5">
        <v>17158.25</v>
      </c>
      <c r="E18" s="5">
        <f t="shared" si="2"/>
        <v>0.08371994938</v>
      </c>
      <c r="F18" s="6">
        <v>0.0732</v>
      </c>
    </row>
    <row r="19">
      <c r="A19" s="4">
        <v>44713.0</v>
      </c>
      <c r="B19" s="5">
        <v>8336.889648</v>
      </c>
      <c r="C19" s="5">
        <f t="shared" si="1"/>
        <v>0.06139263955</v>
      </c>
      <c r="D19" s="5">
        <v>15780.25</v>
      </c>
      <c r="E19" s="5">
        <f t="shared" si="2"/>
        <v>-0.04971242804</v>
      </c>
      <c r="F19" s="6">
        <v>0.0745</v>
      </c>
    </row>
    <row r="20">
      <c r="A20" s="4">
        <v>44682.0</v>
      </c>
      <c r="B20" s="5">
        <v>7840.460449</v>
      </c>
      <c r="C20" s="5">
        <f t="shared" si="1"/>
        <v>0.03169711202</v>
      </c>
      <c r="D20" s="5">
        <v>16584.550781</v>
      </c>
      <c r="E20" s="5">
        <f t="shared" si="2"/>
        <v>-0.03075603469</v>
      </c>
      <c r="F20" s="6">
        <v>0.07415</v>
      </c>
    </row>
    <row r="21">
      <c r="A21" s="4">
        <v>44652.0</v>
      </c>
      <c r="B21" s="5">
        <v>7595.837891</v>
      </c>
      <c r="C21" s="5">
        <f t="shared" si="1"/>
        <v>0.02048621345</v>
      </c>
      <c r="D21" s="5">
        <v>17102.550781</v>
      </c>
      <c r="E21" s="5">
        <f t="shared" si="2"/>
        <v>-0.02095694295</v>
      </c>
      <c r="F21" s="6">
        <v>0.07139000000000001</v>
      </c>
    </row>
    <row r="22">
      <c r="A22" s="4">
        <v>44621.0</v>
      </c>
      <c r="B22" s="5">
        <v>7441.811035</v>
      </c>
      <c r="C22" s="5">
        <f t="shared" si="1"/>
        <v>-0.09491583214</v>
      </c>
      <c r="D22" s="5">
        <v>17464.75</v>
      </c>
      <c r="E22" s="5">
        <f t="shared" si="2"/>
        <v>0.0391688153</v>
      </c>
      <c r="F22" s="6">
        <v>0.06843</v>
      </c>
    </row>
    <row r="23">
      <c r="A23" s="4">
        <v>44593.0</v>
      </c>
      <c r="B23" s="5">
        <v>8182.764648</v>
      </c>
      <c r="C23" s="5">
        <f t="shared" si="1"/>
        <v>-0.03348923721</v>
      </c>
      <c r="D23" s="5">
        <v>16793.900391</v>
      </c>
      <c r="E23" s="5">
        <f t="shared" si="2"/>
        <v>-0.03199154973</v>
      </c>
      <c r="F23" s="6">
        <v>0.0677</v>
      </c>
    </row>
    <row r="24">
      <c r="A24" s="4">
        <v>44562.0</v>
      </c>
      <c r="B24" s="5">
        <v>8461.439453</v>
      </c>
      <c r="C24" s="5">
        <f t="shared" si="1"/>
        <v>0.1464002156</v>
      </c>
      <c r="D24" s="5">
        <v>17339.849609</v>
      </c>
      <c r="E24" s="5">
        <f t="shared" si="2"/>
        <v>-0.0008186553044</v>
      </c>
      <c r="F24" s="6">
        <v>0.06684</v>
      </c>
    </row>
    <row r="25">
      <c r="A25" s="4">
        <v>44531.0</v>
      </c>
      <c r="B25" s="5">
        <v>7309.092285</v>
      </c>
      <c r="C25" s="5">
        <f t="shared" si="1"/>
        <v>0.04949870127</v>
      </c>
      <c r="D25" s="5">
        <v>17354.050781</v>
      </c>
      <c r="E25" s="5">
        <f t="shared" si="2"/>
        <v>0.0216013794</v>
      </c>
      <c r="F25" s="6">
        <v>0.06454</v>
      </c>
    </row>
    <row r="26">
      <c r="A26" s="4">
        <v>44501.0</v>
      </c>
      <c r="B26" s="5">
        <v>6956.109863</v>
      </c>
      <c r="C26" s="5">
        <f t="shared" si="1"/>
        <v>-0.05700435608</v>
      </c>
      <c r="D26" s="5">
        <v>16983.199219</v>
      </c>
      <c r="E26" s="5">
        <f t="shared" si="2"/>
        <v>-0.03973710856</v>
      </c>
      <c r="F26" s="6">
        <v>0.06326</v>
      </c>
    </row>
    <row r="27">
      <c r="A27" s="4">
        <v>44470.0</v>
      </c>
      <c r="B27" s="5">
        <v>7364.158203</v>
      </c>
      <c r="C27" s="5">
        <f t="shared" si="1"/>
        <v>0.01948051862</v>
      </c>
      <c r="D27" s="5">
        <v>17671.650391</v>
      </c>
      <c r="E27" s="5">
        <f t="shared" si="2"/>
        <v>0.003032039842</v>
      </c>
      <c r="F27" s="6">
        <v>0.06387999999999999</v>
      </c>
    </row>
    <row r="28">
      <c r="A28" s="4">
        <v>44440.0</v>
      </c>
      <c r="B28" s="5">
        <v>7222.088867</v>
      </c>
      <c r="C28" s="5">
        <f t="shared" si="1"/>
        <v>0.07574955455</v>
      </c>
      <c r="D28" s="5">
        <v>17618.150391</v>
      </c>
      <c r="E28" s="5">
        <f t="shared" si="2"/>
        <v>0.02796995471</v>
      </c>
      <c r="F28" s="6">
        <v>0.06223</v>
      </c>
    </row>
    <row r="29">
      <c r="A29" s="4">
        <v>44409.0</v>
      </c>
      <c r="B29" s="5">
        <v>6695.225586</v>
      </c>
      <c r="C29" s="5">
        <f t="shared" si="1"/>
        <v>-0.01904026068</v>
      </c>
      <c r="D29" s="5">
        <v>17132.199219</v>
      </c>
      <c r="E29" s="5">
        <f t="shared" si="2"/>
        <v>0.0832911069</v>
      </c>
      <c r="F29" s="6">
        <v>0.06215</v>
      </c>
    </row>
    <row r="30">
      <c r="A30" s="4">
        <v>44378.0</v>
      </c>
      <c r="B30" s="5">
        <v>6823.925781</v>
      </c>
      <c r="C30" s="5">
        <f t="shared" si="1"/>
        <v>-0.07430138515</v>
      </c>
      <c r="D30" s="5">
        <v>15763.049805</v>
      </c>
      <c r="E30" s="5">
        <f t="shared" si="2"/>
        <v>0.002639378957</v>
      </c>
      <c r="F30" s="6">
        <v>0.06204</v>
      </c>
    </row>
    <row r="31">
      <c r="A31" s="4">
        <v>44348.0</v>
      </c>
      <c r="B31" s="5">
        <v>7350.264648</v>
      </c>
      <c r="C31" s="5">
        <f t="shared" si="1"/>
        <v>0.05885741172</v>
      </c>
      <c r="D31" s="5">
        <v>15721.5</v>
      </c>
      <c r="E31" s="5">
        <f t="shared" si="2"/>
        <v>0.008861472928</v>
      </c>
      <c r="F31" s="6">
        <v>0.06051</v>
      </c>
    </row>
    <row r="32">
      <c r="A32" s="4">
        <v>44317.0</v>
      </c>
      <c r="B32" s="5">
        <v>6930.132324</v>
      </c>
      <c r="C32" s="5">
        <f t="shared" si="1"/>
        <v>0.0932076578</v>
      </c>
      <c r="D32" s="5">
        <v>15582.799805</v>
      </c>
      <c r="E32" s="5">
        <f t="shared" si="2"/>
        <v>0.06301835592</v>
      </c>
      <c r="F32" s="6">
        <v>0.06022</v>
      </c>
    </row>
    <row r="33">
      <c r="A33" s="4">
        <v>44287.0</v>
      </c>
      <c r="B33" s="5">
        <v>6313.380371</v>
      </c>
      <c r="C33" s="5">
        <f t="shared" si="1"/>
        <v>-0.06063512641</v>
      </c>
      <c r="D33" s="5">
        <v>14631.099609</v>
      </c>
      <c r="E33" s="5">
        <f t="shared" si="2"/>
        <v>-0.004065280336</v>
      </c>
      <c r="F33" s="6">
        <v>0.0603</v>
      </c>
    </row>
    <row r="34">
      <c r="A34" s="4">
        <v>44256.0</v>
      </c>
      <c r="B34" s="5">
        <v>6708.037109</v>
      </c>
      <c r="C34" s="5">
        <f t="shared" si="1"/>
        <v>-0.001012730516</v>
      </c>
      <c r="D34" s="5">
        <v>14690.700195</v>
      </c>
      <c r="E34" s="5">
        <f t="shared" si="2"/>
        <v>0.01105765066</v>
      </c>
      <c r="F34" s="6">
        <v>0.06177</v>
      </c>
    </row>
    <row r="35">
      <c r="A35" s="4">
        <v>44228.0</v>
      </c>
      <c r="B35" s="5">
        <v>6714.833984</v>
      </c>
      <c r="C35" s="5">
        <f t="shared" si="1"/>
        <v>-0.04840067258</v>
      </c>
      <c r="D35" s="5">
        <v>14529.150391</v>
      </c>
      <c r="E35" s="5">
        <f t="shared" si="2"/>
        <v>0.0635463522</v>
      </c>
      <c r="F35" s="6">
        <v>0.06229</v>
      </c>
    </row>
    <row r="36">
      <c r="A36" s="4">
        <v>44197.0</v>
      </c>
      <c r="B36" s="5">
        <v>7047.830078</v>
      </c>
      <c r="C36" s="5">
        <f t="shared" si="1"/>
        <v>-0.05964917408</v>
      </c>
      <c r="D36" s="5">
        <v>13634.599609</v>
      </c>
      <c r="E36" s="5">
        <f t="shared" si="2"/>
        <v>-0.02514225688</v>
      </c>
      <c r="F36" s="6">
        <v>0.05949</v>
      </c>
    </row>
    <row r="37">
      <c r="A37" s="4">
        <v>44166.0</v>
      </c>
      <c r="B37" s="5">
        <v>7481.018555</v>
      </c>
      <c r="C37" s="5">
        <f t="shared" si="1"/>
        <v>0.0836420052</v>
      </c>
      <c r="D37" s="5">
        <v>13981.75</v>
      </c>
      <c r="E37" s="5">
        <f t="shared" si="2"/>
        <v>0.07519485376</v>
      </c>
      <c r="F37" s="6">
        <v>0.05894</v>
      </c>
    </row>
    <row r="38">
      <c r="A38" s="4">
        <v>44136.0</v>
      </c>
      <c r="B38" s="5">
        <v>6880.745117</v>
      </c>
      <c r="C38" s="5">
        <f t="shared" si="1"/>
        <v>0.01009229408</v>
      </c>
      <c r="D38" s="5">
        <v>12968.950195</v>
      </c>
      <c r="E38" s="5">
        <f t="shared" si="2"/>
        <v>0.1079044138</v>
      </c>
      <c r="F38" s="6">
        <v>0.059109999999999996</v>
      </c>
    </row>
    <row r="39">
      <c r="A39" s="4">
        <v>44105.0</v>
      </c>
      <c r="B39" s="5">
        <v>6811.651855</v>
      </c>
      <c r="C39" s="5">
        <f t="shared" si="1"/>
        <v>0.03234744861</v>
      </c>
      <c r="D39" s="5">
        <v>11642.400391</v>
      </c>
      <c r="E39" s="5">
        <f t="shared" si="2"/>
        <v>0.03450333038</v>
      </c>
      <c r="F39" s="6">
        <v>0.05881</v>
      </c>
    </row>
    <row r="40">
      <c r="A40" s="4">
        <v>44075.0</v>
      </c>
      <c r="B40" s="5">
        <v>6594.837891</v>
      </c>
      <c r="C40" s="5">
        <f t="shared" si="1"/>
        <v>-0.005253892066</v>
      </c>
      <c r="D40" s="5">
        <v>11247.549805</v>
      </c>
      <c r="E40" s="5">
        <f t="shared" si="2"/>
        <v>-0.01236595277</v>
      </c>
      <c r="F40" s="6">
        <v>0.060149999999999995</v>
      </c>
    </row>
    <row r="41">
      <c r="A41" s="4">
        <v>44044.0</v>
      </c>
      <c r="B41" s="5">
        <v>6629.577637</v>
      </c>
      <c r="C41" s="5">
        <f t="shared" si="1"/>
        <v>0.08816101458</v>
      </c>
      <c r="D41" s="5">
        <v>11387.5</v>
      </c>
      <c r="E41" s="5">
        <f t="shared" si="2"/>
        <v>0.02796589369</v>
      </c>
      <c r="F41" s="6">
        <v>0.06078</v>
      </c>
    </row>
    <row r="42">
      <c r="A42" s="4">
        <v>44013.0</v>
      </c>
      <c r="B42" s="5">
        <v>6070.130371</v>
      </c>
      <c r="C42" s="5">
        <f t="shared" si="1"/>
        <v>0.07017973797</v>
      </c>
      <c r="D42" s="5">
        <v>11073.450195</v>
      </c>
      <c r="E42" s="5">
        <f t="shared" si="2"/>
        <v>0.0722026489</v>
      </c>
      <c r="F42" s="6">
        <v>0.05837</v>
      </c>
    </row>
    <row r="43">
      <c r="A43" s="4">
        <v>43983.0</v>
      </c>
      <c r="B43" s="5">
        <v>5658.734863</v>
      </c>
      <c r="C43" s="5">
        <f t="shared" si="1"/>
        <v>0.03974634888</v>
      </c>
      <c r="D43" s="5">
        <v>10302.099609</v>
      </c>
      <c r="E43" s="5">
        <f t="shared" si="2"/>
        <v>0.07263883362</v>
      </c>
      <c r="F43" s="6">
        <v>0.05888</v>
      </c>
    </row>
    <row r="44">
      <c r="A44" s="4">
        <v>43952.0</v>
      </c>
      <c r="B44" s="5">
        <v>5438.231934</v>
      </c>
      <c r="C44" s="5">
        <f t="shared" si="1"/>
        <v>0.04595326696</v>
      </c>
      <c r="D44" s="5">
        <v>9580.299805</v>
      </c>
      <c r="E44" s="5">
        <f t="shared" si="2"/>
        <v>-0.02876717985</v>
      </c>
      <c r="F44" s="6">
        <v>0.060129999999999996</v>
      </c>
    </row>
    <row r="45">
      <c r="A45" s="4">
        <v>43922.0</v>
      </c>
      <c r="B45" s="5">
        <v>5193.982422</v>
      </c>
      <c r="C45" s="5">
        <f t="shared" si="1"/>
        <v>0.2228496752</v>
      </c>
      <c r="D45" s="5">
        <v>9859.900391</v>
      </c>
      <c r="E45" s="5">
        <f t="shared" si="2"/>
        <v>0.1369755251</v>
      </c>
      <c r="F45" s="6">
        <v>0.0611</v>
      </c>
    </row>
    <row r="46">
      <c r="A46" s="4">
        <v>43891.0</v>
      </c>
      <c r="B46" s="5">
        <v>4156.407227</v>
      </c>
      <c r="C46" s="5">
        <f t="shared" si="1"/>
        <v>-0.3819730546</v>
      </c>
      <c r="D46" s="5">
        <v>8597.75</v>
      </c>
      <c r="E46" s="5">
        <f t="shared" si="2"/>
        <v>-0.264569475</v>
      </c>
      <c r="F46" s="6">
        <v>0.06138</v>
      </c>
    </row>
    <row r="47">
      <c r="A47" s="4">
        <v>43862.0</v>
      </c>
      <c r="B47" s="5">
        <v>6089.854004</v>
      </c>
      <c r="C47" s="5">
        <f t="shared" si="1"/>
        <v>-0.0956125491</v>
      </c>
      <c r="D47" s="5">
        <v>11201.75</v>
      </c>
      <c r="E47" s="5">
        <f t="shared" si="2"/>
        <v>-0.06567326961</v>
      </c>
      <c r="F47" s="6">
        <v>0.06371</v>
      </c>
    </row>
    <row r="48">
      <c r="A48" s="4">
        <v>43831.0</v>
      </c>
      <c r="B48" s="5">
        <v>6700.865234</v>
      </c>
      <c r="C48" s="5">
        <f t="shared" si="1"/>
        <v>-0.06375174785</v>
      </c>
      <c r="D48" s="5">
        <v>11962.099609</v>
      </c>
      <c r="E48" s="5">
        <f t="shared" si="2"/>
        <v>-0.01710326684</v>
      </c>
      <c r="F48" s="6">
        <v>0.06599000000000001</v>
      </c>
    </row>
    <row r="49">
      <c r="A49" s="4">
        <v>43800.0</v>
      </c>
      <c r="B49" s="5">
        <v>7141.968262</v>
      </c>
      <c r="C49" s="5">
        <f t="shared" si="1"/>
        <v>0.01679876239</v>
      </c>
      <c r="D49" s="5">
        <v>12168.450195</v>
      </c>
      <c r="E49" s="5">
        <f t="shared" si="2"/>
        <v>0.009279960093</v>
      </c>
      <c r="F49" s="6">
        <v>0.06554</v>
      </c>
    </row>
    <row r="50">
      <c r="A50" s="4">
        <v>43770.0</v>
      </c>
      <c r="B50" s="5">
        <v>7022.994141</v>
      </c>
      <c r="C50" s="5">
        <f t="shared" si="1"/>
        <v>-0.04236285064</v>
      </c>
      <c r="D50" s="5">
        <v>12056.049805</v>
      </c>
      <c r="E50" s="5">
        <f t="shared" si="2"/>
        <v>0.01492493161</v>
      </c>
      <c r="F50" s="6">
        <v>0.0646</v>
      </c>
    </row>
    <row r="51">
      <c r="A51" s="4">
        <v>43739.0</v>
      </c>
      <c r="B51" s="5">
        <v>7326.899902</v>
      </c>
      <c r="C51" s="5">
        <f t="shared" si="1"/>
        <v>0.1183289265</v>
      </c>
      <c r="D51" s="5">
        <v>11877.450195</v>
      </c>
      <c r="E51" s="5">
        <f t="shared" si="2"/>
        <v>0.03451881934</v>
      </c>
      <c r="F51" s="6">
        <v>0.06643</v>
      </c>
    </row>
    <row r="52">
      <c r="A52" s="4">
        <v>43709.0</v>
      </c>
      <c r="B52" s="5">
        <v>6509.245605</v>
      </c>
      <c r="C52" s="5">
        <f t="shared" si="1"/>
        <v>0.1061402513</v>
      </c>
      <c r="D52" s="5">
        <v>11474.450195</v>
      </c>
      <c r="E52" s="5">
        <f t="shared" si="2"/>
        <v>0.04011616293</v>
      </c>
      <c r="F52" s="6">
        <v>0.06695000000000001</v>
      </c>
    </row>
    <row r="53">
      <c r="A53" s="4">
        <v>43678.0</v>
      </c>
      <c r="B53" s="5">
        <v>5853.754883</v>
      </c>
      <c r="C53" s="5">
        <f t="shared" si="1"/>
        <v>0.112950761</v>
      </c>
      <c r="D53" s="5">
        <v>11023.25</v>
      </c>
      <c r="E53" s="5">
        <f t="shared" si="2"/>
        <v>-0.008558737956</v>
      </c>
      <c r="F53" s="6">
        <v>0.06556000000000001</v>
      </c>
    </row>
    <row r="54">
      <c r="A54" s="4">
        <v>43647.0</v>
      </c>
      <c r="B54" s="5">
        <v>5228.54248</v>
      </c>
      <c r="C54" s="5">
        <f t="shared" si="1"/>
        <v>-0.1778949274</v>
      </c>
      <c r="D54" s="5">
        <v>11118.0</v>
      </c>
      <c r="E54" s="5">
        <f t="shared" si="2"/>
        <v>-0.05858871981</v>
      </c>
      <c r="F54" s="6">
        <v>0.06369</v>
      </c>
    </row>
    <row r="55">
      <c r="A55" s="4">
        <v>43617.0</v>
      </c>
      <c r="B55" s="5">
        <v>6246.538574</v>
      </c>
      <c r="C55" s="5">
        <f t="shared" si="1"/>
        <v>-0.05002352802</v>
      </c>
      <c r="D55" s="5">
        <v>11788.849609</v>
      </c>
      <c r="E55" s="5">
        <f t="shared" si="2"/>
        <v>-0.01129838069</v>
      </c>
      <c r="F55" s="6">
        <v>0.06878999999999999</v>
      </c>
    </row>
    <row r="56">
      <c r="A56" s="4">
        <v>43586.0</v>
      </c>
      <c r="B56" s="5">
        <v>6566.959961</v>
      </c>
      <c r="C56" s="5">
        <f t="shared" si="1"/>
        <v>0.03006237113</v>
      </c>
      <c r="D56" s="5">
        <v>11922.799805</v>
      </c>
      <c r="E56" s="5">
        <f t="shared" si="2"/>
        <v>0.01475670236</v>
      </c>
      <c r="F56" s="6">
        <v>0.07032</v>
      </c>
    </row>
    <row r="57">
      <c r="A57" s="4">
        <v>43556.0</v>
      </c>
      <c r="B57" s="5">
        <v>6372.479492</v>
      </c>
      <c r="C57" s="5">
        <f t="shared" si="1"/>
        <v>-0.000922273974</v>
      </c>
      <c r="D57" s="5">
        <v>11748.150391</v>
      </c>
      <c r="E57" s="5">
        <f t="shared" si="2"/>
        <v>0.01063245769</v>
      </c>
      <c r="F57" s="6">
        <v>0.07414</v>
      </c>
    </row>
    <row r="58">
      <c r="A58" s="4">
        <v>43525.0</v>
      </c>
      <c r="B58" s="5">
        <v>6378.359375</v>
      </c>
      <c r="C58" s="5">
        <f t="shared" si="1"/>
        <v>-0.02327863542</v>
      </c>
      <c r="D58" s="5">
        <v>11623.900391</v>
      </c>
      <c r="E58" s="5">
        <f t="shared" si="2"/>
        <v>0.07421190853</v>
      </c>
      <c r="F58" s="6">
        <v>0.07346</v>
      </c>
    </row>
    <row r="59">
      <c r="A59" s="4">
        <v>43497.0</v>
      </c>
      <c r="B59" s="5">
        <v>6528.580566</v>
      </c>
      <c r="C59" s="5">
        <f t="shared" si="1"/>
        <v>0.02799575024</v>
      </c>
      <c r="D59" s="5">
        <v>10792.5</v>
      </c>
      <c r="E59" s="5">
        <f t="shared" si="2"/>
        <v>-0.00355634602</v>
      </c>
      <c r="F59" s="6">
        <v>0.07591</v>
      </c>
    </row>
    <row r="60">
      <c r="A60" s="4">
        <v>43466.0</v>
      </c>
      <c r="B60" s="5">
        <v>6348.342773</v>
      </c>
      <c r="C60" s="5">
        <f t="shared" si="1"/>
        <v>-0.1170073145</v>
      </c>
      <c r="D60" s="5">
        <v>10830.950195</v>
      </c>
      <c r="E60" s="5">
        <f t="shared" si="2"/>
        <v>-0.002913281153</v>
      </c>
      <c r="F60" s="6">
        <v>0.07483</v>
      </c>
    </row>
    <row r="61">
      <c r="A61" s="4">
        <v>43435.0</v>
      </c>
      <c r="B61" s="5">
        <v>7136.347656</v>
      </c>
      <c r="C61" s="5">
        <f t="shared" si="1"/>
        <v>-0.0259284463</v>
      </c>
      <c r="D61" s="5">
        <v>10862.549805</v>
      </c>
      <c r="E61" s="5">
        <f t="shared" si="2"/>
        <v>-0.001306407948</v>
      </c>
      <c r="F61" s="6">
        <v>0.0737</v>
      </c>
    </row>
    <row r="62">
      <c r="A62" s="4">
        <v>43405.0</v>
      </c>
      <c r="B62" s="5">
        <v>7323.801758</v>
      </c>
      <c r="C62" s="7"/>
      <c r="D62" s="5">
        <v>10876.75</v>
      </c>
      <c r="E62" s="7"/>
      <c r="F62" s="6">
        <v>0.07607</v>
      </c>
    </row>
    <row r="63">
      <c r="A63" s="8" t="s">
        <v>6</v>
      </c>
      <c r="B63" s="9"/>
      <c r="C63" s="10">
        <f>AVERAGE(C2:C61)</f>
        <v>0.006203559719</v>
      </c>
      <c r="D63" s="9"/>
      <c r="E63" s="10">
        <f>AVERAGE(E2:E61)</f>
        <v>0.009496529672</v>
      </c>
      <c r="F63" s="10">
        <f>AVERAGE(F2:F62)</f>
        <v>0.06724833333</v>
      </c>
    </row>
    <row r="64">
      <c r="A64" s="11"/>
      <c r="B64" s="11"/>
      <c r="C64" s="11"/>
      <c r="D64" s="11"/>
      <c r="E64" s="11"/>
      <c r="F64" s="11"/>
    </row>
    <row r="65">
      <c r="A65" s="3"/>
      <c r="B65" s="3"/>
      <c r="C65" s="3"/>
      <c r="D65" s="3"/>
      <c r="E65" s="3"/>
      <c r="F65" s="3"/>
    </row>
    <row r="66">
      <c r="A66" s="12" t="s">
        <v>7</v>
      </c>
      <c r="B66" s="13"/>
      <c r="C66" s="10">
        <f>EXP(C63*12)-1</f>
        <v>0.07728363132</v>
      </c>
      <c r="D66" s="13"/>
      <c r="E66" s="10">
        <f>EXP(E63*12)-1</f>
        <v>0.1207054533</v>
      </c>
      <c r="F66" s="10">
        <f>F63</f>
        <v>0.06724833333</v>
      </c>
    </row>
    <row r="67">
      <c r="A67" s="3"/>
      <c r="B67" s="3"/>
      <c r="C67" s="3"/>
      <c r="D67" s="3"/>
      <c r="E67" s="3"/>
      <c r="F67" s="3"/>
    </row>
    <row r="70">
      <c r="A70" s="14" t="s">
        <v>8</v>
      </c>
      <c r="B70" s="15"/>
      <c r="C70" s="15"/>
      <c r="D70" s="15"/>
      <c r="E70" s="15"/>
      <c r="F70" s="16"/>
    </row>
    <row r="71">
      <c r="A71" s="17"/>
      <c r="F71" s="18"/>
    </row>
    <row r="72">
      <c r="A72" s="19"/>
      <c r="B72" s="20"/>
      <c r="C72" s="20"/>
      <c r="D72" s="20"/>
      <c r="E72" s="20"/>
      <c r="F72" s="21"/>
    </row>
    <row r="73">
      <c r="A73" s="22" t="s">
        <v>9</v>
      </c>
      <c r="B73" s="15"/>
      <c r="C73" s="16"/>
      <c r="D73" s="23">
        <v>1.0377</v>
      </c>
      <c r="E73" s="15"/>
      <c r="F73" s="16"/>
    </row>
    <row r="74">
      <c r="A74" s="19"/>
      <c r="B74" s="20"/>
      <c r="C74" s="21"/>
      <c r="D74" s="19"/>
      <c r="E74" s="20"/>
      <c r="F74" s="21"/>
    </row>
    <row r="75">
      <c r="A75" s="24" t="s">
        <v>10</v>
      </c>
      <c r="B75" s="15"/>
      <c r="C75" s="16"/>
      <c r="D75" s="25">
        <f>E66</f>
        <v>0.1207054533</v>
      </c>
      <c r="E75" s="15"/>
      <c r="F75" s="16"/>
    </row>
    <row r="76">
      <c r="A76" s="19"/>
      <c r="B76" s="20"/>
      <c r="C76" s="21"/>
      <c r="D76" s="19"/>
      <c r="E76" s="20"/>
      <c r="F76" s="21"/>
    </row>
    <row r="77">
      <c r="A77" s="24" t="s">
        <v>11</v>
      </c>
      <c r="B77" s="15"/>
      <c r="C77" s="16"/>
      <c r="D77" s="25">
        <f>F66</f>
        <v>0.06724833333</v>
      </c>
      <c r="E77" s="15"/>
      <c r="F77" s="16"/>
    </row>
    <row r="78">
      <c r="A78" s="19"/>
      <c r="B78" s="20"/>
      <c r="C78" s="21"/>
      <c r="D78" s="19"/>
      <c r="E78" s="20"/>
      <c r="F78" s="21"/>
    </row>
    <row r="79">
      <c r="A79" s="24" t="s">
        <v>12</v>
      </c>
      <c r="B79" s="15"/>
      <c r="C79" s="16"/>
      <c r="D79" s="25">
        <f>D77+D73*(D75-D77)</f>
        <v>0.1227207867</v>
      </c>
      <c r="E79" s="15"/>
      <c r="F79" s="16"/>
    </row>
    <row r="80">
      <c r="A80" s="19"/>
      <c r="B80" s="20"/>
      <c r="C80" s="21"/>
      <c r="D80" s="19"/>
      <c r="E80" s="20"/>
      <c r="F80" s="21"/>
    </row>
  </sheetData>
  <mergeCells count="27">
    <mergeCell ref="B63:B65"/>
    <mergeCell ref="C63:C65"/>
    <mergeCell ref="A66:A67"/>
    <mergeCell ref="B66:B67"/>
    <mergeCell ref="C66:C67"/>
    <mergeCell ref="D63:D65"/>
    <mergeCell ref="E63:E65"/>
    <mergeCell ref="D66:D67"/>
    <mergeCell ref="E66:E67"/>
    <mergeCell ref="F66:F67"/>
    <mergeCell ref="A1:A2"/>
    <mergeCell ref="B1:B2"/>
    <mergeCell ref="C1:C2"/>
    <mergeCell ref="D1:D2"/>
    <mergeCell ref="E1:E2"/>
    <mergeCell ref="F1:F2"/>
    <mergeCell ref="A63:A65"/>
    <mergeCell ref="A77:C78"/>
    <mergeCell ref="A79:C80"/>
    <mergeCell ref="F63:F65"/>
    <mergeCell ref="A70:F72"/>
    <mergeCell ref="A73:C74"/>
    <mergeCell ref="D73:F74"/>
    <mergeCell ref="A75:C76"/>
    <mergeCell ref="D75:F76"/>
    <mergeCell ref="D77:F78"/>
    <mergeCell ref="D79:F8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13</v>
      </c>
      <c r="B1" s="27" t="s">
        <v>14</v>
      </c>
      <c r="C1" s="27" t="s">
        <v>15</v>
      </c>
      <c r="D1" s="27" t="s">
        <v>16</v>
      </c>
      <c r="E1" s="27" t="s">
        <v>17</v>
      </c>
    </row>
    <row r="2">
      <c r="A2" s="3"/>
      <c r="B2" s="3"/>
      <c r="C2" s="3"/>
      <c r="D2" s="3"/>
      <c r="E2" s="3"/>
      <c r="G2" s="28"/>
    </row>
    <row r="3">
      <c r="A3" s="29" t="s">
        <v>18</v>
      </c>
      <c r="B3" s="29">
        <v>0.84</v>
      </c>
      <c r="C3" s="29">
        <v>1.89</v>
      </c>
      <c r="D3" s="6">
        <f>C3/(1+((1-E3%)*B3))</f>
        <v>1.028254989</v>
      </c>
      <c r="E3" s="30">
        <v>0.2303</v>
      </c>
    </row>
    <row r="4">
      <c r="A4" s="29" t="s">
        <v>19</v>
      </c>
      <c r="B4" s="29">
        <v>0.11</v>
      </c>
      <c r="C4" s="29">
        <v>1.39</v>
      </c>
      <c r="D4" s="6">
        <f t="shared" ref="D4:D6" si="1">C4/(1+((1-E4)*B4))</f>
        <v>1.276412088</v>
      </c>
      <c r="E4" s="30">
        <v>0.191</v>
      </c>
    </row>
    <row r="5">
      <c r="A5" s="29" t="s">
        <v>20</v>
      </c>
      <c r="B5" s="29">
        <v>0.49</v>
      </c>
      <c r="C5" s="29">
        <v>1.23</v>
      </c>
      <c r="D5" s="6">
        <f t="shared" si="1"/>
        <v>0.9152255585</v>
      </c>
      <c r="E5" s="30">
        <v>0.2981</v>
      </c>
    </row>
    <row r="6">
      <c r="A6" s="29" t="s">
        <v>21</v>
      </c>
      <c r="B6" s="29">
        <v>0.0</v>
      </c>
      <c r="C6" s="29">
        <v>1.12</v>
      </c>
      <c r="D6" s="6">
        <f t="shared" si="1"/>
        <v>1.12</v>
      </c>
      <c r="E6" s="30">
        <v>0.2272</v>
      </c>
    </row>
    <row r="7">
      <c r="C7" s="31" t="s">
        <v>22</v>
      </c>
      <c r="D7" s="13">
        <f>AVERAGE(D3:D6)</f>
        <v>1.084973159</v>
      </c>
    </row>
    <row r="8">
      <c r="C8" s="3"/>
      <c r="D8" s="3"/>
    </row>
    <row r="11">
      <c r="A11" s="32" t="s">
        <v>23</v>
      </c>
      <c r="B11" s="15"/>
      <c r="C11" s="15"/>
      <c r="D11" s="15"/>
      <c r="E11" s="16"/>
    </row>
    <row r="12">
      <c r="A12" s="19"/>
      <c r="B12" s="20"/>
      <c r="C12" s="20"/>
      <c r="D12" s="20"/>
      <c r="E12" s="21"/>
    </row>
    <row r="13">
      <c r="A13" s="33" t="s">
        <v>24</v>
      </c>
      <c r="B13" s="15"/>
      <c r="C13" s="16"/>
      <c r="D13" s="34">
        <f>D7</f>
        <v>1.084973159</v>
      </c>
      <c r="E13" s="16"/>
    </row>
    <row r="14">
      <c r="A14" s="19"/>
      <c r="B14" s="20"/>
      <c r="C14" s="21"/>
      <c r="D14" s="19"/>
      <c r="E14" s="21"/>
    </row>
    <row r="15">
      <c r="A15" s="33" t="s">
        <v>25</v>
      </c>
      <c r="B15" s="15"/>
      <c r="C15" s="16"/>
      <c r="D15" s="35">
        <v>0.02</v>
      </c>
      <c r="E15" s="16"/>
    </row>
    <row r="16">
      <c r="A16" s="19"/>
      <c r="B16" s="20"/>
      <c r="C16" s="21"/>
      <c r="D16" s="19"/>
      <c r="E16" s="21"/>
    </row>
    <row r="17">
      <c r="A17" s="33" t="s">
        <v>26</v>
      </c>
      <c r="B17" s="15"/>
      <c r="C17" s="16"/>
      <c r="D17" s="36">
        <v>0.2046</v>
      </c>
      <c r="E17" s="16"/>
    </row>
    <row r="18">
      <c r="A18" s="19"/>
      <c r="B18" s="20"/>
      <c r="C18" s="21"/>
      <c r="D18" s="19"/>
      <c r="E18" s="21"/>
    </row>
    <row r="19">
      <c r="A19" s="33" t="s">
        <v>27</v>
      </c>
      <c r="B19" s="15"/>
      <c r="C19" s="16"/>
      <c r="D19" s="34">
        <f>D13*(1+D15*(1-D17))</f>
        <v>1.102232912</v>
      </c>
      <c r="E19" s="16"/>
    </row>
    <row r="20">
      <c r="A20" s="19"/>
      <c r="B20" s="20"/>
      <c r="C20" s="21"/>
      <c r="D20" s="19"/>
      <c r="E20" s="21"/>
    </row>
    <row r="23">
      <c r="A23" s="14" t="s">
        <v>28</v>
      </c>
      <c r="B23" s="15"/>
      <c r="C23" s="15"/>
      <c r="D23" s="15"/>
      <c r="E23" s="15"/>
      <c r="F23" s="16"/>
    </row>
    <row r="24">
      <c r="A24" s="17"/>
      <c r="F24" s="18"/>
    </row>
    <row r="25">
      <c r="A25" s="19"/>
      <c r="B25" s="20"/>
      <c r="C25" s="20"/>
      <c r="D25" s="20"/>
      <c r="E25" s="20"/>
      <c r="F25" s="21"/>
    </row>
    <row r="26">
      <c r="A26" s="22" t="s">
        <v>29</v>
      </c>
      <c r="B26" s="15"/>
      <c r="C26" s="16"/>
      <c r="D26" s="23">
        <f>D19</f>
        <v>1.102232912</v>
      </c>
      <c r="E26" s="15"/>
      <c r="F26" s="16"/>
    </row>
    <row r="27">
      <c r="A27" s="19"/>
      <c r="B27" s="20"/>
      <c r="C27" s="21"/>
      <c r="D27" s="19"/>
      <c r="E27" s="20"/>
      <c r="F27" s="21"/>
    </row>
    <row r="28">
      <c r="A28" s="24" t="s">
        <v>10</v>
      </c>
      <c r="B28" s="15"/>
      <c r="C28" s="16"/>
      <c r="D28" s="25">
        <f>'Cost Of Equity-Top Down Approac'!D75</f>
        <v>0.1207054533</v>
      </c>
      <c r="E28" s="15"/>
      <c r="F28" s="16"/>
    </row>
    <row r="29">
      <c r="A29" s="19"/>
      <c r="B29" s="20"/>
      <c r="C29" s="21"/>
      <c r="D29" s="19"/>
      <c r="E29" s="20"/>
      <c r="F29" s="21"/>
    </row>
    <row r="30">
      <c r="A30" s="24" t="s">
        <v>11</v>
      </c>
      <c r="B30" s="15"/>
      <c r="C30" s="16"/>
      <c r="D30" s="25">
        <f>'Cost Of Equity-Top Down Approac'!D77</f>
        <v>0.06724833333</v>
      </c>
      <c r="E30" s="15"/>
      <c r="F30" s="16"/>
    </row>
    <row r="31">
      <c r="A31" s="19"/>
      <c r="B31" s="20"/>
      <c r="C31" s="21"/>
      <c r="D31" s="19"/>
      <c r="E31" s="20"/>
      <c r="F31" s="21"/>
    </row>
    <row r="32">
      <c r="A32" s="24" t="s">
        <v>12</v>
      </c>
      <c r="B32" s="15"/>
      <c r="C32" s="16"/>
      <c r="D32" s="25">
        <f>D30+D26*(D28-D30)</f>
        <v>0.1261705304</v>
      </c>
      <c r="E32" s="15"/>
      <c r="F32" s="16"/>
    </row>
    <row r="33">
      <c r="A33" s="19"/>
      <c r="B33" s="20"/>
      <c r="C33" s="21"/>
      <c r="D33" s="19"/>
      <c r="E33" s="20"/>
      <c r="F33" s="21"/>
    </row>
  </sheetData>
  <mergeCells count="27">
    <mergeCell ref="D7:D8"/>
    <mergeCell ref="E7:E8"/>
    <mergeCell ref="A1:A2"/>
    <mergeCell ref="B1:B2"/>
    <mergeCell ref="C1:C2"/>
    <mergeCell ref="D1:D2"/>
    <mergeCell ref="E1:E2"/>
    <mergeCell ref="A7:B8"/>
    <mergeCell ref="C7:C8"/>
    <mergeCell ref="A11:E12"/>
    <mergeCell ref="A13:C14"/>
    <mergeCell ref="D13:E14"/>
    <mergeCell ref="A15:C16"/>
    <mergeCell ref="D15:E16"/>
    <mergeCell ref="A17:C18"/>
    <mergeCell ref="D17:E18"/>
    <mergeCell ref="A30:C31"/>
    <mergeCell ref="D30:F31"/>
    <mergeCell ref="A32:C33"/>
    <mergeCell ref="D32:F33"/>
    <mergeCell ref="A19:C20"/>
    <mergeCell ref="D19:E20"/>
    <mergeCell ref="A23:F25"/>
    <mergeCell ref="A26:C27"/>
    <mergeCell ref="D26:F27"/>
    <mergeCell ref="A28:C29"/>
    <mergeCell ref="D28:F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1.75"/>
    <col customWidth="1" min="6" max="6" width="14.0"/>
    <col customWidth="1" min="8" max="8" width="16.63"/>
    <col customWidth="1" min="10" max="10" width="17.25"/>
    <col customWidth="1" min="11" max="11" width="17.75"/>
  </cols>
  <sheetData>
    <row r="2"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>
      <c r="B4" s="37"/>
      <c r="C4" s="37"/>
      <c r="I4" s="37"/>
      <c r="K4" s="37"/>
      <c r="L4" s="37"/>
      <c r="M4" s="37"/>
    </row>
    <row r="5">
      <c r="B5" s="37"/>
      <c r="C5" s="38" t="s">
        <v>30</v>
      </c>
      <c r="D5" s="39" t="s">
        <v>31</v>
      </c>
      <c r="E5" s="37"/>
      <c r="F5" s="39" t="s">
        <v>32</v>
      </c>
      <c r="H5" s="39" t="s">
        <v>33</v>
      </c>
      <c r="I5" s="37"/>
      <c r="J5" s="40"/>
      <c r="K5" s="37"/>
      <c r="L5" s="41"/>
      <c r="M5" s="37"/>
    </row>
    <row r="6">
      <c r="B6" s="37"/>
      <c r="C6" s="42" t="s">
        <v>34</v>
      </c>
      <c r="D6" s="43">
        <v>22373.0</v>
      </c>
      <c r="E6" s="37"/>
      <c r="F6" s="44">
        <v>465.0</v>
      </c>
      <c r="H6" s="44">
        <v>48.1</v>
      </c>
      <c r="I6" s="37"/>
      <c r="J6" s="45"/>
      <c r="K6" s="37"/>
      <c r="L6" s="37"/>
      <c r="M6" s="37"/>
    </row>
    <row r="7">
      <c r="B7" s="37"/>
      <c r="C7" s="42" t="s">
        <v>35</v>
      </c>
      <c r="D7" s="43">
        <v>26354.0</v>
      </c>
      <c r="E7" s="37"/>
      <c r="F7" s="44">
        <v>992.0</v>
      </c>
      <c r="H7" s="44">
        <v>26.6</v>
      </c>
      <c r="I7" s="37"/>
      <c r="J7" s="45"/>
      <c r="K7" s="37"/>
      <c r="L7" s="37"/>
      <c r="M7" s="37"/>
    </row>
    <row r="8">
      <c r="B8" s="37"/>
      <c r="C8" s="42" t="s">
        <v>36</v>
      </c>
      <c r="D8" s="43">
        <v>21363.0</v>
      </c>
      <c r="E8" s="37"/>
      <c r="F8" s="44">
        <v>296.0</v>
      </c>
      <c r="H8" s="44">
        <v>71.8</v>
      </c>
      <c r="I8" s="37"/>
      <c r="J8" s="45"/>
      <c r="K8" s="37"/>
      <c r="L8" s="37"/>
      <c r="M8" s="37"/>
    </row>
    <row r="9">
      <c r="B9" s="37"/>
      <c r="C9" s="42" t="s">
        <v>37</v>
      </c>
      <c r="D9" s="43">
        <v>29542.0</v>
      </c>
      <c r="E9" s="37"/>
      <c r="F9" s="46"/>
      <c r="H9" s="46"/>
      <c r="I9" s="37"/>
      <c r="J9" s="45"/>
      <c r="K9" s="37"/>
      <c r="L9" s="37"/>
      <c r="M9" s="37"/>
    </row>
    <row r="10">
      <c r="B10" s="37"/>
      <c r="C10" s="42" t="s">
        <v>38</v>
      </c>
      <c r="D10" s="43">
        <v>26283.0</v>
      </c>
      <c r="E10" s="37"/>
      <c r="F10" s="47">
        <v>572.6</v>
      </c>
      <c r="H10" s="44">
        <v>45.9</v>
      </c>
      <c r="I10" s="37"/>
      <c r="J10" s="45"/>
      <c r="K10" s="37"/>
      <c r="L10" s="37"/>
      <c r="M10" s="37"/>
    </row>
    <row r="11">
      <c r="B11" s="37"/>
      <c r="C11" s="42" t="s">
        <v>39</v>
      </c>
      <c r="D11" s="43">
        <v>13218.0</v>
      </c>
      <c r="E11" s="37"/>
      <c r="F11" s="47">
        <v>400.6</v>
      </c>
      <c r="H11" s="44">
        <v>33.0</v>
      </c>
      <c r="I11" s="37"/>
      <c r="J11" s="45"/>
      <c r="K11" s="37"/>
      <c r="L11" s="37"/>
      <c r="M11" s="37"/>
    </row>
    <row r="12">
      <c r="B12" s="37"/>
      <c r="C12" s="42" t="s">
        <v>40</v>
      </c>
      <c r="D12" s="43">
        <v>12218.0</v>
      </c>
      <c r="E12" s="37"/>
      <c r="F12" s="29">
        <v>335.7</v>
      </c>
      <c r="H12" s="44">
        <v>36.4</v>
      </c>
      <c r="I12" s="37"/>
      <c r="J12" s="45"/>
      <c r="K12" s="37"/>
      <c r="L12" s="37"/>
      <c r="M12" s="37"/>
    </row>
    <row r="13">
      <c r="B13" s="37"/>
      <c r="C13" s="42" t="s">
        <v>41</v>
      </c>
      <c r="D13" s="43">
        <v>5990.0</v>
      </c>
      <c r="E13" s="37"/>
      <c r="F13" s="47">
        <v>1361.4</v>
      </c>
      <c r="H13" s="44">
        <v>4.4</v>
      </c>
      <c r="I13" s="37"/>
      <c r="J13" s="45"/>
      <c r="K13" s="37"/>
      <c r="L13" s="37"/>
      <c r="M13" s="37"/>
    </row>
    <row r="14">
      <c r="B14" s="37"/>
      <c r="C14" s="42" t="s">
        <v>42</v>
      </c>
      <c r="D14" s="43">
        <v>5635.0</v>
      </c>
      <c r="E14" s="37"/>
      <c r="F14" s="47">
        <v>1657.4</v>
      </c>
      <c r="H14" s="44">
        <v>3.4</v>
      </c>
      <c r="I14" s="37"/>
      <c r="J14" s="45"/>
      <c r="K14" s="37"/>
      <c r="L14" s="37"/>
      <c r="M14" s="37"/>
    </row>
    <row r="15">
      <c r="B15" s="37"/>
      <c r="C15" s="42" t="s">
        <v>43</v>
      </c>
      <c r="D15" s="43">
        <v>13075.0</v>
      </c>
      <c r="E15" s="37"/>
      <c r="F15" s="47">
        <v>147.4</v>
      </c>
      <c r="H15" s="44">
        <v>88.7</v>
      </c>
      <c r="I15" s="37"/>
      <c r="J15" s="45"/>
      <c r="K15" s="37"/>
      <c r="L15" s="37"/>
      <c r="M15" s="37"/>
    </row>
    <row r="16">
      <c r="B16" s="37"/>
      <c r="C16" s="42" t="s">
        <v>44</v>
      </c>
      <c r="D16" s="43">
        <v>24498.0</v>
      </c>
      <c r="E16" s="37"/>
      <c r="F16" s="47">
        <v>276.2</v>
      </c>
      <c r="H16" s="44">
        <v>51.2</v>
      </c>
      <c r="I16" s="37"/>
      <c r="J16" s="45"/>
      <c r="K16" s="37"/>
      <c r="L16" s="37"/>
      <c r="M16" s="37"/>
    </row>
    <row r="17">
      <c r="B17" s="37"/>
      <c r="C17" s="42" t="s">
        <v>45</v>
      </c>
      <c r="D17" s="43">
        <v>17478.0</v>
      </c>
      <c r="E17" s="37"/>
      <c r="F17" s="47">
        <v>337.4</v>
      </c>
      <c r="H17" s="44">
        <v>51.8</v>
      </c>
      <c r="I17" s="37"/>
      <c r="J17" s="45"/>
      <c r="K17" s="37"/>
      <c r="L17" s="37"/>
      <c r="M17" s="37"/>
    </row>
    <row r="18">
      <c r="B18" s="37"/>
      <c r="C18" s="42" t="s">
        <v>46</v>
      </c>
      <c r="D18" s="43">
        <v>3457.0</v>
      </c>
      <c r="E18" s="37"/>
      <c r="F18" s="47">
        <v>-36.9</v>
      </c>
      <c r="H18" s="44">
        <v>-93.7</v>
      </c>
      <c r="I18" s="37"/>
      <c r="J18" s="45"/>
      <c r="K18" s="37"/>
      <c r="L18" s="37"/>
      <c r="M18" s="37"/>
    </row>
    <row r="19">
      <c r="B19" s="37"/>
      <c r="C19" s="42" t="s">
        <v>47</v>
      </c>
      <c r="D19" s="43">
        <v>15755.0</v>
      </c>
      <c r="E19" s="37"/>
      <c r="F19" s="47">
        <v>592.3</v>
      </c>
      <c r="H19" s="44">
        <v>26.6</v>
      </c>
      <c r="I19" s="37"/>
      <c r="J19" s="45"/>
      <c r="K19" s="37"/>
      <c r="L19" s="37"/>
      <c r="M19" s="37"/>
    </row>
    <row r="20">
      <c r="B20" s="37"/>
      <c r="C20" s="42" t="s">
        <v>48</v>
      </c>
      <c r="D20" s="43">
        <v>20064.0</v>
      </c>
      <c r="E20" s="37"/>
      <c r="F20" s="47">
        <v>357.7</v>
      </c>
      <c r="H20" s="44">
        <v>56.1</v>
      </c>
      <c r="I20" s="37"/>
      <c r="J20" s="45"/>
      <c r="K20" s="37"/>
      <c r="L20" s="37"/>
      <c r="M20" s="37"/>
    </row>
    <row r="21">
      <c r="B21" s="37"/>
      <c r="C21" s="42" t="s">
        <v>49</v>
      </c>
      <c r="D21" s="43">
        <v>15720.0</v>
      </c>
      <c r="E21" s="37"/>
      <c r="F21" s="47">
        <v>625.3</v>
      </c>
      <c r="H21" s="44">
        <v>24.1</v>
      </c>
      <c r="I21" s="37"/>
      <c r="J21" s="45"/>
      <c r="K21" s="37"/>
      <c r="L21" s="37"/>
      <c r="M21" s="37"/>
    </row>
    <row r="22">
      <c r="B22" s="37"/>
      <c r="C22" s="42" t="s">
        <v>50</v>
      </c>
      <c r="D22" s="43">
        <v>14355.0</v>
      </c>
      <c r="E22" s="37"/>
      <c r="F22" s="47">
        <v>696.9</v>
      </c>
      <c r="H22" s="44">
        <v>20.6</v>
      </c>
      <c r="I22" s="37"/>
      <c r="J22" s="45"/>
      <c r="K22" s="37"/>
      <c r="L22" s="37"/>
      <c r="M22" s="37"/>
    </row>
    <row r="23">
      <c r="B23" s="37"/>
      <c r="C23" s="37"/>
      <c r="D23" s="37"/>
      <c r="E23" s="37"/>
      <c r="F23" s="37"/>
      <c r="G23" s="37"/>
      <c r="H23" s="37"/>
      <c r="I23" s="37"/>
      <c r="K23" s="37"/>
      <c r="L23" s="37"/>
      <c r="M23" s="37"/>
    </row>
    <row r="24">
      <c r="B24" s="37"/>
      <c r="C24" s="48" t="s">
        <v>51</v>
      </c>
      <c r="D24" s="37"/>
      <c r="E24" s="37"/>
      <c r="F24" s="37"/>
      <c r="G24" s="48" t="s">
        <v>51</v>
      </c>
      <c r="H24" s="49">
        <v>30.94</v>
      </c>
      <c r="I24" s="37"/>
      <c r="K24" s="37"/>
      <c r="L24" s="37"/>
      <c r="M24" s="37"/>
    </row>
    <row r="25"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  <row r="26" ht="60.0" customHeight="1">
      <c r="B26" s="37"/>
      <c r="C26" s="37"/>
      <c r="D26" s="37"/>
      <c r="E26" s="37"/>
      <c r="F26" s="50" t="s">
        <v>52</v>
      </c>
      <c r="G26" s="37"/>
      <c r="H26" s="50" t="s">
        <v>53</v>
      </c>
    </row>
    <row r="27" ht="36.75" customHeight="1">
      <c r="B27" s="37"/>
      <c r="C27" s="37"/>
      <c r="D27" s="37"/>
      <c r="E27" s="37"/>
      <c r="G27" s="51">
        <v>0.0075</v>
      </c>
      <c r="I27" s="52">
        <v>0.0672</v>
      </c>
    </row>
    <row r="28">
      <c r="B28" s="37"/>
      <c r="C28" s="37"/>
      <c r="D28" s="37"/>
      <c r="E28" s="37"/>
      <c r="F28" s="37"/>
      <c r="G28" s="37"/>
      <c r="H28" s="37"/>
      <c r="I28" s="37"/>
      <c r="J28" s="53"/>
      <c r="K28" s="37"/>
      <c r="L28" s="37"/>
      <c r="M28" s="37"/>
    </row>
    <row r="29">
      <c r="B29" s="37"/>
      <c r="C29" s="37"/>
      <c r="D29" s="37"/>
      <c r="E29" s="37"/>
      <c r="F29" s="37"/>
      <c r="G29" s="37"/>
      <c r="H29" s="37"/>
      <c r="I29" s="37"/>
      <c r="K29" s="37"/>
      <c r="L29" s="37"/>
      <c r="M29" s="37"/>
    </row>
    <row r="30">
      <c r="D30" s="37"/>
      <c r="E30" s="37"/>
      <c r="F30" s="54" t="s">
        <v>54</v>
      </c>
      <c r="G30" s="55">
        <f>G27+I27</f>
        <v>0.0747</v>
      </c>
      <c r="H30" s="37"/>
      <c r="I30" s="37"/>
      <c r="J30" s="37"/>
      <c r="K30" s="37"/>
      <c r="L30" s="37"/>
      <c r="M30" s="37"/>
    </row>
    <row r="31"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</row>
    <row r="32"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</sheetData>
  <mergeCells count="3">
    <mergeCell ref="F26:F27"/>
    <mergeCell ref="H26:H27"/>
    <mergeCell ref="J28:J2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55</v>
      </c>
      <c r="B1" s="28" t="s">
        <v>56</v>
      </c>
      <c r="C1" s="28" t="s">
        <v>57</v>
      </c>
      <c r="D1" s="28" t="s">
        <v>58</v>
      </c>
      <c r="E1" s="28" t="s">
        <v>59</v>
      </c>
      <c r="F1" s="28" t="s">
        <v>60</v>
      </c>
    </row>
    <row r="2">
      <c r="A2" s="56">
        <v>45107.0</v>
      </c>
      <c r="B2" s="29">
        <v>1247.3</v>
      </c>
      <c r="C2" s="44">
        <v>465.0</v>
      </c>
      <c r="D2" s="29">
        <f> C2*(1-(1/((1+B3)^5)))/B3 + B2/((1+B3)^5)</f>
        <v>2752.867637</v>
      </c>
      <c r="E2" s="29">
        <v>0.02</v>
      </c>
      <c r="F2" s="6">
        <f>D2/E2</f>
        <v>137643.3819</v>
      </c>
      <c r="H2" s="57"/>
    </row>
    <row r="3">
      <c r="A3" s="58" t="s">
        <v>61</v>
      </c>
      <c r="B3" s="59">
        <v>0.0747</v>
      </c>
      <c r="C3" s="60"/>
      <c r="D3" s="61"/>
      <c r="E3" s="62"/>
      <c r="F3" s="63"/>
    </row>
    <row r="4">
      <c r="A4" s="64"/>
      <c r="B4" s="62"/>
      <c r="C4" s="60"/>
      <c r="D4" s="57"/>
      <c r="E4" s="62"/>
      <c r="F4" s="63"/>
    </row>
    <row r="5">
      <c r="A5" s="64"/>
      <c r="B5" s="62"/>
      <c r="C5" s="60"/>
      <c r="D5" s="57"/>
      <c r="E5" s="62"/>
      <c r="F5" s="63"/>
      <c r="I5" s="65"/>
    </row>
    <row r="6">
      <c r="A6" s="64"/>
      <c r="B6" s="62"/>
      <c r="C6" s="60"/>
      <c r="D6" s="66"/>
      <c r="E6" s="62"/>
      <c r="F6" s="63"/>
      <c r="I6" s="67"/>
    </row>
    <row r="7">
      <c r="I7" s="67"/>
    </row>
    <row r="8">
      <c r="I8" s="6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9.25"/>
  </cols>
  <sheetData>
    <row r="1" ht="26.25" customHeight="1">
      <c r="A1" s="69" t="s">
        <v>62</v>
      </c>
      <c r="D1" s="28"/>
      <c r="E1" s="28"/>
      <c r="F1" s="28"/>
      <c r="G1" s="28"/>
      <c r="H1" s="28"/>
      <c r="I1" s="28"/>
    </row>
    <row r="2" ht="26.25" customHeight="1">
      <c r="D2" s="28"/>
      <c r="E2" s="28"/>
      <c r="F2" s="28"/>
      <c r="G2" s="28"/>
      <c r="H2" s="28"/>
      <c r="I2" s="28"/>
    </row>
    <row r="3" ht="26.25" customHeight="1">
      <c r="A3" s="70" t="s">
        <v>63</v>
      </c>
      <c r="C3" s="71">
        <v>0.02</v>
      </c>
    </row>
    <row r="4" ht="26.25" customHeight="1">
      <c r="A4" s="70" t="s">
        <v>64</v>
      </c>
      <c r="C4" s="72">
        <f>1/(C3+1)</f>
        <v>0.9803921569</v>
      </c>
    </row>
    <row r="5" ht="26.25" customHeight="1">
      <c r="A5" s="70" t="s">
        <v>65</v>
      </c>
      <c r="C5" s="72">
        <f>1-C4</f>
        <v>0.01960784314</v>
      </c>
    </row>
    <row r="6" ht="26.25" customHeight="1">
      <c r="A6" s="70" t="s">
        <v>66</v>
      </c>
      <c r="C6" s="73">
        <v>0.3</v>
      </c>
    </row>
    <row r="7" ht="26.25" customHeight="1">
      <c r="A7" s="70" t="s">
        <v>67</v>
      </c>
      <c r="C7" s="73">
        <f>'Cost Of Debt'!G30</f>
        <v>0.0747</v>
      </c>
    </row>
    <row r="8" ht="26.25" customHeight="1">
      <c r="A8" s="70" t="s">
        <v>68</v>
      </c>
      <c r="C8" s="73">
        <f>'Cost Of Equity-Top Down Approac'!D79</f>
        <v>0.1227207867</v>
      </c>
    </row>
    <row r="9" ht="26.25" customHeight="1">
      <c r="A9" s="70" t="s">
        <v>69</v>
      </c>
      <c r="C9" s="74">
        <f>C8*C4+(C5*C7*(1-C6))</f>
        <v>0.1213397909</v>
      </c>
      <c r="D9" s="28"/>
      <c r="E9" s="28"/>
    </row>
    <row r="10" ht="26.25" customHeight="1"/>
    <row r="11" ht="26.25" customHeight="1"/>
    <row r="12" ht="26.25" customHeight="1"/>
    <row r="13" ht="26.25" customHeight="1">
      <c r="A13" s="69" t="s">
        <v>70</v>
      </c>
    </row>
    <row r="14" ht="26.25" customHeight="1"/>
    <row r="15" ht="26.25" customHeight="1">
      <c r="A15" s="70" t="s">
        <v>63</v>
      </c>
      <c r="C15" s="71">
        <v>0.02</v>
      </c>
    </row>
    <row r="16" ht="26.25" customHeight="1">
      <c r="A16" s="70" t="s">
        <v>64</v>
      </c>
      <c r="C16" s="72">
        <f>1/(C15+1)</f>
        <v>0.9803921569</v>
      </c>
    </row>
    <row r="17" ht="26.25" customHeight="1">
      <c r="A17" s="70" t="s">
        <v>65</v>
      </c>
      <c r="C17" s="72">
        <f>1-C16</f>
        <v>0.01960784314</v>
      </c>
    </row>
    <row r="18" ht="26.25" customHeight="1">
      <c r="A18" s="70" t="s">
        <v>66</v>
      </c>
      <c r="C18" s="73">
        <v>0.3</v>
      </c>
    </row>
    <row r="19" ht="26.25" customHeight="1">
      <c r="A19" s="70" t="s">
        <v>67</v>
      </c>
      <c r="C19" s="73">
        <f>'Cost Of Debt'!G30</f>
        <v>0.0747</v>
      </c>
    </row>
    <row r="20" ht="26.25" customHeight="1">
      <c r="A20" s="70" t="s">
        <v>68</v>
      </c>
      <c r="C20" s="73">
        <f>'Cost Of Equity-Bottom Up Approa'!D32</f>
        <v>0.1261705304</v>
      </c>
    </row>
    <row r="21" ht="26.25" customHeight="1">
      <c r="A21" s="70" t="s">
        <v>69</v>
      </c>
      <c r="C21" s="74">
        <f>C20*C16+(C17*C19*(1-C18))</f>
        <v>0.1247218925</v>
      </c>
    </row>
  </sheetData>
  <mergeCells count="17">
    <mergeCell ref="A1:C2"/>
    <mergeCell ref="A3:B3"/>
    <mergeCell ref="G3:H3"/>
    <mergeCell ref="A4:B4"/>
    <mergeCell ref="A5:B5"/>
    <mergeCell ref="A6:B6"/>
    <mergeCell ref="A7:B7"/>
    <mergeCell ref="A19:B19"/>
    <mergeCell ref="A20:B20"/>
    <mergeCell ref="A21:B21"/>
    <mergeCell ref="A8:B8"/>
    <mergeCell ref="A9:B9"/>
    <mergeCell ref="A13:C14"/>
    <mergeCell ref="A15:B15"/>
    <mergeCell ref="A16:B16"/>
    <mergeCell ref="A17:B17"/>
    <mergeCell ref="A18:B18"/>
  </mergeCells>
  <drawing r:id="rId1"/>
</worksheet>
</file>