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 ini" sheetId="1" state="visible" r:id="rId3"/>
    <sheet name="calcul" sheetId="2" state="visible" r:id="rId4"/>
    <sheet name="BPH" sheetId="3" state="visible" r:id="rId5"/>
    <sheet name="fiel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<sst xmlns="http://schemas.openxmlformats.org/spreadsheetml/2006/main" count="46" uniqueCount="40">
  <si>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info initial</t>
  </si>
  <si>
    <t xml:space="preserve">normal</t>
  </si>
  <si>
    <t xml:space="preserve">pest</t>
  </si>
  <si>
    <t xml:space="preserve">parasitoids</t>
  </si>
  <si>
    <t xml:space="preserve">predators</t>
  </si>
  <si>
    <t xml:space="preserve">reproduction rate</t>
  </si>
  <si>
    <t xml:space="preserve">reproduction rate after pesticide</t>
  </si>
  <si>
    <t xml:space="preserve">consumption rate</t>
  </si>
  <si>
    <t xml:space="preserve">survival pesticides</t>
  </si>
  <si>
    <t xml:space="preserve">resistance </t>
  </si>
  <si>
    <t xml:space="preserve">reproduction</t>
  </si>
  <si>
    <t xml:space="preserve">Cycle 1</t>
  </si>
  <si>
    <t xml:space="preserve">Pest- total</t>
  </si>
  <si>
    <t xml:space="preserve">Pest resistant</t>
  </si>
  <si>
    <t xml:space="preserve">Pest non-restistant</t>
  </si>
  <si>
    <t xml:space="preserve">potential parasitoid</t>
  </si>
  <si>
    <t xml:space="preserve">Parasitoids</t>
  </si>
  <si>
    <t xml:space="preserve">Potential pest eaten by parasitoids</t>
  </si>
  <si>
    <t xml:space="preserve">potential predator</t>
  </si>
  <si>
    <t xml:space="preserve">Predators</t>
  </si>
  <si>
    <t xml:space="preserve">potential pests eaten by predators</t>
  </si>
  <si>
    <t xml:space="preserve">total potential pest eaten</t>
  </si>
  <si>
    <t xml:space="preserve">total  Pest eaten</t>
  </si>
  <si>
    <t xml:space="preserve">predation rate</t>
  </si>
  <si>
    <t xml:space="preserve">Field cases</t>
  </si>
  <si>
    <t xml:space="preserve">Dynamic yield</t>
  </si>
  <si>
    <t xml:space="preserve">Potential Yield</t>
  </si>
  <si>
    <t xml:space="preserve">Real Yield (tons)</t>
  </si>
  <si>
    <t xml:space="preserve">Treatment</t>
  </si>
  <si>
    <t xml:space="preserve">max dynamic yield</t>
  </si>
  <si>
    <t xml:space="preserve">TOTAL TREATMENT</t>
  </si>
  <si>
    <t xml:space="preserve">week</t>
  </si>
  <si>
    <t xml:space="preserve">sticky notes you need to remove</t>
  </si>
  <si>
    <t xml:space="preserve">pesticide spray (0/1)</t>
  </si>
  <si>
    <t xml:space="preserve">Sticky notes total (field size*3)</t>
  </si>
  <si>
    <t xml:space="preserve">week 2: brown plant hopper have arrived. You remove 13 sticky notes and decide if you want to do a pesticide treatment</t>
  </si>
  <si>
    <t xml:space="preserve">HARVEST</t>
  </si>
  <si>
    <t xml:space="preserve">sticky notes remaining: </t>
  </si>
  <si>
    <t xml:space="preserve">Final yield (t/ha):</t>
  </si>
  <si>
    <t xml:space="preserve">TOTAL YIELD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</si>
</sst>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0.00"/>
    <numFmt numFmtId="168" formatCode="_-* #,##0.00_-;\-* #,##0.00_-;_-* \-??_-;_-@_-"/>
    <numFmt numFmtId="169" formatCode="_-* #,##0_-;\-* #,##0_-;_-* \-??_-;_-@_-"/>
    <numFmt numFmtId="170" formatCode="0.00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theme="4"/>
      <name val="Calibri"/>
      <family val="2"/>
      <charset val="1"/>
    </font>
    <font>
      <sz val="16"/>
      <color rgb="FF595959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color theme="1"/>
      <name val="Calibri"/>
      <family val="2"/>
      <charset val="1"/>
    </font>
    <font>
      <sz val="9"/>
      <color rgb="FF5959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"/>
        <bgColor rgb="FFD9D9D9"/>
      </patternFill>
    </fill>
    <fill>
      <patternFill patternType="solid">
        <fgColor theme="7" tint="0.7999"/>
        <bgColor rgb="FFFFFFFF"/>
      </patternFill>
    </fill>
    <fill>
      <patternFill patternType="solid">
        <fgColor rgb="FF00B0F0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theme="8" tint="0.5999"/>
        </patternFill>
      </fill>
    </dxf>
    <dxf>
      <font>
        <color rgb="FFBDD7EE"/>
      </font>
    </dxf>
    <dxf>
      <font>
        <color rgb="FFFFFFFF"/>
      </font>
    </dxf>
    <dxf>
      <font>
        <color rgb="FFFF99FF"/>
      </font>
    </dxf>
    <dxf>
      <font>
        <color rgb="FF70AD47"/>
      </font>
    </dxf>
    <dxf>
      <fill>
        <patternFill>
          <bgColor rgb="FFFF99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B8B8B"/>
      <rgbColor rgb="FF5B9BD5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FF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35168327035383"/>
          <c:y val="0.0439943554411887"/>
          <c:w val="0.915836482308485"/>
          <c:h val="0.77778700091309"/>
        </c:manualLayout>
      </c:layout>
      <c:lineChart>
        <c:grouping val="standard"/>
        <c:varyColors val="0"/>
        <c:ser>
          <c:idx val="0"/>
          <c:order val="0"/>
          <c:tx>
            <c:strRef>
              <c:f>calcul!$B$1</c:f>
              <c:strCache>
                <c:ptCount val="1"/>
                <c:pt idx="0">
                  <c:v>Pest- total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calcul!$B$2:$B$14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110.338014971209</c:v>
                </c:pt>
                <c:pt idx="4">
                  <c:v>118.168427712176</c:v>
                </c:pt>
                <c:pt idx="5">
                  <c:v>121.359710311417</c:v>
                </c:pt>
                <c:pt idx="6">
                  <c:v>116.755175091851</c:v>
                </c:pt>
                <c:pt idx="7">
                  <c:v>99.7500177775418</c:v>
                </c:pt>
                <c:pt idx="8">
                  <c:v>31.5791331003943</c:v>
                </c:pt>
                <c:pt idx="9">
                  <c:v>17.7296775505161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calcul!$F$1</c:f>
              <c:strCache>
                <c:ptCount val="1"/>
                <c:pt idx="0">
                  <c:v>Parasitoids</c:v>
                </c:pt>
              </c:strCache>
            </c:strRef>
          </c:tx>
          <c:spPr>
            <a:solidFill>
              <a:srgbClr val="70ad47"/>
            </a:solidFill>
            <a:ln cap="rnd" w="2844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calcul!$F$2:$F$14</c:f>
              <c:numCache>
                <c:formatCode>0</c:formatCode>
                <c:ptCount val="1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15</c:v>
                </c:pt>
                <c:pt idx="4">
                  <c:v>18.75</c:v>
                </c:pt>
                <c:pt idx="5">
                  <c:v>23.4375</c:v>
                </c:pt>
                <c:pt idx="6">
                  <c:v>29.296875</c:v>
                </c:pt>
                <c:pt idx="7">
                  <c:v>36.62109375</c:v>
                </c:pt>
                <c:pt idx="8">
                  <c:v>13.73291015625</c:v>
                </c:pt>
                <c:pt idx="9">
                  <c:v>17.1661376953125</c:v>
                </c:pt>
                <c:pt idx="10">
                  <c:v>19.6467814816582</c:v>
                </c:pt>
                <c:pt idx="11">
                  <c:v>6.32014817640527</c:v>
                </c:pt>
                <c:pt idx="12">
                  <c:v>2.23258164550057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calcul!$I$1</c:f>
              <c:strCache>
                <c:ptCount val="1"/>
                <c:pt idx="0">
                  <c:v>Predators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calcul!$I$2:$I$14</c:f>
              <c:numCache>
                <c:formatCode>0</c:formatCode>
                <c:ptCount val="13"/>
                <c:pt idx="0">
                  <c:v>4</c:v>
                </c:pt>
                <c:pt idx="1">
                  <c:v>4.4</c:v>
                </c:pt>
                <c:pt idx="2">
                  <c:v>4.84</c:v>
                </c:pt>
                <c:pt idx="3">
                  <c:v>5.324</c:v>
                </c:pt>
                <c:pt idx="4">
                  <c:v>5.8564</c:v>
                </c:pt>
                <c:pt idx="5">
                  <c:v>6.44204</c:v>
                </c:pt>
                <c:pt idx="6">
                  <c:v>7.086244</c:v>
                </c:pt>
                <c:pt idx="7">
                  <c:v>7.79486840000001</c:v>
                </c:pt>
                <c:pt idx="8">
                  <c:v>4.28717762</c:v>
                </c:pt>
                <c:pt idx="9">
                  <c:v>4.715895382</c:v>
                </c:pt>
                <c:pt idx="10">
                  <c:v>5.18748492020001</c:v>
                </c:pt>
                <c:pt idx="11">
                  <c:v>2.85311670611</c:v>
                </c:pt>
                <c:pt idx="12">
                  <c:v>1.5692141883605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0387837"/>
        <c:axId val="18471408"/>
      </c:lineChart>
      <c:lineChart>
        <c:grouping val="standard"/>
        <c:varyColors val="0"/>
        <c:ser>
          <c:idx val="3"/>
          <c:order val="3"/>
          <c:tx>
            <c:strRef>
              <c:f>"treatment"</c:f>
              <c:strCache>
                <c:ptCount val="1"/>
                <c:pt idx="0">
                  <c:v>treatment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square"/>
            <c:size val="5"/>
            <c:spPr>
              <a:noFill/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calcul!$R$2:$R$14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5169437"/>
        <c:axId val="67726273"/>
      </c:lineChart>
      <c:catAx>
        <c:axId val="403878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8471408"/>
        <c:crosses val="autoZero"/>
        <c:auto val="1"/>
        <c:lblAlgn val="ctr"/>
        <c:lblOffset val="100"/>
        <c:noMultiLvlLbl val="0"/>
      </c:catAx>
      <c:valAx>
        <c:axId val="18471408"/>
        <c:scaling>
          <c:orientation val="minMax"/>
          <c:max val="3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6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0387837"/>
        <c:crosses val="autoZero"/>
        <c:crossBetween val="between"/>
      </c:valAx>
      <c:catAx>
        <c:axId val="1516943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67726273"/>
        <c:auto val="1"/>
        <c:lblAlgn val="ctr"/>
        <c:lblOffset val="100"/>
        <c:noMultiLvlLbl val="0"/>
      </c:catAx>
      <c:valAx>
        <c:axId val="67726273"/>
        <c:scaling>
          <c:orientation val="minMax"/>
          <c:max val="2.5"/>
          <c:min val="0.1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15169437"/>
        <c:crosses val="max"/>
        <c:crossBetween val="between"/>
        <c:majorUnit val="2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6619695947287"/>
          <c:y val="0.0369484129776902"/>
          <c:w val="0.883181836224348"/>
          <c:h val="0.808009008374974"/>
        </c:manualLayout>
      </c:layout>
      <c:lineChart>
        <c:grouping val="standard"/>
        <c:varyColors val="0"/>
        <c:ser>
          <c:idx val="0"/>
          <c:order val="0"/>
          <c:tx>
            <c:strRef>
              <c:f>calcul!$Q$1</c:f>
              <c:strCache>
                <c:ptCount val="1"/>
                <c:pt idx="0">
                  <c:v>Real Yield (tons)</c:v>
                </c:pt>
              </c:strCache>
            </c:strRef>
          </c:tx>
          <c:spPr>
            <a:solidFill>
              <a:srgbClr val="264478"/>
            </a:solidFill>
            <a:ln cap="rnd" w="2844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calcul!$Q$2:$Q$14</c:f>
              <c:numCache>
                <c:formatCode>_-* #,##0.00_-;\-* #,##0.00_-;_-* \-??_-;_-@_-</c:formatCode>
                <c:ptCount val="13"/>
                <c:pt idx="0">
                  <c:v>0</c:v>
                </c:pt>
                <c:pt idx="1">
                  <c:v>0.151515151515152</c:v>
                </c:pt>
                <c:pt idx="2">
                  <c:v>0.282828282828283</c:v>
                </c:pt>
                <c:pt idx="3">
                  <c:v>0.390806662129937</c:v>
                </c:pt>
                <c:pt idx="4">
                  <c:v>0.473330730228935</c:v>
                </c:pt>
                <c:pt idx="5">
                  <c:v>0.530370629800604</c:v>
                </c:pt>
                <c:pt idx="6">
                  <c:v>0.565684043583844</c:v>
                </c:pt>
                <c:pt idx="7">
                  <c:v>0.589434401914201</c:v>
                </c:pt>
                <c:pt idx="8">
                  <c:v>0.648120825079113</c:v>
                </c:pt>
                <c:pt idx="9">
                  <c:v>0.713018039531713</c:v>
                </c:pt>
                <c:pt idx="10">
                  <c:v>0.782141256045338</c:v>
                </c:pt>
                <c:pt idx="11">
                  <c:v>0.849244270538761</c:v>
                </c:pt>
                <c:pt idx="12">
                  <c:v>0.83813315942765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"max yield"</c:f>
              <c:strCache>
                <c:ptCount val="1"/>
                <c:pt idx="0">
                  <c:v>max yield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calcul!$A$2:$A$14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calcul!$T$2:$T$14</c:f>
              <c:numCache>
                <c:formatCode>General</c:formatCode>
                <c:ptCount val="13"/>
                <c:pt idx="0">
                  <c:v>0</c:v>
                </c:pt>
                <c:pt idx="1">
                  <c:v>0.454545454545455</c:v>
                </c:pt>
                <c:pt idx="2">
                  <c:v>0.909090909090909</c:v>
                </c:pt>
                <c:pt idx="3">
                  <c:v>1.36363636363636</c:v>
                </c:pt>
                <c:pt idx="4">
                  <c:v>1.81818181818182</c:v>
                </c:pt>
                <c:pt idx="5">
                  <c:v>2.27272727272727</c:v>
                </c:pt>
                <c:pt idx="6">
                  <c:v>2.72727272727273</c:v>
                </c:pt>
                <c:pt idx="7">
                  <c:v>3.18181818181818</c:v>
                </c:pt>
                <c:pt idx="8">
                  <c:v>3.63636363636364</c:v>
                </c:pt>
                <c:pt idx="9">
                  <c:v>4.09090909090909</c:v>
                </c:pt>
                <c:pt idx="10">
                  <c:v>4.54545454545455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4448202"/>
        <c:axId val="17286583"/>
      </c:lineChart>
      <c:catAx>
        <c:axId val="344482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6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7286583"/>
        <c:crosses val="autoZero"/>
        <c:auto val="1"/>
        <c:lblAlgn val="ctr"/>
        <c:lblOffset val="100"/>
        <c:noMultiLvlLbl val="0"/>
      </c:catAx>
      <c:valAx>
        <c:axId val="172865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_-* #,##0.00_-;\-* #,##0.00_-;_-* \-??_-;_-@_-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6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444820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6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264478"/>
            </a:solidFill>
            <a:ln cap="rnd" w="2844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1858453"/>
        <c:axId val="17536896"/>
      </c:lineChart>
      <c:catAx>
        <c:axId val="518584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7536896"/>
        <c:crosses val="autoZero"/>
        <c:auto val="1"/>
        <c:lblAlgn val="ctr"/>
        <c:lblOffset val="100"/>
        <c:noMultiLvlLbl val="0"/>
      </c:catAx>
      <c:valAx>
        <c:axId val="175368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5185845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604080</xdr:colOff>
      <xdr:row>0</xdr:row>
      <xdr:rowOff>317520</xdr:rowOff>
    </xdr:from>
    <xdr:to>
      <xdr:col>32</xdr:col>
      <xdr:colOff>67320</xdr:colOff>
      <xdr:row>22</xdr:row>
      <xdr:rowOff>72720</xdr:rowOff>
    </xdr:to>
    <xdr:graphicFrame>
      <xdr:nvGraphicFramePr>
        <xdr:cNvPr id="0" name="Graphique 1"/>
        <xdr:cNvGraphicFramePr/>
      </xdr:nvGraphicFramePr>
      <xdr:xfrm>
        <a:off x="20975400" y="317520"/>
        <a:ext cx="8383320" cy="433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756720</xdr:colOff>
      <xdr:row>23</xdr:row>
      <xdr:rowOff>49320</xdr:rowOff>
    </xdr:from>
    <xdr:to>
      <xdr:col>32</xdr:col>
      <xdr:colOff>95040</xdr:colOff>
      <xdr:row>50</xdr:row>
      <xdr:rowOff>20880</xdr:rowOff>
    </xdr:to>
    <xdr:graphicFrame>
      <xdr:nvGraphicFramePr>
        <xdr:cNvPr id="1" name="Graphique 3"/>
        <xdr:cNvGraphicFramePr/>
      </xdr:nvGraphicFramePr>
      <xdr:xfrm>
        <a:off x="20317320" y="4821480"/>
        <a:ext cx="9069120" cy="511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156240</xdr:colOff>
      <xdr:row>0</xdr:row>
      <xdr:rowOff>163800</xdr:rowOff>
    </xdr:from>
    <xdr:to>
      <xdr:col>29</xdr:col>
      <xdr:colOff>40320</xdr:colOff>
      <xdr:row>10</xdr:row>
      <xdr:rowOff>43920</xdr:rowOff>
    </xdr:to>
    <xdr:graphicFrame>
      <xdr:nvGraphicFramePr>
        <xdr:cNvPr id="2" name="Graphique 1"/>
        <xdr:cNvGraphicFramePr/>
      </xdr:nvGraphicFramePr>
      <xdr:xfrm>
        <a:off x="14086080" y="163800"/>
        <a:ext cx="5914080" cy="47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21</xdr:col>
      <xdr:colOff>685800</xdr:colOff>
      <xdr:row>0</xdr:row>
      <xdr:rowOff>257040</xdr:rowOff>
    </xdr:from>
    <xdr:to>
      <xdr:col>29</xdr:col>
      <xdr:colOff>146880</xdr:colOff>
      <xdr:row>9</xdr:row>
      <xdr:rowOff>341280</xdr:rowOff>
    </xdr:to>
    <xdr:sp>
      <xdr:nvSpPr>
        <xdr:cNvPr id="3" name="Rectangle 2"/>
        <xdr:cNvSpPr/>
      </xdr:nvSpPr>
      <xdr:spPr>
        <a:xfrm>
          <a:off x="14615640" y="257040"/>
          <a:ext cx="5491080" cy="4456080"/>
        </a:xfrm>
        <a:prstGeom prst="rect">
          <a:avLst/>
        </a:prstGeom>
        <a:solidFill>
          <a:srgbClr val="ffffff"/>
        </a:solidFill>
        <a:ln w="12700">
          <a:solidFill>
            <a:srgbClr val="ffffff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6953125" defaultRowHeight="15" customHeight="true" zeroHeight="false" outlineLevelRow="0" outlineLevelCol="0"/>
  <cols>
    <col collapsed="false" customWidth="true" hidden="false" outlineLevel="0" max="1" min="1" style="1" width="30.33"/>
    <col collapsed="false" customWidth="true" hidden="false" outlineLevel="0" max="2" min="2" style="1" width="5.16"/>
    <col collapsed="false" customWidth="true" hidden="false" outlineLevel="0" max="3" min="3" style="1" width="15.51"/>
    <col collapsed="false" customWidth="true" hidden="false" outlineLevel="0" max="4" min="4" style="1" width="9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</row>
    <row r="4" customFormat="false" ht="15" hidden="false" customHeight="false" outlineLevel="0" collapsed="false">
      <c r="A4" s="5" t="s">
        <v>5</v>
      </c>
      <c r="B4" s="6" t="n">
        <f aca="false">2*7/10.42</f>
        <v>1.34357005758157</v>
      </c>
      <c r="C4" s="6" t="n">
        <v>1.25</v>
      </c>
      <c r="D4" s="6" t="n">
        <v>1.1</v>
      </c>
    </row>
    <row r="5" customFormat="false" ht="15" hidden="false" customHeight="false" outlineLevel="0" collapsed="false">
      <c r="A5" s="5" t="s">
        <v>6</v>
      </c>
      <c r="B5" s="6" t="n">
        <v>1.6</v>
      </c>
      <c r="C5" s="6"/>
      <c r="D5" s="6"/>
    </row>
    <row r="6" customFormat="false" ht="15" hidden="false" customHeight="false" outlineLevel="0" collapsed="false">
      <c r="A6" s="5" t="s">
        <v>7</v>
      </c>
      <c r="B6" s="6" t="n">
        <v>0.8</v>
      </c>
      <c r="C6" s="7" t="n">
        <v>1.1</v>
      </c>
      <c r="D6" s="7" t="n">
        <v>2.5</v>
      </c>
    </row>
    <row r="7" customFormat="false" ht="15" hidden="false" customHeight="false" outlineLevel="0" collapsed="false">
      <c r="A7" s="8" t="s">
        <v>8</v>
      </c>
      <c r="B7" s="9" t="n">
        <v>0.3</v>
      </c>
      <c r="C7" s="9" t="n">
        <v>0.3</v>
      </c>
      <c r="D7" s="9" t="n">
        <v>0.5</v>
      </c>
    </row>
    <row r="10" s="10" customFormat="true" ht="15" hidden="false" customHeight="false" outlineLevel="0" collapsed="false">
      <c r="A10" s="3" t="s">
        <v>9</v>
      </c>
      <c r="B10" s="4" t="s">
        <v>2</v>
      </c>
      <c r="C10" s="4" t="s">
        <v>3</v>
      </c>
      <c r="D10" s="4" t="s">
        <v>4</v>
      </c>
    </row>
    <row r="11" customFormat="false" ht="15" hidden="false" customHeight="false" outlineLevel="0" collapsed="false">
      <c r="A11" s="5" t="s">
        <v>10</v>
      </c>
      <c r="B11" s="6" t="n">
        <v>1.34</v>
      </c>
      <c r="C11" s="6" t="n">
        <v>1.25</v>
      </c>
      <c r="D11" s="6" t="n">
        <v>1.1</v>
      </c>
    </row>
    <row r="12" customFormat="false" ht="15" hidden="false" customHeight="false" outlineLevel="0" collapsed="false">
      <c r="A12" s="5" t="s">
        <v>6</v>
      </c>
      <c r="B12" s="6" t="n">
        <v>1.8</v>
      </c>
      <c r="C12" s="6"/>
      <c r="D12" s="6"/>
    </row>
    <row r="13" customFormat="false" ht="15" hidden="false" customHeight="false" outlineLevel="0" collapsed="false">
      <c r="A13" s="5" t="s">
        <v>7</v>
      </c>
      <c r="B13" s="6" t="n">
        <v>0.8</v>
      </c>
      <c r="C13" s="7" t="n">
        <v>1.1</v>
      </c>
      <c r="D13" s="7" t="n">
        <v>2.5</v>
      </c>
    </row>
    <row r="14" customFormat="false" ht="15" hidden="false" customHeight="false" outlineLevel="0" collapsed="false">
      <c r="A14" s="8" t="s">
        <v>8</v>
      </c>
      <c r="B14" s="9" t="n">
        <v>1</v>
      </c>
      <c r="C14" s="9" t="n">
        <v>0.4</v>
      </c>
      <c r="D14" s="9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C5" activeCellId="0" sqref="C5"/>
    </sheetView>
  </sheetViews>
  <sheetFormatPr defaultColWidth="11.5078125" defaultRowHeight="15" customHeight="true" zeroHeight="false" outlineLevelRow="0" outlineLevelCol="0"/>
  <cols>
    <col collapsed="false" customWidth="false" hidden="false" outlineLevel="0" max="1" min="1" style="11" width="11.5"/>
    <col collapsed="false" customWidth="true" hidden="false" outlineLevel="0" max="4" min="2" style="11" width="12"/>
    <col collapsed="false" customWidth="true" hidden="false" outlineLevel="0" max="5" min="5" style="11" width="14.83"/>
    <col collapsed="false" customWidth="true" hidden="false" outlineLevel="0" max="7" min="6" style="11" width="16.33"/>
    <col collapsed="false" customWidth="true" hidden="false" outlineLevel="0" max="8" min="8" style="11" width="14.83"/>
    <col collapsed="false" customWidth="true" hidden="false" outlineLevel="0" max="9" min="9" style="11" width="12.83"/>
    <col collapsed="false" customWidth="true" hidden="false" outlineLevel="0" max="11" min="10" style="11" width="16.5"/>
    <col collapsed="false" customWidth="false" hidden="false" outlineLevel="0" max="12" min="12" style="11" width="11.5"/>
    <col collapsed="false" customWidth="true" hidden="false" outlineLevel="0" max="13" min="13" style="11" width="15.83"/>
    <col collapsed="false" customWidth="false" hidden="false" outlineLevel="0" max="14" min="14" style="11" width="11.5"/>
    <col collapsed="false" customWidth="true" hidden="false" outlineLevel="0" max="15" min="15" style="11" width="17.5"/>
    <col collapsed="false" customWidth="true" hidden="false" outlineLevel="0" max="16" min="16" style="11" width="13"/>
    <col collapsed="false" customWidth="true" hidden="false" outlineLevel="0" max="17" min="17" style="11" width="15.83"/>
    <col collapsed="false" customWidth="true" hidden="false" outlineLevel="0" max="18" min="18" style="11" width="13.67"/>
    <col collapsed="false" customWidth="false" hidden="false" outlineLevel="0" max="16384" min="19" style="11" width="11.5"/>
  </cols>
  <sheetData>
    <row r="1" s="12" customFormat="true" ht="36.15" hidden="false" customHeight="false" outlineLevel="0" collapsed="false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3" t="s">
        <v>16</v>
      </c>
      <c r="G1" s="12" t="s">
        <v>17</v>
      </c>
      <c r="H1" s="12" t="s">
        <v>18</v>
      </c>
      <c r="I1" s="13" t="s">
        <v>19</v>
      </c>
      <c r="J1" s="12" t="s">
        <v>20</v>
      </c>
      <c r="K1" s="12" t="s">
        <v>21</v>
      </c>
      <c r="L1" s="13" t="s">
        <v>22</v>
      </c>
      <c r="M1" s="12" t="s">
        <v>23</v>
      </c>
      <c r="N1" s="12" t="s">
        <v>24</v>
      </c>
      <c r="O1" s="14" t="s">
        <v>25</v>
      </c>
      <c r="P1" s="12" t="s">
        <v>26</v>
      </c>
      <c r="Q1" s="12" t="s">
        <v>27</v>
      </c>
      <c r="R1" s="15" t="s">
        <v>28</v>
      </c>
      <c r="T1" s="12" t="s">
        <v>29</v>
      </c>
    </row>
    <row r="2" customFormat="false" ht="15" hidden="false" customHeight="false" outlineLevel="0" collapsed="false">
      <c r="A2" s="11" t="n">
        <v>0</v>
      </c>
      <c r="B2" s="16" t="n">
        <f aca="false">C2+D2</f>
        <v>0</v>
      </c>
      <c r="C2" s="17" t="n">
        <v>0</v>
      </c>
      <c r="D2" s="16" t="n">
        <v>0</v>
      </c>
      <c r="E2" s="16" t="n">
        <f aca="false">F2</f>
        <v>12</v>
      </c>
      <c r="F2" s="18" t="n">
        <v>12</v>
      </c>
      <c r="G2" s="16" t="n">
        <f aca="false">F2*'info ini'!$C$6</f>
        <v>13.2</v>
      </c>
      <c r="H2" s="16" t="n">
        <f aca="false">I2</f>
        <v>4</v>
      </c>
      <c r="I2" s="18" t="n">
        <v>4</v>
      </c>
      <c r="J2" s="16" t="n">
        <f aca="false">'info ini'!$D$6*I2</f>
        <v>10</v>
      </c>
      <c r="K2" s="16" t="n">
        <f aca="false">J2+G2</f>
        <v>23.2</v>
      </c>
      <c r="L2" s="18" t="n">
        <f aca="false">IF((G2+J2)&lt;B2,(G2+J2),B2)</f>
        <v>0</v>
      </c>
      <c r="M2" s="19" t="n">
        <f aca="false">IF(B2=0,0,L2/B2)</f>
        <v>0</v>
      </c>
      <c r="N2" s="20" t="n">
        <f aca="false">100</f>
        <v>100</v>
      </c>
      <c r="O2" s="19" t="n">
        <v>0</v>
      </c>
      <c r="P2" s="21" t="n">
        <f aca="false">N2/300</f>
        <v>0.333333333333333</v>
      </c>
      <c r="Q2" s="21" t="n">
        <f aca="false">N2*O2*5/(100*300)</f>
        <v>0</v>
      </c>
      <c r="R2" s="11" t="n">
        <f aca="false">BPH!C2</f>
        <v>0</v>
      </c>
      <c r="T2" s="11" t="n">
        <f aca="false">5*O2/100</f>
        <v>0</v>
      </c>
    </row>
    <row r="3" customFormat="false" ht="15" hidden="false" customHeight="false" outlineLevel="0" collapsed="false">
      <c r="A3" s="11" t="n">
        <v>1</v>
      </c>
      <c r="B3" s="16" t="n">
        <f aca="false">C3+D3</f>
        <v>0</v>
      </c>
      <c r="C3" s="17" t="n">
        <v>0</v>
      </c>
      <c r="D3" s="16" t="n">
        <v>0</v>
      </c>
      <c r="E3" s="16" t="n">
        <f aca="false">F2*'info ini'!C$4</f>
        <v>15</v>
      </c>
      <c r="F3" s="18" t="n">
        <f aca="false">IF(R2=1,'info ini'!$C$7,1)*F2*IF(K2=L2,'info ini'!$C$4,(('info ini'!$C$4-1)*L2/K2)+1)</f>
        <v>12</v>
      </c>
      <c r="G3" s="16" t="n">
        <f aca="false">F3*'info ini'!$C$6</f>
        <v>13.2</v>
      </c>
      <c r="H3" s="16" t="n">
        <f aca="false">I2*'info ini'!D$4</f>
        <v>4.4</v>
      </c>
      <c r="I3" s="18" t="n">
        <f aca="false">IF(R2=1,'info ini'!$D$7,1)*I2*'info ini'!$D$4</f>
        <v>4.4</v>
      </c>
      <c r="J3" s="16" t="n">
        <f aca="false">I3*'info ini'!$D$6</f>
        <v>11</v>
      </c>
      <c r="K3" s="16" t="n">
        <f aca="false">J3+G3</f>
        <v>24.2</v>
      </c>
      <c r="L3" s="18" t="n">
        <f aca="false">IF((G3+J3)&lt;B3,(G3+J3),B3)</f>
        <v>0</v>
      </c>
      <c r="M3" s="19" t="n">
        <f aca="false">IF(B3=0,0,L3/B3)</f>
        <v>0</v>
      </c>
      <c r="N3" s="16" t="n">
        <f aca="false">IF((N2-(B3/15))&gt;0,N2-(B3/15),0)</f>
        <v>100</v>
      </c>
      <c r="O3" s="19" t="n">
        <f aca="false">A3*100/11</f>
        <v>9.09090909090909</v>
      </c>
      <c r="P3" s="19" t="n">
        <f aca="false">N3/300</f>
        <v>0.333333333333333</v>
      </c>
      <c r="Q3" s="19" t="n">
        <f aca="false">N3*O3*5/(100*300)</f>
        <v>0.151515151515152</v>
      </c>
      <c r="R3" s="11" t="n">
        <f aca="false">BPH!C3</f>
        <v>0</v>
      </c>
      <c r="S3" s="16"/>
      <c r="T3" s="11" t="n">
        <f aca="false">5*O3/100</f>
        <v>0.454545454545455</v>
      </c>
    </row>
    <row r="4" customFormat="false" ht="15" hidden="false" customHeight="false" outlineLevel="0" collapsed="false">
      <c r="A4" s="11" t="n">
        <v>2</v>
      </c>
      <c r="B4" s="16" t="n">
        <f aca="false">C4+D4</f>
        <v>100</v>
      </c>
      <c r="C4" s="17" t="n">
        <v>10</v>
      </c>
      <c r="D4" s="16" t="n">
        <v>90</v>
      </c>
      <c r="E4" s="16" t="n">
        <f aca="false">F3*'info ini'!C$4</f>
        <v>15</v>
      </c>
      <c r="F4" s="18" t="n">
        <f aca="false">IF(R3=1,'info ini'!$C$7,1)*F3*IF(K3=L3,'info ini'!$C$4,(('info ini'!$C$4-1)*L3/K3)+1)</f>
        <v>12</v>
      </c>
      <c r="G4" s="16" t="n">
        <f aca="false">F4*'info ini'!$C$6</f>
        <v>13.2</v>
      </c>
      <c r="H4" s="16" t="n">
        <f aca="false">I3*'info ini'!D$4</f>
        <v>4.84</v>
      </c>
      <c r="I4" s="18" t="n">
        <f aca="false">IF(R3=1,'info ini'!$D$7,1)*I3*'info ini'!$D$4</f>
        <v>4.84</v>
      </c>
      <c r="J4" s="16" t="n">
        <f aca="false">I4*'info ini'!$D$6</f>
        <v>12.1</v>
      </c>
      <c r="K4" s="16" t="n">
        <f aca="false">J4+G4</f>
        <v>25.3</v>
      </c>
      <c r="L4" s="18" t="n">
        <f aca="false">IF((G4+J4)&lt;B4,(G4+J4),B4)</f>
        <v>25.3</v>
      </c>
      <c r="M4" s="19" t="n">
        <f aca="false">IF(B4=0,0,L4/B4)</f>
        <v>0.253</v>
      </c>
      <c r="N4" s="16" t="n">
        <f aca="false">IF((N3-(B4/15))&gt;0,N3-(B4/15),0)</f>
        <v>93.3333333333333</v>
      </c>
      <c r="O4" s="19" t="n">
        <f aca="false">A4*100/11</f>
        <v>18.1818181818182</v>
      </c>
      <c r="P4" s="19" t="n">
        <f aca="false">N4/300</f>
        <v>0.311111111111111</v>
      </c>
      <c r="Q4" s="19" t="n">
        <f aca="false">N4*O4*5/(100*300)</f>
        <v>0.282828282828283</v>
      </c>
      <c r="R4" s="11" t="n">
        <f aca="false">BPH!C4</f>
        <v>0</v>
      </c>
      <c r="S4" s="16"/>
      <c r="T4" s="11" t="n">
        <f aca="false">5*O4/100</f>
        <v>0.909090909090909</v>
      </c>
    </row>
    <row r="5" customFormat="false" ht="15" hidden="false" customHeight="false" outlineLevel="0" collapsed="false">
      <c r="A5" s="11" t="n">
        <v>3</v>
      </c>
      <c r="B5" s="16" t="n">
        <f aca="false">C5+D5</f>
        <v>110.338014971209</v>
      </c>
      <c r="C5" s="17" t="n">
        <f aca="false">C4*(1-M4)*IF(SUM($R$2:R4)&gt;1,'info ini'!B$12,'info ini'!B$11)+0.2</f>
        <v>10.2098</v>
      </c>
      <c r="D5" s="16" t="n">
        <f aca="false">D4*(1-M4)*IF(SUM($R$2,R4)=0,'info ini'!B$4,'info ini'!B$5)*IF(R4=1,'info ini'!B$7,1)+9.8</f>
        <v>100.128214971209</v>
      </c>
      <c r="E5" s="16" t="n">
        <f aca="false">F4*'info ini'!C$4</f>
        <v>15</v>
      </c>
      <c r="F5" s="18" t="n">
        <f aca="false">IF(R4=1,'info ini'!$C$7,1)*F4*IF(K4=L4,'info ini'!$C$4,(('info ini'!$C$4-1)*L4/K4)+1)</f>
        <v>15</v>
      </c>
      <c r="G5" s="16" t="n">
        <f aca="false">F5*'info ini'!$C$6</f>
        <v>16.5</v>
      </c>
      <c r="H5" s="16" t="n">
        <f aca="false">I4*'info ini'!D$4</f>
        <v>5.324</v>
      </c>
      <c r="I5" s="18" t="n">
        <f aca="false">IF(R4=1,'info ini'!$D$7,1)*I4*'info ini'!$D$4</f>
        <v>5.324</v>
      </c>
      <c r="J5" s="16" t="n">
        <f aca="false">I5*'info ini'!$D$6</f>
        <v>13.31</v>
      </c>
      <c r="K5" s="16" t="n">
        <f aca="false">J5+G5</f>
        <v>29.81</v>
      </c>
      <c r="L5" s="18" t="n">
        <f aca="false">IF((G5+J5)&lt;B5,(G5+J5),B5)</f>
        <v>29.81</v>
      </c>
      <c r="M5" s="19" t="n">
        <f aca="false">IF(B5=0,0,L5/B5)</f>
        <v>0.270169805100975</v>
      </c>
      <c r="N5" s="16" t="n">
        <f aca="false">IF((N4-(B5/15))&gt;0,N4-(B5/15),0)</f>
        <v>85.9774656685861</v>
      </c>
      <c r="O5" s="19" t="n">
        <f aca="false">A5*100/11</f>
        <v>27.2727272727273</v>
      </c>
      <c r="P5" s="19" t="n">
        <f aca="false">N5/300</f>
        <v>0.28659155222862</v>
      </c>
      <c r="Q5" s="19" t="n">
        <f aca="false">N5*O5*5/(100*300)</f>
        <v>0.390806662129937</v>
      </c>
      <c r="R5" s="11" t="n">
        <f aca="false">BPH!C5</f>
        <v>0</v>
      </c>
      <c r="S5" s="16"/>
      <c r="T5" s="11" t="n">
        <f aca="false">5*O5/100</f>
        <v>1.36363636363636</v>
      </c>
    </row>
    <row r="6" customFormat="false" ht="15" hidden="false" customHeight="false" outlineLevel="0" collapsed="false">
      <c r="A6" s="11" t="n">
        <v>4</v>
      </c>
      <c r="B6" s="16" t="n">
        <f aca="false">C6+D6</f>
        <v>118.168427712177</v>
      </c>
      <c r="C6" s="17" t="n">
        <f aca="false">C5*(1-M5)*IF(SUM($R$2:R5)&gt;1,'info ini'!B$12,'info ini'!B$11)+0.2</f>
        <v>10.1849032339993</v>
      </c>
      <c r="D6" s="16" t="n">
        <f aca="false">D5*(1-M5)*IF(SUM($R$2,R5)=0,'info ini'!B$4,'info ini'!B$5)*IF(R5=1,'info ini'!B$7,1)+9.8</f>
        <v>107.983524478177</v>
      </c>
      <c r="E6" s="16" t="n">
        <f aca="false">F5*'info ini'!C$4</f>
        <v>18.75</v>
      </c>
      <c r="F6" s="18" t="n">
        <f aca="false">IF(R5=1,'info ini'!$C$7,1)*F5*IF(K5=L5,'info ini'!$C$4,(('info ini'!$C$4-1)*L5/K5)+1)</f>
        <v>18.75</v>
      </c>
      <c r="G6" s="16" t="n">
        <f aca="false">F6*'info ini'!$C$6</f>
        <v>20.625</v>
      </c>
      <c r="H6" s="16" t="n">
        <f aca="false">I5*'info ini'!D$4</f>
        <v>5.8564</v>
      </c>
      <c r="I6" s="18" t="n">
        <f aca="false">IF(R5=1,'info ini'!$D$7,1)*I5*'info ini'!$D$4</f>
        <v>5.8564</v>
      </c>
      <c r="J6" s="16" t="n">
        <f aca="false">I6*'info ini'!$D$6</f>
        <v>14.641</v>
      </c>
      <c r="K6" s="16" t="n">
        <f aca="false">J6+G6</f>
        <v>35.266</v>
      </c>
      <c r="L6" s="18" t="n">
        <f aca="false">IF((G6+J6)&lt;B6,(G6+J6),B6)</f>
        <v>35.266</v>
      </c>
      <c r="M6" s="19" t="n">
        <f aca="false">IF(B6=0,0,L6/B6)</f>
        <v>0.298438429644656</v>
      </c>
      <c r="N6" s="16" t="n">
        <f aca="false">IF((N5-(B6/15))&gt;0,N5-(B6/15),0)</f>
        <v>78.0995704877743</v>
      </c>
      <c r="O6" s="19" t="n">
        <f aca="false">A6*100/11</f>
        <v>36.3636363636364</v>
      </c>
      <c r="P6" s="19" t="n">
        <f aca="false">N6/300</f>
        <v>0.260331901625914</v>
      </c>
      <c r="Q6" s="19" t="n">
        <f aca="false">N6*O6*5/(100*300)</f>
        <v>0.473330730228935</v>
      </c>
      <c r="R6" s="11" t="n">
        <f aca="false">BPH!C6</f>
        <v>0</v>
      </c>
      <c r="S6" s="16"/>
      <c r="T6" s="11" t="n">
        <f aca="false">5*O6/100</f>
        <v>1.81818181818182</v>
      </c>
    </row>
    <row r="7" customFormat="false" ht="15" hidden="false" customHeight="false" outlineLevel="0" collapsed="false">
      <c r="A7" s="11" t="n">
        <v>5</v>
      </c>
      <c r="B7" s="16" t="n">
        <f aca="false">C7+D7</f>
        <v>121.359710311419</v>
      </c>
      <c r="C7" s="17" t="n">
        <f aca="false">C6*(1-M6)*IF(SUM($R$2:R6)&gt;1,'info ini'!B$12,'info ini'!B$11)+0.2</f>
        <v>9.77475118706077</v>
      </c>
      <c r="D7" s="16" t="n">
        <f aca="false">D6*(1-M6)*IF(SUM($R$2,R6)=0,'info ini'!B$4,'info ini'!B$5)*IF(R6=1,'info ini'!B$7,1)+9.8</f>
        <v>111.584959124358</v>
      </c>
      <c r="E7" s="16" t="n">
        <f aca="false">F6*'info ini'!C$4</f>
        <v>23.4375</v>
      </c>
      <c r="F7" s="18" t="n">
        <f aca="false">IF(R6=1,'info ini'!$C$7,1)*F6*IF(K6=L6,'info ini'!$C$4,(('info ini'!$C$4-1)*L6/K6)+1)</f>
        <v>23.4375</v>
      </c>
      <c r="G7" s="16" t="n">
        <f aca="false">F7*'info ini'!$C$6</f>
        <v>25.78125</v>
      </c>
      <c r="H7" s="16" t="n">
        <f aca="false">I6*'info ini'!D$4</f>
        <v>6.44204</v>
      </c>
      <c r="I7" s="18" t="n">
        <f aca="false">IF(R6=1,'info ini'!$D$7,1)*I6*'info ini'!$D$4</f>
        <v>6.44204</v>
      </c>
      <c r="J7" s="16" t="n">
        <f aca="false">I7*'info ini'!$D$6</f>
        <v>16.1051</v>
      </c>
      <c r="K7" s="16" t="n">
        <f aca="false">J7+G7</f>
        <v>41.88635</v>
      </c>
      <c r="L7" s="18" t="n">
        <f aca="false">IF((G7+J7)&lt;B7,(G7+J7),B7)</f>
        <v>41.88635</v>
      </c>
      <c r="M7" s="19" t="n">
        <f aca="false">IF(B7=0,0,L7/B7)</f>
        <v>0.345142138956301</v>
      </c>
      <c r="N7" s="16" t="n">
        <f aca="false">IF((N6-(B7/15))&gt;0,N6-(B7/15),0)</f>
        <v>70.0089231336797</v>
      </c>
      <c r="O7" s="19" t="n">
        <f aca="false">A7*100/11</f>
        <v>45.4545454545455</v>
      </c>
      <c r="P7" s="19" t="n">
        <f aca="false">N7/300</f>
        <v>0.233363077112266</v>
      </c>
      <c r="Q7" s="19" t="n">
        <f aca="false">N7*O7*5/(100*300)</f>
        <v>0.530370629800604</v>
      </c>
      <c r="R7" s="11" t="n">
        <f aca="false">BPH!C7</f>
        <v>0</v>
      </c>
      <c r="S7" s="16"/>
      <c r="T7" s="11" t="n">
        <f aca="false">5*O7/100</f>
        <v>2.27272727272727</v>
      </c>
    </row>
    <row r="8" customFormat="false" ht="15" hidden="false" customHeight="false" outlineLevel="0" collapsed="false">
      <c r="A8" s="11" t="n">
        <v>6</v>
      </c>
      <c r="B8" s="16" t="n">
        <f aca="false">C8+D8</f>
        <v>116.755175091853</v>
      </c>
      <c r="C8" s="17" t="n">
        <f aca="false">C7*(1-M7)*IF(SUM($R$2:R7)&gt;1,'info ini'!B$12,'info ini'!B$11)+0.2</f>
        <v>8.77743735715458</v>
      </c>
      <c r="D8" s="16" t="n">
        <f aca="false">D7*(1-M7)*IF(SUM($R$2,R7)=0,'info ini'!B$4,'info ini'!B$5)*IF(R7=1,'info ini'!B$7,1)+9.8</f>
        <v>107.977737734698</v>
      </c>
      <c r="E8" s="16" t="n">
        <f aca="false">F7*'info ini'!C$4</f>
        <v>29.296875</v>
      </c>
      <c r="F8" s="18" t="n">
        <f aca="false">IF(R7=1,'info ini'!$C$7,1)*F7*IF(K7=L7,'info ini'!$C$4,(('info ini'!$C$4-1)*L7/K7)+1)</f>
        <v>29.296875</v>
      </c>
      <c r="G8" s="16" t="n">
        <f aca="false">F8*'info ini'!$C$6</f>
        <v>32.2265625</v>
      </c>
      <c r="H8" s="16" t="n">
        <f aca="false">I7*'info ini'!D$4</f>
        <v>7.086244</v>
      </c>
      <c r="I8" s="18" t="n">
        <f aca="false">IF(R7=1,'info ini'!$D$7,1)*I7*'info ini'!$D$4</f>
        <v>7.086244</v>
      </c>
      <c r="J8" s="16" t="n">
        <f aca="false">I8*'info ini'!$D$6</f>
        <v>17.71561</v>
      </c>
      <c r="K8" s="16" t="n">
        <f aca="false">J8+G8</f>
        <v>49.9421725</v>
      </c>
      <c r="L8" s="18" t="n">
        <f aca="false">IF((G8+J8)&lt;B8,(G8+J8),B8)</f>
        <v>49.9421725</v>
      </c>
      <c r="M8" s="19" t="n">
        <f aca="false">IF(B8=0,0,L8/B8)</f>
        <v>0.427751253515827</v>
      </c>
      <c r="N8" s="16" t="n">
        <f aca="false">IF((N7-(B8/15))&gt;0,N7-(B8/15),0)</f>
        <v>62.2252447942228</v>
      </c>
      <c r="O8" s="19" t="n">
        <f aca="false">A8*100/11</f>
        <v>54.5454545454546</v>
      </c>
      <c r="P8" s="19" t="n">
        <f aca="false">N8/300</f>
        <v>0.207417482647409</v>
      </c>
      <c r="Q8" s="19" t="n">
        <f aca="false">N8*O8*5/(100*300)</f>
        <v>0.565684043583844</v>
      </c>
      <c r="R8" s="11" t="n">
        <f aca="false">BPH!C8</f>
        <v>0</v>
      </c>
      <c r="S8" s="16"/>
      <c r="T8" s="11" t="n">
        <f aca="false">5*O8/100</f>
        <v>2.72727272727273</v>
      </c>
    </row>
    <row r="9" customFormat="false" ht="15" hidden="false" customHeight="false" outlineLevel="0" collapsed="false">
      <c r="A9" s="11" t="n">
        <v>7</v>
      </c>
      <c r="B9" s="16" t="n">
        <f aca="false">C9+D9</f>
        <v>99.7500177775444</v>
      </c>
      <c r="C9" s="17" t="n">
        <f aca="false">C8*(1-M8)*IF(SUM($R$2:R8)&gt;1,'info ini'!B$12,'info ini'!B$11)+0.2</f>
        <v>6.93065588346658</v>
      </c>
      <c r="D9" s="16" t="n">
        <f aca="false">D8*(1-M8)*IF(SUM($R$2,R8)=0,'info ini'!B$4,'info ini'!B$5)*IF(R8=1,'info ini'!B$7,1)+9.8</f>
        <v>92.8193618940778</v>
      </c>
      <c r="E9" s="16" t="n">
        <f aca="false">F8*'info ini'!C$4</f>
        <v>36.62109375</v>
      </c>
      <c r="F9" s="18" t="n">
        <f aca="false">IF(R8=1,'info ini'!$C$7,1)*F8*IF(K8=L8,'info ini'!$C$4,(('info ini'!$C$4-1)*L8/K8)+1)</f>
        <v>36.62109375</v>
      </c>
      <c r="G9" s="16" t="n">
        <f aca="false">F9*'info ini'!$C$6</f>
        <v>40.283203125</v>
      </c>
      <c r="H9" s="16" t="n">
        <f aca="false">I8*'info ini'!D$4</f>
        <v>7.79486840000001</v>
      </c>
      <c r="I9" s="18" t="n">
        <f aca="false">IF(R8=1,'info ini'!$D$7,1)*I8*'info ini'!$D$4</f>
        <v>7.79486840000001</v>
      </c>
      <c r="J9" s="16" t="n">
        <f aca="false">I9*'info ini'!$D$6</f>
        <v>19.487171</v>
      </c>
      <c r="K9" s="16" t="n">
        <f aca="false">J9+G9</f>
        <v>59.770374125</v>
      </c>
      <c r="L9" s="18" t="n">
        <f aca="false">IF((G9+J9)&lt;B9,(G9+J9),B9)</f>
        <v>59.770374125</v>
      </c>
      <c r="M9" s="19" t="n">
        <f aca="false">IF(B9=0,0,L9/B9)</f>
        <v>0.599201638823722</v>
      </c>
      <c r="N9" s="16" t="n">
        <f aca="false">IF((N8-(B9/15))&gt;0,N8-(B9/15),0)</f>
        <v>55.5752436090532</v>
      </c>
      <c r="O9" s="19" t="n">
        <f aca="false">A9*100/11</f>
        <v>63.6363636363636</v>
      </c>
      <c r="P9" s="19" t="n">
        <f aca="false">N9/300</f>
        <v>0.185250812030177</v>
      </c>
      <c r="Q9" s="19" t="n">
        <f aca="false">N9*O9*5/(100*300)</f>
        <v>0.589434401914201</v>
      </c>
      <c r="R9" s="11" t="n">
        <f aca="false">BPH!C9</f>
        <v>1</v>
      </c>
      <c r="S9" s="16"/>
      <c r="T9" s="11" t="n">
        <f aca="false">5*O9/100</f>
        <v>3.18181818181818</v>
      </c>
    </row>
    <row r="10" customFormat="false" ht="15" hidden="false" customHeight="false" outlineLevel="0" collapsed="false">
      <c r="A10" s="11" t="n">
        <v>8</v>
      </c>
      <c r="B10" s="16" t="n">
        <f aca="false">C10+D10</f>
        <v>31.5791331003956</v>
      </c>
      <c r="C10" s="17" t="n">
        <f aca="false">C9*(1-M9)*IF(SUM($R$2:R9)&gt;1,'info ini'!B$12,'info ini'!B$11)+0.2</f>
        <v>3.92224599675998</v>
      </c>
      <c r="D10" s="16" t="n">
        <f aca="false">D9*(1-M9)*IF(SUM($R$2,R9)=0,'info ini'!B$4,'info ini'!B$5)*IF(R9=1,'info ini'!B$7,1)+9.8</f>
        <v>27.6568871036356</v>
      </c>
      <c r="E10" s="16" t="n">
        <f aca="false">F9*'info ini'!C$4</f>
        <v>45.7763671875</v>
      </c>
      <c r="F10" s="18" t="n">
        <f aca="false">IF(R9=1,'info ini'!$C$7,1)*F9*IF(K9=L9,'info ini'!$C$4,(('info ini'!$C$4-1)*L9/K9)+1)</f>
        <v>13.73291015625</v>
      </c>
      <c r="G10" s="16" t="n">
        <f aca="false">F10*'info ini'!$C$6</f>
        <v>15.106201171875</v>
      </c>
      <c r="H10" s="16" t="n">
        <f aca="false">I9*'info ini'!D$4</f>
        <v>8.57435524000001</v>
      </c>
      <c r="I10" s="18" t="n">
        <f aca="false">IF(R9=1,'info ini'!$D$7,1)*I9*'info ini'!$D$4</f>
        <v>4.28717762</v>
      </c>
      <c r="J10" s="16" t="n">
        <f aca="false">I10*'info ini'!$D$6</f>
        <v>10.71794405</v>
      </c>
      <c r="K10" s="16" t="n">
        <f aca="false">J10+G10</f>
        <v>25.824145221875</v>
      </c>
      <c r="L10" s="18" t="n">
        <f aca="false">IF((G10+J10)&lt;B10,(G10+J10),B10)</f>
        <v>25.824145221875</v>
      </c>
      <c r="M10" s="19" t="n">
        <f aca="false">IF(B10=0,0,L10/B10)</f>
        <v>0.817759789028265</v>
      </c>
      <c r="N10" s="16" t="n">
        <f aca="false">IF((N9-(B10/15))&gt;0,N9-(B10/15),0)</f>
        <v>53.4699680690268</v>
      </c>
      <c r="O10" s="19" t="n">
        <f aca="false">A10*100/11</f>
        <v>72.7272727272727</v>
      </c>
      <c r="P10" s="19" t="n">
        <f aca="false">N10/300</f>
        <v>0.178233226896756</v>
      </c>
      <c r="Q10" s="19" t="n">
        <f aca="false">N10*O10*5/(100*300)</f>
        <v>0.648120825079113</v>
      </c>
      <c r="R10" s="11" t="n">
        <f aca="false">BPH!C10</f>
        <v>0</v>
      </c>
      <c r="S10" s="16"/>
      <c r="T10" s="11" t="n">
        <f aca="false">5*O10/100</f>
        <v>3.63636363636364</v>
      </c>
    </row>
    <row r="11" customFormat="false" ht="15" hidden="false" customHeight="false" outlineLevel="0" collapsed="false">
      <c r="A11" s="11" t="n">
        <v>9</v>
      </c>
      <c r="B11" s="16" t="n">
        <f aca="false">C11+D11</f>
        <v>17.729677550518</v>
      </c>
      <c r="C11" s="17" t="n">
        <f aca="false">C10*(1-M10)*IF(SUM($R$2:R10)&gt;1,'info ini'!B$12,'info ini'!B$11)+0.2</f>
        <v>1.15781985682966</v>
      </c>
      <c r="D11" s="16" t="n">
        <f aca="false">D10*(1-M10)*IF(SUM($R$2,R10)=0,'info ini'!B$4,'info ini'!B$5)*IF(R10=1,'info ini'!B$7,1)+9.8</f>
        <v>16.5718576936883</v>
      </c>
      <c r="E11" s="16" t="n">
        <f aca="false">F10*'info ini'!C$4</f>
        <v>17.1661376953125</v>
      </c>
      <c r="F11" s="18" t="n">
        <f aca="false">IF(R10=1,'info ini'!$C$7,1)*F10*IF(K10=L10,'info ini'!$C$4,(('info ini'!$C$4-1)*L10/K10)+1)</f>
        <v>17.1661376953125</v>
      </c>
      <c r="G11" s="16" t="n">
        <f aca="false">F11*'info ini'!$C$6</f>
        <v>18.8827514648438</v>
      </c>
      <c r="H11" s="16" t="n">
        <f aca="false">I10*'info ini'!D$4</f>
        <v>4.715895382</v>
      </c>
      <c r="I11" s="18" t="n">
        <f aca="false">IF(R10=1,'info ini'!$D$7,1)*I10*'info ini'!$D$4</f>
        <v>4.715895382</v>
      </c>
      <c r="J11" s="16" t="n">
        <f aca="false">I11*'info ini'!$D$6</f>
        <v>11.789738455</v>
      </c>
      <c r="K11" s="16" t="n">
        <f aca="false">J11+G11</f>
        <v>30.6724899198438</v>
      </c>
      <c r="L11" s="18" t="n">
        <f aca="false">IF((G11+J11)&lt;B11,(G11+J11),B11)</f>
        <v>17.729677550518</v>
      </c>
      <c r="M11" s="19" t="n">
        <f aca="false">IF(B11=0,0,L11/B11)</f>
        <v>1</v>
      </c>
      <c r="N11" s="16" t="n">
        <f aca="false">IF((N10-(B11/15))&gt;0,N10-(B11/15),0)</f>
        <v>52.287989565659</v>
      </c>
      <c r="O11" s="19" t="n">
        <f aca="false">A11*100/11</f>
        <v>81.8181818181818</v>
      </c>
      <c r="P11" s="19" t="n">
        <f aca="false">N11/300</f>
        <v>0.174293298552197</v>
      </c>
      <c r="Q11" s="19" t="n">
        <f aca="false">N11*O11*5/(100*300)</f>
        <v>0.713018039531713</v>
      </c>
      <c r="R11" s="11" t="n">
        <f aca="false">BPH!C11</f>
        <v>0</v>
      </c>
      <c r="S11" s="16"/>
      <c r="T11" s="11" t="n">
        <f aca="false">5*O11/100</f>
        <v>4.09090909090909</v>
      </c>
    </row>
    <row r="12" customFormat="false" ht="15" hidden="false" customHeight="false" outlineLevel="0" collapsed="false">
      <c r="A12" s="11" t="n">
        <v>10</v>
      </c>
      <c r="B12" s="16" t="n">
        <f aca="false">C12+D12</f>
        <v>10</v>
      </c>
      <c r="C12" s="17" t="n">
        <f aca="false">C11*(1-M11)*IF(SUM($R$2:R11)&gt;1,'info ini'!B$12,'info ini'!B$11)+0.2</f>
        <v>0.2</v>
      </c>
      <c r="D12" s="16" t="n">
        <f aca="false">D11*(1-M11)*IF(SUM($R$2,R11)=0,'info ini'!B$4,'info ini'!B$5)*IF(R11=1,'info ini'!B$7,1)+9.8</f>
        <v>9.8</v>
      </c>
      <c r="E12" s="16" t="n">
        <f aca="false">F11*'info ini'!C$4</f>
        <v>21.4576721191406</v>
      </c>
      <c r="F12" s="18" t="n">
        <f aca="false">IF(R11=1,'info ini'!$C$7,1)*F11*IF(K11=L11,'info ini'!$C$4,(('info ini'!$C$4-1)*L11/K11)+1)</f>
        <v>19.6467814816585</v>
      </c>
      <c r="G12" s="16" t="n">
        <f aca="false">F12*'info ini'!$C$6</f>
        <v>21.6114596298244</v>
      </c>
      <c r="H12" s="16" t="n">
        <f aca="false">I11*'info ini'!D$4</f>
        <v>5.18748492020001</v>
      </c>
      <c r="I12" s="18" t="n">
        <f aca="false">IF(R11=1,'info ini'!$D$7,1)*I11*'info ini'!$D$4</f>
        <v>5.18748492020001</v>
      </c>
      <c r="J12" s="16" t="n">
        <f aca="false">I12*'info ini'!$D$6</f>
        <v>12.9687123005</v>
      </c>
      <c r="K12" s="16" t="n">
        <f aca="false">J12+G12</f>
        <v>34.5801719303244</v>
      </c>
      <c r="L12" s="18" t="n">
        <f aca="false">IF((G12+J12)&lt;B12,(G12+J12),B12)</f>
        <v>10</v>
      </c>
      <c r="M12" s="19" t="n">
        <f aca="false">IF(B12=0,0,L12/B12)</f>
        <v>1</v>
      </c>
      <c r="N12" s="16" t="n">
        <f aca="false">IF((N11-(B12/15))&gt;0,N11-(B12/15),0)</f>
        <v>51.6213228989923</v>
      </c>
      <c r="O12" s="19" t="n">
        <f aca="false">A12*100/11</f>
        <v>90.9090909090909</v>
      </c>
      <c r="P12" s="19" t="n">
        <f aca="false">N12/300</f>
        <v>0.172071076329974</v>
      </c>
      <c r="Q12" s="19" t="n">
        <f aca="false">N12*O12*5/(100*300)</f>
        <v>0.782141256045338</v>
      </c>
      <c r="R12" s="11" t="n">
        <f aca="false">BPH!C12</f>
        <v>1</v>
      </c>
      <c r="S12" s="16"/>
      <c r="T12" s="11" t="n">
        <f aca="false">5*O12/100</f>
        <v>4.54545454545455</v>
      </c>
    </row>
    <row r="13" customFormat="false" ht="15" hidden="false" customHeight="false" outlineLevel="0" collapsed="false">
      <c r="A13" s="11" t="n">
        <v>11</v>
      </c>
      <c r="B13" s="16" t="n">
        <f aca="false">C13+D13</f>
        <v>10</v>
      </c>
      <c r="C13" s="17" t="n">
        <f aca="false">C12*(1-M12)*IF(SUM($R$2:R12)&gt;1,'info ini'!B$12,'info ini'!B$11)+0.2</f>
        <v>0.2</v>
      </c>
      <c r="D13" s="16" t="n">
        <f aca="false">D12*(1-M12)*IF(SUM($R$2,R12)=0,'info ini'!B$4,'info ini'!B$5)*IF(R12=1,'info ini'!B$7,1)+9.8</f>
        <v>9.8</v>
      </c>
      <c r="E13" s="16" t="n">
        <f aca="false">F12*'info ini'!C$4</f>
        <v>24.5584768520731</v>
      </c>
      <c r="F13" s="18" t="n">
        <f aca="false">IF(R12=1,'info ini'!$C$7,1)*F12*IF(K12=L12,'info ini'!$C$4,(('info ini'!$C$4-1)*L12/K12)+1)</f>
        <v>6.32014817640535</v>
      </c>
      <c r="G13" s="16" t="n">
        <f aca="false">F13*'info ini'!$C$6</f>
        <v>6.95216299404589</v>
      </c>
      <c r="H13" s="16" t="n">
        <f aca="false">I12*'info ini'!D$4</f>
        <v>5.70623341222001</v>
      </c>
      <c r="I13" s="18" t="n">
        <f aca="false">IF(R12=1,'info ini'!$D$7,1)*I12*'info ini'!$D$4</f>
        <v>2.85311670611</v>
      </c>
      <c r="J13" s="16" t="n">
        <f aca="false">I13*'info ini'!$D$6</f>
        <v>7.13279176527501</v>
      </c>
      <c r="K13" s="16" t="n">
        <f aca="false">J13+G13</f>
        <v>14.0849547593209</v>
      </c>
      <c r="L13" s="18" t="n">
        <f aca="false">IF((G13+J13)&lt;B13,(G13+J13),B13)</f>
        <v>10</v>
      </c>
      <c r="M13" s="19" t="n">
        <f aca="false">IF(B13=0,0,L13/B13)</f>
        <v>1</v>
      </c>
      <c r="N13" s="16" t="n">
        <f aca="false">IF((N12-(B13/15))&gt;0,N12-(B13/15),0)</f>
        <v>50.9546562323256</v>
      </c>
      <c r="O13" s="19" t="n">
        <f aca="false">A13*100/11</f>
        <v>100</v>
      </c>
      <c r="P13" s="19" t="n">
        <f aca="false">N13/300</f>
        <v>0.169848854107752</v>
      </c>
      <c r="Q13" s="19" t="n">
        <f aca="false">N13*O13*5/(100*300)</f>
        <v>0.849244270538761</v>
      </c>
      <c r="R13" s="11" t="n">
        <f aca="false">BPH!C13</f>
        <v>1</v>
      </c>
      <c r="S13" s="16"/>
      <c r="T13" s="11" t="n">
        <f aca="false">5*O13/100</f>
        <v>5</v>
      </c>
    </row>
    <row r="14" customFormat="false" ht="15" hidden="false" customHeight="false" outlineLevel="0" collapsed="false">
      <c r="A14" s="11" t="n">
        <v>12</v>
      </c>
      <c r="B14" s="16" t="n">
        <f aca="false">C14+D14</f>
        <v>10</v>
      </c>
      <c r="C14" s="17" t="n">
        <f aca="false">C13*(1-M13)*IF(SUM($R$2:R13)&gt;1,'info ini'!B$12,'info ini'!B$11)+0.2</f>
        <v>0.2</v>
      </c>
      <c r="D14" s="16" t="n">
        <f aca="false">D13*(1-M13)*IF(SUM($R$2,R13)=0,'info ini'!B$4,'info ini'!B$5)*IF(R13=1,'info ini'!B$7,1)+9.8</f>
        <v>9.8</v>
      </c>
      <c r="E14" s="16" t="n">
        <f aca="false">F13*'info ini'!C$4</f>
        <v>7.90018522050669</v>
      </c>
      <c r="F14" s="18" t="n">
        <f aca="false">IF(R13=1,'info ini'!$C$7,1)*F13*IF(K13=L13,'info ini'!$C$4,(('info ini'!$C$4-1)*L13/K13)+1)</f>
        <v>2.2325816455006</v>
      </c>
      <c r="G14" s="16" t="n">
        <f aca="false">F14*'info ini'!$C$6</f>
        <v>2.45583981005066</v>
      </c>
      <c r="H14" s="16" t="n">
        <f aca="false">I13*'info ini'!D$4</f>
        <v>3.138428376721</v>
      </c>
      <c r="I14" s="18" t="n">
        <f aca="false">IF(R13=1,'info ini'!$D$7,1)*I13*'info ini'!$D$4</f>
        <v>1.5692141883605</v>
      </c>
      <c r="J14" s="16" t="n">
        <f aca="false">I14*'info ini'!$D$6</f>
        <v>3.92303547090125</v>
      </c>
      <c r="K14" s="16" t="n">
        <f aca="false">J14+G14</f>
        <v>6.37887528095192</v>
      </c>
      <c r="L14" s="18" t="n">
        <f aca="false">IF((G14+J14)&lt;B14,(G14+J14),B14)</f>
        <v>6.37887528095192</v>
      </c>
      <c r="M14" s="19" t="n">
        <f aca="false">IF(B14=0,0,L14/B14)</f>
        <v>0.637887528095191</v>
      </c>
      <c r="N14" s="16" t="n">
        <f aca="false">IF((N13-(B14/15))&gt;0,N13-(B14/15),0)</f>
        <v>50.287989565659</v>
      </c>
      <c r="O14" s="19" t="n">
        <v>100</v>
      </c>
      <c r="P14" s="19" t="n">
        <f aca="false">N14/300</f>
        <v>0.16762663188553</v>
      </c>
      <c r="Q14" s="19" t="n">
        <f aca="false">N14*O14*5/(100*300)</f>
        <v>0.83813315942765</v>
      </c>
      <c r="R14" s="11" t="str">
        <f aca="false">BPH!C14</f>
        <v>HARVEST</v>
      </c>
      <c r="S14" s="16"/>
      <c r="T14" s="11" t="n">
        <f aca="false">5*O14/100</f>
        <v>5</v>
      </c>
    </row>
    <row r="15" customFormat="false" ht="15" hidden="false" customHeight="false" outlineLevel="0" collapsed="false">
      <c r="C15" s="16"/>
      <c r="F15" s="16"/>
      <c r="L15" s="14"/>
      <c r="M15" s="14"/>
    </row>
    <row r="16" customFormat="false" ht="24.6" hidden="false" customHeight="false" outlineLevel="0" collapsed="false">
      <c r="Q16" s="22" t="s">
        <v>30</v>
      </c>
      <c r="R16" s="11" t="n">
        <f aca="false">SUM(R2:R15)</f>
        <v>3</v>
      </c>
    </row>
  </sheetData>
  <conditionalFormatting sqref="B2:B14">
    <cfRule type="expression" priority="2" aboveAverage="0" equalAverage="0" bottom="0" percent="0" rank="0" text="" dxfId="0">
      <formula>ISBLANK($R$3)</formula>
    </cfRule>
  </conditionalFormatting>
  <conditionalFormatting sqref="H3:I14">
    <cfRule type="expression" priority="3" aboveAverage="0" equalAverage="0" bottom="0" percent="0" rank="0" text="" dxfId="1">
      <formula>ISBLANK($R$4)</formula>
    </cfRule>
  </conditionalFormatting>
  <conditionalFormatting sqref="E3:E14">
    <cfRule type="expression" priority="4" aboveAverage="0" equalAverage="0" bottom="0" percent="0" rank="0" text="" dxfId="2">
      <formula>ISBLANK($R$4)</formula>
    </cfRule>
  </conditionalFormatting>
  <conditionalFormatting sqref="O2:O14">
    <cfRule type="expression" priority="5" aboveAverage="0" equalAverage="0" bottom="0" percent="0" rank="0" text="" dxfId="3">
      <formula>ISBLANK($R$4)</formula>
    </cfRule>
  </conditionalFormatting>
  <conditionalFormatting sqref="F3:F15">
    <cfRule type="expression" priority="6" aboveAverage="0" equalAverage="0" bottom="0" percent="0" rank="0" text="" dxfId="4">
      <formula>ISBLANK($R$4)</formula>
    </cfRule>
  </conditionalFormatting>
  <conditionalFormatting sqref="L2:L14">
    <cfRule type="expression" priority="7" aboveAverage="0" equalAverage="0" bottom="0" percent="0" rank="0" text="" dxfId="5">
      <formula>ISBLANK($R$3)</formula>
    </cfRule>
  </conditionalFormatting>
  <conditionalFormatting sqref="P14:Q14">
    <cfRule type="expression" priority="8" aboveAverage="0" equalAverage="0" bottom="0" percent="0" rank="0" text="" dxfId="6">
      <formula>ISBLANK($R$14)</formula>
    </cfRule>
  </conditionalFormatting>
  <conditionalFormatting sqref="P13:Q13">
    <cfRule type="expression" priority="9" aboveAverage="0" equalAverage="0" bottom="0" percent="0" rank="0" text="" dxfId="7">
      <formula>ISBLANK($R$13)</formula>
    </cfRule>
  </conditionalFormatting>
  <conditionalFormatting sqref="P12:Q12">
    <cfRule type="expression" priority="10" aboveAverage="0" equalAverage="0" bottom="0" percent="0" rank="0" text="" dxfId="8">
      <formula>ISBLANK($R$12)</formula>
    </cfRule>
  </conditionalFormatting>
  <conditionalFormatting sqref="P11:Q11">
    <cfRule type="expression" priority="11" aboveAverage="0" equalAverage="0" bottom="0" percent="0" rank="0" text="" dxfId="9">
      <formula>ISBLANK($R$11)</formula>
    </cfRule>
  </conditionalFormatting>
  <conditionalFormatting sqref="P10:Q10">
    <cfRule type="expression" priority="12" aboveAverage="0" equalAverage="0" bottom="0" percent="0" rank="0" text="" dxfId="10">
      <formula>ISBLANK($R$10)</formula>
    </cfRule>
  </conditionalFormatting>
  <conditionalFormatting sqref="P9:Q9">
    <cfRule type="expression" priority="13" aboveAverage="0" equalAverage="0" bottom="0" percent="0" rank="0" text="" dxfId="11">
      <formula>ISBLANK($R$9)</formula>
    </cfRule>
  </conditionalFormatting>
  <conditionalFormatting sqref="P8:Q8">
    <cfRule type="expression" priority="14" aboveAverage="0" equalAverage="0" bottom="0" percent="0" rank="0" text="" dxfId="12">
      <formula>ISBLANK($R$8)</formula>
    </cfRule>
  </conditionalFormatting>
  <conditionalFormatting sqref="P7:Q7">
    <cfRule type="expression" priority="15" aboveAverage="0" equalAverage="0" bottom="0" percent="0" rank="0" text="" dxfId="13">
      <formula>ISBLANK($R$7)</formula>
    </cfRule>
  </conditionalFormatting>
  <conditionalFormatting sqref="P6:Q6">
    <cfRule type="expression" priority="16" aboveAverage="0" equalAverage="0" bottom="0" percent="0" rank="0" text="" dxfId="14">
      <formula>ISBLANK($R$6)</formula>
    </cfRule>
  </conditionalFormatting>
  <conditionalFormatting sqref="P5:Q5">
    <cfRule type="expression" priority="17" aboveAverage="0" equalAverage="0" bottom="0" percent="0" rank="0" text="" dxfId="15">
      <formula>ISBLANK($R$5)</formula>
    </cfRule>
  </conditionalFormatting>
  <conditionalFormatting sqref="P4:Q4">
    <cfRule type="expression" priority="18" aboveAverage="0" equalAverage="0" bottom="0" percent="0" rank="0" text="" dxfId="16">
      <formula>ISBLANK($R$4)</formula>
    </cfRule>
  </conditionalFormatting>
  <conditionalFormatting sqref="P3:Q3">
    <cfRule type="expression" priority="19" aboveAverage="0" equalAverage="0" bottom="0" percent="0" rank="0" text="" dxfId="17">
      <formula>ISBLANK($R$3)</formula>
    </cfRule>
  </conditionalFormatting>
  <conditionalFormatting sqref="S14">
    <cfRule type="expression" priority="20" aboveAverage="0" equalAverage="0" bottom="0" percent="0" rank="0" text="" dxfId="18">
      <formula>ISBLANK($R$14)</formula>
    </cfRule>
  </conditionalFormatting>
  <conditionalFormatting sqref="S13">
    <cfRule type="expression" priority="21" aboveAverage="0" equalAverage="0" bottom="0" percent="0" rank="0" text="" dxfId="19">
      <formula>ISBLANK($R$13)</formula>
    </cfRule>
  </conditionalFormatting>
  <conditionalFormatting sqref="S12">
    <cfRule type="expression" priority="22" aboveAverage="0" equalAverage="0" bottom="0" percent="0" rank="0" text="" dxfId="20">
      <formula>ISBLANK($R$12)</formula>
    </cfRule>
  </conditionalFormatting>
  <conditionalFormatting sqref="S11">
    <cfRule type="expression" priority="23" aboveAverage="0" equalAverage="0" bottom="0" percent="0" rank="0" text="" dxfId="21">
      <formula>ISBLANK($R$11)</formula>
    </cfRule>
  </conditionalFormatting>
  <conditionalFormatting sqref="S10">
    <cfRule type="expression" priority="24" aboveAverage="0" equalAverage="0" bottom="0" percent="0" rank="0" text="" dxfId="22">
      <formula>ISBLANK($R$10)</formula>
    </cfRule>
  </conditionalFormatting>
  <conditionalFormatting sqref="S9">
    <cfRule type="expression" priority="25" aboveAverage="0" equalAverage="0" bottom="0" percent="0" rank="0" text="" dxfId="23">
      <formula>ISBLANK($R$9)</formula>
    </cfRule>
  </conditionalFormatting>
  <conditionalFormatting sqref="S8">
    <cfRule type="expression" priority="26" aboveAverage="0" equalAverage="0" bottom="0" percent="0" rank="0" text="" dxfId="24">
      <formula>ISBLANK($R$8)</formula>
    </cfRule>
  </conditionalFormatting>
  <conditionalFormatting sqref="S7">
    <cfRule type="expression" priority="27" aboveAverage="0" equalAverage="0" bottom="0" percent="0" rank="0" text="" dxfId="25">
      <formula>ISBLANK($R$7)</formula>
    </cfRule>
  </conditionalFormatting>
  <conditionalFormatting sqref="S6">
    <cfRule type="expression" priority="28" aboveAverage="0" equalAverage="0" bottom="0" percent="0" rank="0" text="" dxfId="26">
      <formula>ISBLANK($R$6)</formula>
    </cfRule>
  </conditionalFormatting>
  <conditionalFormatting sqref="S5">
    <cfRule type="expression" priority="29" aboveAverage="0" equalAverage="0" bottom="0" percent="0" rank="0" text="" dxfId="27">
      <formula>ISBLANK($R$5)</formula>
    </cfRule>
  </conditionalFormatting>
  <conditionalFormatting sqref="S4">
    <cfRule type="expression" priority="30" aboveAverage="0" equalAverage="0" bottom="0" percent="0" rank="0" text="" dxfId="28">
      <formula>ISBLANK($R$4)</formula>
    </cfRule>
  </conditionalFormatting>
  <conditionalFormatting sqref="S3 N3:N14 D5:D14 C5:C15">
    <cfRule type="expression" priority="31" aboveAverage="0" equalAverage="0" bottom="0" percent="0" rank="0" text="" dxfId="29">
      <formula>ISBLANK($R$3)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27" zoomScaleNormal="127" zoomScalePageLayoutView="100" workbookViewId="0">
      <selection pane="topLeft" activeCell="B4" activeCellId="0" sqref="B4"/>
    </sheetView>
  </sheetViews>
  <sheetFormatPr defaultColWidth="11.5078125" defaultRowHeight="15" customHeight="true" zeroHeight="false" outlineLevelRow="0" outlineLevelCol="0"/>
  <cols>
    <col collapsed="false" customWidth="true" hidden="false" outlineLevel="0" max="1" min="1" style="11" width="12.67"/>
    <col collapsed="false" customWidth="false" hidden="false" outlineLevel="0" max="4" min="2" style="11" width="11.5"/>
    <col collapsed="false" customWidth="true" hidden="false" outlineLevel="0" max="5" min="5" style="11" width="60.5"/>
    <col collapsed="false" customWidth="false" hidden="false" outlineLevel="0" max="16384" min="6" style="11" width="11.5"/>
  </cols>
  <sheetData>
    <row r="1" customFormat="false" ht="36.15" hidden="false" customHeight="false" outlineLevel="0" collapsed="false">
      <c r="A1" s="23" t="s">
        <v>31</v>
      </c>
      <c r="B1" s="23" t="s">
        <v>32</v>
      </c>
      <c r="C1" s="23" t="s">
        <v>33</v>
      </c>
    </row>
    <row r="2" customFormat="false" ht="15" hidden="false" customHeight="false" outlineLevel="0" collapsed="false">
      <c r="A2" s="23"/>
      <c r="B2" s="24" t="n">
        <v>75</v>
      </c>
      <c r="C2" s="25" t="n">
        <v>0</v>
      </c>
      <c r="E2" s="11" t="s">
        <v>34</v>
      </c>
    </row>
    <row r="3" customFormat="false" ht="15" hidden="false" customHeight="false" outlineLevel="0" collapsed="false">
      <c r="A3" s="23" t="n">
        <v>1</v>
      </c>
      <c r="B3" s="19" t="n">
        <f aca="false">calcul!N3-calcul!N2</f>
        <v>0</v>
      </c>
      <c r="C3" s="26" t="n">
        <v>0</v>
      </c>
    </row>
    <row r="4" customFormat="false" ht="24.6" hidden="false" customHeight="false" outlineLevel="0" collapsed="false">
      <c r="A4" s="23" t="n">
        <v>2</v>
      </c>
      <c r="B4" s="19" t="n">
        <f aca="false">IF(C3="","",calcul!N4-calcul!N3)</f>
        <v>-6.66666666666667</v>
      </c>
      <c r="C4" s="26" t="n">
        <v>0</v>
      </c>
      <c r="E4" s="27" t="s">
        <v>35</v>
      </c>
    </row>
    <row r="5" customFormat="false" ht="15" hidden="false" customHeight="false" outlineLevel="0" collapsed="false">
      <c r="A5" s="23" t="n">
        <v>3</v>
      </c>
      <c r="B5" s="19" t="n">
        <f aca="false">IF(C4="","",calcul!N5-calcul!N4)</f>
        <v>-7.35586766474728</v>
      </c>
      <c r="C5" s="26" t="n">
        <v>0</v>
      </c>
    </row>
    <row r="6" customFormat="false" ht="15" hidden="false" customHeight="false" outlineLevel="0" collapsed="false">
      <c r="A6" s="23" t="n">
        <v>4</v>
      </c>
      <c r="B6" s="19" t="n">
        <f aca="false">IF(C5="","",calcul!N6-calcul!N5)</f>
        <v>-7.87789518081178</v>
      </c>
      <c r="C6" s="26" t="n">
        <v>0</v>
      </c>
    </row>
    <row r="7" customFormat="false" ht="15" hidden="false" customHeight="false" outlineLevel="0" collapsed="false">
      <c r="A7" s="23" t="n">
        <v>5</v>
      </c>
      <c r="B7" s="19" t="n">
        <f aca="false">IF(C6="","",calcul!N7-calcul!N6)</f>
        <v>-8.09064735409457</v>
      </c>
      <c r="C7" s="26" t="n">
        <v>0</v>
      </c>
    </row>
    <row r="8" customFormat="false" ht="15" hidden="false" customHeight="false" outlineLevel="0" collapsed="false">
      <c r="A8" s="23" t="n">
        <v>6</v>
      </c>
      <c r="B8" s="19" t="n">
        <f aca="false">IF(C7="","",calcul!N8-calcul!N7)</f>
        <v>-7.78367833945686</v>
      </c>
      <c r="C8" s="26" t="n">
        <v>0</v>
      </c>
    </row>
    <row r="9" customFormat="false" ht="15" hidden="false" customHeight="false" outlineLevel="0" collapsed="false">
      <c r="A9" s="23" t="n">
        <v>7</v>
      </c>
      <c r="B9" s="19" t="n">
        <f aca="false">IF(C8="","",calcul!N9-calcul!N8)</f>
        <v>-6.65000118516963</v>
      </c>
      <c r="C9" s="26" t="n">
        <v>1</v>
      </c>
    </row>
    <row r="10" customFormat="false" ht="15" hidden="false" customHeight="false" outlineLevel="0" collapsed="false">
      <c r="A10" s="23" t="n">
        <v>8</v>
      </c>
      <c r="B10" s="19" t="n">
        <f aca="false">IF(C9="","",calcul!N10-calcul!N9)</f>
        <v>-2.10527554002638</v>
      </c>
      <c r="C10" s="26" t="n">
        <v>0</v>
      </c>
    </row>
    <row r="11" customFormat="false" ht="15" hidden="false" customHeight="false" outlineLevel="0" collapsed="false">
      <c r="A11" s="23" t="n">
        <v>9</v>
      </c>
      <c r="B11" s="19" t="n">
        <f aca="false">IF(C10="","",calcul!N11-calcul!N10)</f>
        <v>-1.18197850336787</v>
      </c>
      <c r="C11" s="26" t="n">
        <v>0</v>
      </c>
    </row>
    <row r="12" customFormat="false" ht="15" hidden="false" customHeight="false" outlineLevel="0" collapsed="false">
      <c r="A12" s="23" t="n">
        <v>10</v>
      </c>
      <c r="B12" s="19" t="n">
        <f aca="false">IF(C11="","",calcul!N12-calcul!N11)</f>
        <v>-0.666666666666664</v>
      </c>
      <c r="C12" s="26" t="n">
        <v>1</v>
      </c>
    </row>
    <row r="13" customFormat="false" ht="15" hidden="false" customHeight="false" outlineLevel="0" collapsed="false">
      <c r="A13" s="23" t="n">
        <v>11</v>
      </c>
      <c r="B13" s="19" t="n">
        <f aca="false">IF(C12="","",calcul!N13-calcul!N12)</f>
        <v>-0.666666666666664</v>
      </c>
      <c r="C13" s="28" t="n">
        <v>1</v>
      </c>
    </row>
    <row r="14" customFormat="false" ht="15" hidden="false" customHeight="false" outlineLevel="0" collapsed="false">
      <c r="A14" s="23" t="n">
        <v>12</v>
      </c>
      <c r="B14" s="19" t="n">
        <f aca="false">IF(C13="","",calcul!N14-calcul!N13)</f>
        <v>-0.666666666666664</v>
      </c>
      <c r="C14" s="29" t="s">
        <v>36</v>
      </c>
    </row>
    <row r="15" customFormat="false" ht="15" hidden="false" customHeight="false" outlineLevel="0" collapsed="false">
      <c r="B15" s="16"/>
    </row>
    <row r="17" customFormat="false" ht="24.6" hidden="false" customHeight="false" outlineLevel="0" collapsed="false">
      <c r="A17" s="11" t="s">
        <v>37</v>
      </c>
      <c r="B17" s="16" t="n">
        <f aca="false">SUM(B2:B16)</f>
        <v>25.287989565659</v>
      </c>
    </row>
    <row r="18" customFormat="false" ht="24.6" hidden="false" customHeight="false" outlineLevel="0" collapsed="false">
      <c r="A18" s="30" t="s">
        <v>38</v>
      </c>
      <c r="B18" s="31" t="n">
        <f aca="false">IF(B14="","",5*B17/B2)</f>
        <v>1.68586597104393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15" activeCellId="0" sqref="C15"/>
    </sheetView>
  </sheetViews>
  <sheetFormatPr defaultColWidth="10.6953125" defaultRowHeight="15" customHeight="true" zeroHeight="false" outlineLevelRow="0" outlineLevelCol="0"/>
  <cols>
    <col collapsed="false" customWidth="true" hidden="false" outlineLevel="0" max="10" min="1" style="1" width="8"/>
  </cols>
  <sheetData>
    <row r="1" customFormat="false" ht="38.25" hidden="false" customHeight="true" outlineLevel="0" collapsed="false">
      <c r="A1" s="32" t="n">
        <v>3</v>
      </c>
      <c r="B1" s="32" t="n">
        <v>3</v>
      </c>
      <c r="C1" s="32" t="n">
        <v>3</v>
      </c>
      <c r="D1" s="32" t="n">
        <v>3</v>
      </c>
      <c r="E1" s="32" t="n">
        <v>3</v>
      </c>
      <c r="F1" s="32" t="n">
        <v>3</v>
      </c>
      <c r="G1" s="32" t="n">
        <v>3</v>
      </c>
      <c r="H1" s="32" t="n">
        <v>3</v>
      </c>
      <c r="I1" s="32" t="n">
        <v>3</v>
      </c>
      <c r="J1" s="32" t="n">
        <v>3</v>
      </c>
    </row>
    <row r="2" customFormat="false" ht="38.25" hidden="false" customHeight="true" outlineLevel="0" collapsed="false">
      <c r="A2" s="32" t="n">
        <v>3</v>
      </c>
      <c r="B2" s="32" t="n">
        <v>3</v>
      </c>
      <c r="C2" s="32" t="n">
        <v>3</v>
      </c>
      <c r="D2" s="32" t="n">
        <v>3</v>
      </c>
      <c r="E2" s="32" t="n">
        <v>3</v>
      </c>
      <c r="F2" s="32" t="n">
        <v>3</v>
      </c>
      <c r="G2" s="32" t="n">
        <v>3</v>
      </c>
      <c r="H2" s="32" t="n">
        <v>3</v>
      </c>
      <c r="I2" s="32" t="n">
        <v>3</v>
      </c>
      <c r="J2" s="32" t="n">
        <v>3</v>
      </c>
    </row>
    <row r="3" customFormat="false" ht="38.25" hidden="false" customHeight="true" outlineLevel="0" collapsed="false">
      <c r="A3" s="32" t="n">
        <v>3</v>
      </c>
      <c r="B3" s="32" t="n">
        <v>3</v>
      </c>
      <c r="C3" s="32" t="n">
        <v>3</v>
      </c>
      <c r="D3" s="32" t="n">
        <v>3</v>
      </c>
      <c r="E3" s="32" t="n">
        <v>3</v>
      </c>
      <c r="F3" s="32" t="n">
        <v>3</v>
      </c>
      <c r="G3" s="32" t="n">
        <v>3</v>
      </c>
      <c r="H3" s="32" t="n">
        <v>3</v>
      </c>
      <c r="I3" s="32" t="n">
        <v>3</v>
      </c>
      <c r="J3" s="32" t="n">
        <v>3</v>
      </c>
    </row>
    <row r="4" customFormat="false" ht="38.25" hidden="false" customHeight="true" outlineLevel="0" collapsed="false">
      <c r="A4" s="32" t="n">
        <v>3</v>
      </c>
      <c r="B4" s="32" t="n">
        <v>3</v>
      </c>
      <c r="C4" s="32" t="n">
        <v>3</v>
      </c>
      <c r="D4" s="32" t="n">
        <v>3</v>
      </c>
      <c r="E4" s="32" t="n">
        <v>3</v>
      </c>
      <c r="F4" s="32" t="n">
        <v>3</v>
      </c>
      <c r="G4" s="32" t="n">
        <v>3</v>
      </c>
      <c r="H4" s="32" t="n">
        <v>3</v>
      </c>
      <c r="I4" s="32" t="n">
        <v>3</v>
      </c>
      <c r="J4" s="32" t="n">
        <v>3</v>
      </c>
    </row>
    <row r="5" customFormat="false" ht="38.25" hidden="false" customHeight="true" outlineLevel="0" collapsed="false">
      <c r="A5" s="32" t="n">
        <v>3</v>
      </c>
      <c r="B5" s="32" t="n">
        <v>3</v>
      </c>
      <c r="C5" s="32" t="n">
        <v>3</v>
      </c>
      <c r="D5" s="32" t="n">
        <v>3</v>
      </c>
      <c r="E5" s="32" t="n">
        <v>3</v>
      </c>
      <c r="F5" s="32" t="n">
        <v>3</v>
      </c>
      <c r="G5" s="32" t="n">
        <v>3</v>
      </c>
      <c r="H5" s="32" t="n">
        <v>3</v>
      </c>
      <c r="I5" s="32" t="n">
        <v>3</v>
      </c>
      <c r="J5" s="32" t="n">
        <v>3</v>
      </c>
    </row>
    <row r="6" customFormat="false" ht="38.25" hidden="false" customHeight="true" outlineLevel="0" collapsed="false">
      <c r="A6" s="32" t="n">
        <v>3</v>
      </c>
      <c r="B6" s="32" t="n">
        <v>3</v>
      </c>
      <c r="C6" s="32" t="n">
        <v>3</v>
      </c>
      <c r="D6" s="32" t="n">
        <v>3</v>
      </c>
      <c r="E6" s="32" t="n">
        <v>3</v>
      </c>
      <c r="F6" s="32" t="n">
        <v>3</v>
      </c>
      <c r="G6" s="32" t="n">
        <v>3</v>
      </c>
      <c r="H6" s="32" t="n">
        <v>3</v>
      </c>
      <c r="I6" s="32" t="n">
        <v>3</v>
      </c>
      <c r="J6" s="32" t="n">
        <v>3</v>
      </c>
    </row>
    <row r="7" customFormat="false" ht="38.25" hidden="false" customHeight="true" outlineLevel="0" collapsed="false">
      <c r="A7" s="32" t="n">
        <v>3</v>
      </c>
      <c r="B7" s="32" t="n">
        <v>3</v>
      </c>
      <c r="C7" s="32" t="n">
        <v>3</v>
      </c>
      <c r="D7" s="32" t="n">
        <v>3</v>
      </c>
      <c r="E7" s="32" t="n">
        <v>3</v>
      </c>
      <c r="F7" s="32" t="n">
        <v>3</v>
      </c>
      <c r="G7" s="32" t="n">
        <v>3</v>
      </c>
      <c r="H7" s="32" t="n">
        <v>3</v>
      </c>
      <c r="I7" s="32" t="n">
        <v>3</v>
      </c>
      <c r="J7" s="32" t="n">
        <v>3</v>
      </c>
    </row>
    <row r="8" customFormat="false" ht="38.25" hidden="false" customHeight="true" outlineLevel="0" collapsed="false">
      <c r="A8" s="32" t="n">
        <v>3</v>
      </c>
      <c r="B8" s="32" t="n">
        <v>3</v>
      </c>
      <c r="C8" s="32" t="n">
        <v>3</v>
      </c>
      <c r="D8" s="32" t="n">
        <v>3</v>
      </c>
      <c r="E8" s="32" t="n">
        <v>3</v>
      </c>
      <c r="F8" s="32" t="n">
        <v>3</v>
      </c>
      <c r="G8" s="32" t="n">
        <v>3</v>
      </c>
      <c r="H8" s="32" t="n">
        <v>3</v>
      </c>
      <c r="I8" s="32" t="n">
        <v>3</v>
      </c>
      <c r="J8" s="32" t="n">
        <v>3</v>
      </c>
    </row>
    <row r="9" customFormat="false" ht="38.25" hidden="false" customHeight="true" outlineLevel="0" collapsed="false">
      <c r="A9" s="32" t="n">
        <v>3</v>
      </c>
      <c r="B9" s="32" t="n">
        <v>3</v>
      </c>
      <c r="C9" s="32" t="n">
        <v>3</v>
      </c>
      <c r="D9" s="32" t="n">
        <v>3</v>
      </c>
      <c r="E9" s="32" t="n">
        <v>3</v>
      </c>
      <c r="F9" s="32" t="n">
        <v>3</v>
      </c>
      <c r="G9" s="32" t="n">
        <v>3</v>
      </c>
      <c r="H9" s="32" t="n">
        <v>3</v>
      </c>
      <c r="I9" s="32" t="n">
        <v>3</v>
      </c>
      <c r="J9" s="32" t="n">
        <v>3</v>
      </c>
    </row>
    <row r="10" customFormat="false" ht="38.25" hidden="false" customHeight="true" outlineLevel="0" collapsed="false">
      <c r="A10" s="32" t="n">
        <v>3</v>
      </c>
      <c r="B10" s="32" t="n">
        <v>3</v>
      </c>
      <c r="C10" s="32" t="n">
        <v>3</v>
      </c>
      <c r="D10" s="32" t="n">
        <v>3</v>
      </c>
      <c r="E10" s="32" t="n">
        <v>3</v>
      </c>
      <c r="F10" s="32" t="n">
        <v>3</v>
      </c>
      <c r="G10" s="32" t="n">
        <v>3</v>
      </c>
      <c r="H10" s="32" t="n">
        <v>3</v>
      </c>
      <c r="I10" s="32" t="n">
        <v>3</v>
      </c>
      <c r="J10" s="32" t="n">
        <v>3</v>
      </c>
    </row>
    <row r="11" customFormat="false" ht="15" hidden="false" customHeight="false" outlineLevel="0" collapsed="false">
      <c r="A11" s="33" t="s">
        <v>39</v>
      </c>
      <c r="C11" s="33" t="n">
        <f aca="false">SUM(A1:J10)</f>
        <v>300</v>
      </c>
      <c r="G11" s="34"/>
    </row>
  </sheetData>
  <conditionalFormatting sqref="A1:J10 G11">
    <cfRule type="cellIs" priority="2" operator="equal" aboveAverage="0" equalAverage="0" bottom="0" percent="0" rank="0" text="" dxfId="30">
      <formula>3</formula>
    </cfRule>
    <cfRule type="cellIs" priority="3" operator="equal" aboveAverage="0" equalAverage="0" bottom="0" percent="0" rank="0" text="" dxfId="31">
      <formula>2</formula>
    </cfRule>
    <cfRule type="cellIs" priority="4" operator="between" aboveAverage="0" equalAverage="0" bottom="0" percent="0" rank="0" text="" dxfId="32">
      <formula>1.1</formula>
      <formula>2.9</formula>
    </cfRule>
    <cfRule type="cellIs" priority="5" operator="lessThan" aboveAverage="0" equalAverage="0" bottom="0" percent="0" rank="0" text="" dxfId="33">
      <formula>1</formula>
    </cfRule>
    <cfRule type="cellIs" priority="6" operator="between" aboveAverage="0" equalAverage="0" bottom="0" percent="0" rank="0" text="" dxfId="34">
      <formula>0.1</formula>
      <formula>1.9</formula>
    </cfRule>
    <cfRule type="cellIs" priority="7" operator="greaterThan" aboveAverage="0" equalAverage="0" bottom="0" percent="0" rank="0" text="" dxfId="35">
      <formula>2.1</formula>
    </cfRule>
    <cfRule type="cellIs" priority="8" operator="equal" aboveAverage="0" equalAverage="0" bottom="0" percent="0" rank="0" text="" dxfId="36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0" fitToHeight="4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LibreOffice/25.2.5.2$MacOSX_AARCH64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2024-10-17T02:06:05Z</dcterms:created>
  <dc:creator>Lucile DELATOUCHE</dc:creator>
  <dc:description/>
  <dc:language>en-US</dc:language>
  <cp:lastModifiedBy/>
  <dcterms:modified xsi:type="dcterms:W3CDTF">2025-09-23T17:23:56Z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