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 ini" sheetId="1" state="visible" r:id="rId3"/>
    <sheet name="calcul" sheetId="2" state="visible" r:id="rId4"/>
    <sheet name="field" sheetId="3" state="visible" r:id="rId5"/>
    <sheet name="BPH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<sst xmlns="http://schemas.openxmlformats.org/spreadsheetml/2006/main" count="46" uniqueCount="40">
  <si>
    <t xml:space="preserve">info initial</t>
  </si>
  <si>
    <t xml:space="preserve">normal</t>
  </si>
  <si>
    <t xml:space="preserve">pest</t>
  </si>
  <si>
    <t xml:space="preserve">parasitoids</t>
  </si>
  <si>
    <t xml:space="preserve">predators</t>
  </si>
  <si>
    <t xml:space="preserve">reproduction rate</t>
  </si>
  <si>
    <t xml:space="preserve">reproduction rate after pesticide</t>
  </si>
  <si>
    <t xml:space="preserve">consumption rate</t>
  </si>
  <si>
    <t xml:space="preserve">survival pesticides</t>
  </si>
  <si>
    <t xml:space="preserve">resistance </t>
  </si>
  <si>
    <t xml:space="preserve">reproduction</t>
  </si>
  <si>
    <t xml:space="preserve">Cycle 1</t>
  </si>
  <si>
    <t xml:space="preserve">Pest- total</t>
  </si>
  <si>
    <t xml:space="preserve">Pest resistant</t>
  </si>
  <si>
    <t xml:space="preserve">Pest non-restistant</t>
  </si>
  <si>
    <t xml:space="preserve">potential parasitoid</t>
  </si>
  <si>
    <t xml:space="preserve">Parasitoids</t>
  </si>
  <si>
    <t xml:space="preserve">Potential pest eaten by parasitoids</t>
  </si>
  <si>
    <t xml:space="preserve">potential predator</t>
  </si>
  <si>
    <t xml:space="preserve">Predators</t>
  </si>
  <si>
    <t xml:space="preserve">potential pests eaten by predators</t>
  </si>
  <si>
    <t xml:space="preserve">total potential pest eaten</t>
  </si>
  <si>
    <t xml:space="preserve">total  Pest eaten</t>
  </si>
  <si>
    <t xml:space="preserve">predation rate</t>
  </si>
  <si>
    <t xml:space="preserve">Field cases</t>
  </si>
  <si>
    <t xml:space="preserve">Dynamic yield</t>
  </si>
  <si>
    <t xml:space="preserve">Potential Yield</t>
  </si>
  <si>
    <t xml:space="preserve">Real Yield (tons)</t>
  </si>
  <si>
    <t xml:space="preserve">Treatment</t>
  </si>
  <si>
    <t xml:space="preserve">max dynamic yield</t>
  </si>
  <si>
    <t xml:space="preserve">TOTAL TREATMENT</t>
  </si>
  <si>
    <t xml:space="preserve">TOTAL YIELD</t>
  </si>
  <si>
    <t xml:space="preserve">week</t>
  </si>
  <si>
    <t xml:space="preserve">sticky notes you need to remove</t>
  </si>
  <si>
    <t xml:space="preserve">pesticide spray (0/1)</t>
  </si>
  <si>
    <t xml:space="preserve">Sticky notes total (field size*3)</t>
  </si>
  <si>
    <t xml:space="preserve">week 2: brown plant hopper have arrived. You remove 13 sticky notes and decide if you want to do a pesticide treatment</t>
  </si>
  <si>
    <t xml:space="preserve">HARVEST</t>
  </si>
  <si>
    <t xml:space="preserve">sticky notes remaining: </t>
  </si>
  <si>
    <t xml:space="preserve">Final yield (t/ha):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</si>
</sst>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.00"/>
    <numFmt numFmtId="168" formatCode="_-* #,##0.00_-;\-* #,##0.00_-;_-* \-??_-;_-@_-"/>
    <numFmt numFmtId="169" formatCode="_-* #,##0_-;\-* #,##0_-;_-* \-??_-;_-@_-"/>
    <numFmt numFmtId="170" formatCode="0.00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4"/>
      <name val="Calibri"/>
      <family val="2"/>
      <charset val="1"/>
    </font>
    <font>
      <sz val="16"/>
      <color rgb="FF595959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color theme="1"/>
      <name val="Calibri"/>
      <family val="2"/>
      <charset val="1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"/>
        <bgColor rgb="FFD9D9D9"/>
      </patternFill>
    </fill>
    <fill>
      <patternFill patternType="solid">
        <fgColor theme="7" tint="0.7999"/>
        <bgColor rgb="FFFFFFFF"/>
      </patternFill>
    </fill>
    <fill>
      <patternFill patternType="solid">
        <fgColor rgb="FF00B0F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theme="8" tint="0.5999"/>
        </patternFill>
      </fill>
    </dxf>
    <dxf>
      <font>
        <color rgb="FFBDD7EE"/>
      </font>
    </dxf>
    <dxf>
      <font>
        <color rgb="FFFFFFFF"/>
      </font>
    </dxf>
    <dxf>
      <font>
        <color rgb="FFFF99FF"/>
      </font>
    </dxf>
    <dxf>
      <font>
        <color rgb="FF70AD47"/>
      </font>
    </dxf>
    <dxf>
      <fill>
        <patternFill>
          <bgColor rgb="FFFF99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B8B8B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FF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51668169522092"/>
          <c:y val="0.0439907038512616"/>
          <c:w val="0.915883034909185"/>
          <c:h val="0.777888446215139"/>
        </c:manualLayout>
      </c:layout>
      <c:lineChart>
        <c:grouping val="standard"/>
        <c:varyColors val="0"/>
        <c:ser>
          <c:idx val="0"/>
          <c:order val="0"/>
          <c:tx>
            <c:strRef>
              <c:f>calcul!$B$1</c:f>
              <c:strCache>
                <c:ptCount val="1"/>
                <c:pt idx="0">
                  <c:v>Pest- total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calcul!$B$2:$B$14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52.2802</c:v>
                </c:pt>
                <c:pt idx="4">
                  <c:v>40.0094626815965</c:v>
                </c:pt>
                <c:pt idx="5">
                  <c:v>43.055583804632</c:v>
                </c:pt>
                <c:pt idx="6">
                  <c:v>57.4430420015479</c:v>
                </c:pt>
                <c:pt idx="7">
                  <c:v>86.5080416586947</c:v>
                </c:pt>
                <c:pt idx="8">
                  <c:v>139.982876349511</c:v>
                </c:pt>
                <c:pt idx="9">
                  <c:v>252.790246769528</c:v>
                </c:pt>
                <c:pt idx="10">
                  <c:v>418.349573783419</c:v>
                </c:pt>
                <c:pt idx="11">
                  <c:v>727.67088775234</c:v>
                </c:pt>
                <c:pt idx="12">
                  <c:v>1289.88212741324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calcul!$F$1</c:f>
              <c:strCache>
                <c:ptCount val="1"/>
                <c:pt idx="0">
                  <c:v>Parasitoids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calcul!$F$2:$F$14</c:f>
              <c:numCache>
                <c:formatCode>0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4.5</c:v>
                </c:pt>
                <c:pt idx="4">
                  <c:v>1.6875</c:v>
                </c:pt>
                <c:pt idx="5">
                  <c:v>0.6328125</c:v>
                </c:pt>
                <c:pt idx="6">
                  <c:v>0.2373046875</c:v>
                </c:pt>
                <c:pt idx="7">
                  <c:v>0.0889892578125</c:v>
                </c:pt>
                <c:pt idx="8">
                  <c:v>0.0333709716796875</c:v>
                </c:pt>
                <c:pt idx="9">
                  <c:v>0.0417137145996094</c:v>
                </c:pt>
                <c:pt idx="10">
                  <c:v>0.0156426429748535</c:v>
                </c:pt>
                <c:pt idx="11">
                  <c:v>0.00586599111557007</c:v>
                </c:pt>
                <c:pt idx="12">
                  <c:v>0.00219974666833877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calcul!$I$1</c:f>
              <c:strCache>
                <c:ptCount val="1"/>
                <c:pt idx="0">
                  <c:v>Predators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calcul!$I$2:$I$14</c:f>
              <c:numCache>
                <c:formatCode>0</c:formatCode>
                <c:ptCount val="13"/>
                <c:pt idx="0">
                  <c:v>4</c:v>
                </c:pt>
                <c:pt idx="1">
                  <c:v>4.4</c:v>
                </c:pt>
                <c:pt idx="2">
                  <c:v>4.84</c:v>
                </c:pt>
                <c:pt idx="3">
                  <c:v>2.662</c:v>
                </c:pt>
                <c:pt idx="4">
                  <c:v>1.4641</c:v>
                </c:pt>
                <c:pt idx="5">
                  <c:v>0.805255</c:v>
                </c:pt>
                <c:pt idx="6">
                  <c:v>0.44289025</c:v>
                </c:pt>
                <c:pt idx="7">
                  <c:v>0.2435896375</c:v>
                </c:pt>
                <c:pt idx="8">
                  <c:v>0.133974300625</c:v>
                </c:pt>
                <c:pt idx="9">
                  <c:v>0.1473717306875</c:v>
                </c:pt>
                <c:pt idx="10">
                  <c:v>0.0810544518781251</c:v>
                </c:pt>
                <c:pt idx="11">
                  <c:v>0.0445799485329688</c:v>
                </c:pt>
                <c:pt idx="12">
                  <c:v>0.0245189716931328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460587"/>
        <c:axId val="47050420"/>
      </c:lineChart>
      <c:lineChart>
        <c:grouping val="standard"/>
        <c:varyColors val="0"/>
        <c:ser>
          <c:idx val="3"/>
          <c:order val="3"/>
          <c:tx>
            <c:strRef>
              <c:f>"treatment"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calcul!$R$2:$R$14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274870"/>
        <c:axId val="15761730"/>
      </c:lineChart>
      <c:catAx>
        <c:axId val="984605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7050420"/>
        <c:crosses val="autoZero"/>
        <c:auto val="1"/>
        <c:lblAlgn val="ctr"/>
        <c:lblOffset val="100"/>
        <c:noMultiLvlLbl val="0"/>
      </c:catAx>
      <c:valAx>
        <c:axId val="47050420"/>
        <c:scaling>
          <c:orientation val="minMax"/>
          <c:max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8460587"/>
        <c:crosses val="autoZero"/>
        <c:crossBetween val="between"/>
      </c:valAx>
      <c:catAx>
        <c:axId val="912748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5761730"/>
        <c:auto val="1"/>
        <c:lblAlgn val="ctr"/>
        <c:lblOffset val="100"/>
        <c:noMultiLvlLbl val="0"/>
      </c:catAx>
      <c:valAx>
        <c:axId val="15761730"/>
        <c:scaling>
          <c:orientation val="minMax"/>
          <c:max val="2.5"/>
          <c:min val="0.1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1274870"/>
        <c:crosses val="max"/>
        <c:crossBetween val="between"/>
        <c:majorUnit val="2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6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6615067079463"/>
          <c:y val="0.0369458128078818"/>
          <c:w val="0.883226164959911"/>
          <c:h val="0.808092892329346"/>
        </c:manualLayout>
      </c:layout>
      <c:lineChart>
        <c:grouping val="standard"/>
        <c:varyColors val="0"/>
        <c:ser>
          <c:idx val="0"/>
          <c:order val="0"/>
          <c:tx>
            <c:strRef>
              <c:f>calcul!$Q$1</c:f>
              <c:strCache>
                <c:ptCount val="1"/>
                <c:pt idx="0">
                  <c:v>Real Yield (tons)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calcul!$Q$2:$Q$14</c:f>
              <c:numCache>
                <c:formatCode>_-* #,##0.00_-;\-* #,##0.00_-;_-* \-??_-;_-@_-</c:formatCode>
                <c:ptCount val="13"/>
                <c:pt idx="0">
                  <c:v>0</c:v>
                </c:pt>
                <c:pt idx="1">
                  <c:v>0.454545454545455</c:v>
                </c:pt>
                <c:pt idx="2">
                  <c:v>0.88888888888889</c:v>
                </c:pt>
                <c:pt idx="3">
                  <c:v>1.31749084848485</c:v>
                </c:pt>
                <c:pt idx="4">
                  <c:v>1.74048902517915</c:v>
                </c:pt>
                <c:pt idx="5">
                  <c:v>2.15386603712817</c:v>
                </c:pt>
                <c:pt idx="6">
                  <c:v>2.54982527970438</c:v>
                </c:pt>
                <c:pt idx="7">
                  <c:v>2.91362885747219</c:v>
                </c:pt>
                <c:pt idx="8">
                  <c:v>3.2167440755588</c:v>
                </c:pt>
                <c:pt idx="9">
                  <c:v>3.38902776975862</c:v>
                </c:pt>
                <c:pt idx="10">
                  <c:v>3.34301108378896</c:v>
                </c:pt>
                <c:pt idx="11">
                  <c:v>2.86878898355414</c:v>
                </c:pt>
                <c:pt idx="12">
                  <c:v>1.43558661976165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"max yield"</c:f>
              <c:strCache>
                <c:ptCount val="1"/>
                <c:pt idx="0">
                  <c:v>max yield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calcul!$T$2:$T$14</c:f>
              <c:numCache>
                <c:formatCode>General</c:formatCode>
                <c:ptCount val="13"/>
                <c:pt idx="0">
                  <c:v>0</c:v>
                </c:pt>
                <c:pt idx="1">
                  <c:v>0.454545454545455</c:v>
                </c:pt>
                <c:pt idx="2">
                  <c:v>0.909090909090909</c:v>
                </c:pt>
                <c:pt idx="3">
                  <c:v>1.36363636363636</c:v>
                </c:pt>
                <c:pt idx="4">
                  <c:v>1.81818181818182</c:v>
                </c:pt>
                <c:pt idx="5">
                  <c:v>2.27272727272727</c:v>
                </c:pt>
                <c:pt idx="6">
                  <c:v>2.72727272727273</c:v>
                </c:pt>
                <c:pt idx="7">
                  <c:v>3.18181818181818</c:v>
                </c:pt>
                <c:pt idx="8">
                  <c:v>3.63636363636364</c:v>
                </c:pt>
                <c:pt idx="9">
                  <c:v>4.09090909090909</c:v>
                </c:pt>
                <c:pt idx="10">
                  <c:v>4.54545454545455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833707"/>
        <c:axId val="88052572"/>
      </c:lineChart>
      <c:catAx>
        <c:axId val="638337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8052572"/>
        <c:crosses val="autoZero"/>
        <c:auto val="1"/>
        <c:lblAlgn val="ctr"/>
        <c:lblOffset val="100"/>
        <c:noMultiLvlLbl val="0"/>
      </c:catAx>
      <c:valAx>
        <c:axId val="88052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-* #,##0.00_-;\-* #,##0.00_-;_-* \-??_-;_-@_-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38337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6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669188"/>
        <c:axId val="96520098"/>
      </c:lineChart>
      <c:catAx>
        <c:axId val="426691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6520098"/>
        <c:crosses val="autoZero"/>
        <c:auto val="1"/>
        <c:lblAlgn val="ctr"/>
        <c:lblOffset val="100"/>
        <c:noMultiLvlLbl val="0"/>
      </c:catAx>
      <c:valAx>
        <c:axId val="96520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26691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604080</xdr:colOff>
      <xdr:row>0</xdr:row>
      <xdr:rowOff>317520</xdr:rowOff>
    </xdr:from>
    <xdr:to>
      <xdr:col>32</xdr:col>
      <xdr:colOff>67680</xdr:colOff>
      <xdr:row>22</xdr:row>
      <xdr:rowOff>73080</xdr:rowOff>
    </xdr:to>
    <xdr:graphicFrame>
      <xdr:nvGraphicFramePr>
        <xdr:cNvPr id="0" name="Graphique 1"/>
        <xdr:cNvGraphicFramePr/>
      </xdr:nvGraphicFramePr>
      <xdr:xfrm>
        <a:off x="20975400" y="317520"/>
        <a:ext cx="8383680" cy="433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756720</xdr:colOff>
      <xdr:row>23</xdr:row>
      <xdr:rowOff>49320</xdr:rowOff>
    </xdr:from>
    <xdr:to>
      <xdr:col>32</xdr:col>
      <xdr:colOff>95400</xdr:colOff>
      <xdr:row>50</xdr:row>
      <xdr:rowOff>21240</xdr:rowOff>
    </xdr:to>
    <xdr:graphicFrame>
      <xdr:nvGraphicFramePr>
        <xdr:cNvPr id="1" name="Graphique 3"/>
        <xdr:cNvGraphicFramePr/>
      </xdr:nvGraphicFramePr>
      <xdr:xfrm>
        <a:off x="20317320" y="4821480"/>
        <a:ext cx="9069480" cy="511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156240</xdr:colOff>
      <xdr:row>0</xdr:row>
      <xdr:rowOff>163800</xdr:rowOff>
    </xdr:from>
    <xdr:to>
      <xdr:col>29</xdr:col>
      <xdr:colOff>40680</xdr:colOff>
      <xdr:row>10</xdr:row>
      <xdr:rowOff>44280</xdr:rowOff>
    </xdr:to>
    <xdr:graphicFrame>
      <xdr:nvGraphicFramePr>
        <xdr:cNvPr id="2" name="Graphique 1"/>
        <xdr:cNvGraphicFramePr/>
      </xdr:nvGraphicFramePr>
      <xdr:xfrm>
        <a:off x="14086080" y="163800"/>
        <a:ext cx="5914440" cy="47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21</xdr:col>
      <xdr:colOff>685800</xdr:colOff>
      <xdr:row>0</xdr:row>
      <xdr:rowOff>257040</xdr:rowOff>
    </xdr:from>
    <xdr:to>
      <xdr:col>29</xdr:col>
      <xdr:colOff>147240</xdr:colOff>
      <xdr:row>9</xdr:row>
      <xdr:rowOff>341640</xdr:rowOff>
    </xdr:to>
    <xdr:sp>
      <xdr:nvSpPr>
        <xdr:cNvPr id="3" name="Rectangle 2"/>
        <xdr:cNvSpPr/>
      </xdr:nvSpPr>
      <xdr:spPr>
        <a:xfrm>
          <a:off x="14615640" y="257040"/>
          <a:ext cx="5491440" cy="4456440"/>
        </a:xfrm>
        <a:prstGeom prst="rect">
          <a:avLst/>
        </a:prstGeom>
        <a:solidFill>
          <a:srgbClr val="ffffff"/>
        </a:solidFill>
        <a:ln w="12700">
          <a:solidFill>
            <a:srgbClr val="ffffff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6953125" defaultRowHeight="15" customHeight="true" zeroHeight="false" outlineLevelRow="0" outlineLevelCol="0"/>
  <cols>
    <col collapsed="false" customWidth="true" hidden="false" outlineLevel="0" max="1" min="1" style="1" width="30.33"/>
    <col collapsed="false" customWidth="true" hidden="false" outlineLevel="0" max="2" min="2" style="1" width="5.16"/>
    <col collapsed="false" customWidth="true" hidden="false" outlineLevel="0" max="3" min="3" style="1" width="15.51"/>
    <col collapsed="false" customWidth="true" hidden="false" outlineLevel="0" max="4" min="4" style="1" width="9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4" t="s">
        <v>2</v>
      </c>
      <c r="C3" s="4" t="s">
        <v>3</v>
      </c>
      <c r="D3" s="4" t="s">
        <v>4</v>
      </c>
    </row>
    <row r="4" customFormat="false" ht="15" hidden="false" customHeight="false" outlineLevel="0" collapsed="false">
      <c r="A4" s="5" t="s">
        <v>5</v>
      </c>
      <c r="B4" s="6" t="n">
        <f aca="false">2*7/10.42</f>
        <v>1.34357005758157</v>
      </c>
      <c r="C4" s="6" t="n">
        <v>1.25</v>
      </c>
      <c r="D4" s="6" t="n">
        <v>1.1</v>
      </c>
    </row>
    <row r="5" customFormat="false" ht="15" hidden="false" customHeight="false" outlineLevel="0" collapsed="false">
      <c r="A5" s="5" t="s">
        <v>6</v>
      </c>
      <c r="B5" s="6" t="n">
        <v>1.6</v>
      </c>
      <c r="C5" s="6"/>
      <c r="D5" s="6"/>
    </row>
    <row r="6" customFormat="false" ht="15" hidden="false" customHeight="false" outlineLevel="0" collapsed="false">
      <c r="A6" s="5" t="s">
        <v>7</v>
      </c>
      <c r="B6" s="6" t="n">
        <v>0.8</v>
      </c>
      <c r="C6" s="7" t="n">
        <v>1.1</v>
      </c>
      <c r="D6" s="7" t="n">
        <v>2.5</v>
      </c>
    </row>
    <row r="7" customFormat="false" ht="15" hidden="false" customHeight="false" outlineLevel="0" collapsed="false">
      <c r="A7" s="8" t="s">
        <v>8</v>
      </c>
      <c r="B7" s="9" t="n">
        <v>0.3</v>
      </c>
      <c r="C7" s="9" t="n">
        <v>0.3</v>
      </c>
      <c r="D7" s="9" t="n">
        <v>0.5</v>
      </c>
    </row>
    <row r="10" s="10" customFormat="true" ht="15" hidden="false" customHeight="false" outlineLevel="0" collapsed="false">
      <c r="A10" s="3" t="s">
        <v>9</v>
      </c>
      <c r="B10" s="4" t="s">
        <v>2</v>
      </c>
      <c r="C10" s="4" t="s">
        <v>3</v>
      </c>
      <c r="D10" s="4" t="s">
        <v>4</v>
      </c>
    </row>
    <row r="11" customFormat="false" ht="15" hidden="false" customHeight="false" outlineLevel="0" collapsed="false">
      <c r="A11" s="5" t="s">
        <v>10</v>
      </c>
      <c r="B11" s="6" t="n">
        <v>1.34</v>
      </c>
      <c r="C11" s="6" t="n">
        <v>1.25</v>
      </c>
      <c r="D11" s="6" t="n">
        <v>1.1</v>
      </c>
    </row>
    <row r="12" customFormat="false" ht="15" hidden="false" customHeight="false" outlineLevel="0" collapsed="false">
      <c r="A12" s="5" t="s">
        <v>6</v>
      </c>
      <c r="B12" s="6" t="n">
        <v>1.8</v>
      </c>
      <c r="C12" s="6"/>
      <c r="D12" s="6"/>
    </row>
    <row r="13" customFormat="false" ht="15" hidden="false" customHeight="false" outlineLevel="0" collapsed="false">
      <c r="A13" s="5" t="s">
        <v>7</v>
      </c>
      <c r="B13" s="6" t="n">
        <v>0.8</v>
      </c>
      <c r="C13" s="7" t="n">
        <v>1.1</v>
      </c>
      <c r="D13" s="7" t="n">
        <v>2.5</v>
      </c>
    </row>
    <row r="14" customFormat="false" ht="15" hidden="false" customHeight="false" outlineLevel="0" collapsed="false">
      <c r="A14" s="8" t="s">
        <v>8</v>
      </c>
      <c r="B14" s="9" t="n">
        <v>1</v>
      </c>
      <c r="C14" s="9" t="n">
        <v>0.4</v>
      </c>
      <c r="D14" s="9" t="n">
        <v>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"/>
  <sheetViews>
    <sheetView showFormulas="false" showGridLines="true" showRowColHeaders="true" showZeros="true" rightToLeft="false" tabSelected="true" showOutlineSymbols="true" defaultGridColor="true" view="normal" topLeftCell="G1" colorId="64" zoomScale="115" zoomScaleNormal="115" zoomScalePageLayoutView="100" workbookViewId="0">
      <selection pane="topLeft" activeCell="G5" activeCellId="0" sqref="G5"/>
    </sheetView>
  </sheetViews>
  <sheetFormatPr defaultColWidth="11.5078125" defaultRowHeight="15" customHeight="true" zeroHeight="false" outlineLevelRow="0" outlineLevelCol="0"/>
  <cols>
    <col collapsed="false" customWidth="false" hidden="false" outlineLevel="0" max="1" min="1" style="11" width="11.5"/>
    <col collapsed="false" customWidth="true" hidden="false" outlineLevel="0" max="4" min="2" style="11" width="12"/>
    <col collapsed="false" customWidth="true" hidden="false" outlineLevel="0" max="5" min="5" style="11" width="14.83"/>
    <col collapsed="false" customWidth="true" hidden="false" outlineLevel="0" max="7" min="6" style="11" width="16.33"/>
    <col collapsed="false" customWidth="true" hidden="false" outlineLevel="0" max="8" min="8" style="11" width="14.83"/>
    <col collapsed="false" customWidth="true" hidden="false" outlineLevel="0" max="9" min="9" style="11" width="12.83"/>
    <col collapsed="false" customWidth="true" hidden="false" outlineLevel="0" max="11" min="10" style="11" width="16.5"/>
    <col collapsed="false" customWidth="false" hidden="false" outlineLevel="0" max="12" min="12" style="11" width="11.5"/>
    <col collapsed="false" customWidth="true" hidden="false" outlineLevel="0" max="13" min="13" style="11" width="15.83"/>
    <col collapsed="false" customWidth="false" hidden="false" outlineLevel="0" max="14" min="14" style="11" width="11.5"/>
    <col collapsed="false" customWidth="true" hidden="false" outlineLevel="0" max="15" min="15" style="11" width="17.5"/>
    <col collapsed="false" customWidth="true" hidden="false" outlineLevel="0" max="16" min="16" style="11" width="13"/>
    <col collapsed="false" customWidth="true" hidden="false" outlineLevel="0" max="17" min="17" style="11" width="15.83"/>
    <col collapsed="false" customWidth="true" hidden="false" outlineLevel="0" max="18" min="18" style="11" width="13.67"/>
    <col collapsed="false" customWidth="false" hidden="false" outlineLevel="0" max="16384" min="19" style="11" width="11.5"/>
  </cols>
  <sheetData>
    <row r="1" s="12" customFormat="true" ht="36.15" hidden="false" customHeight="false" outlineLevel="0" collapsed="false">
      <c r="A1" s="12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3" t="s">
        <v>16</v>
      </c>
      <c r="G1" s="12" t="s">
        <v>17</v>
      </c>
      <c r="H1" s="12" t="s">
        <v>18</v>
      </c>
      <c r="I1" s="13" t="s">
        <v>19</v>
      </c>
      <c r="J1" s="12" t="s">
        <v>20</v>
      </c>
      <c r="K1" s="12" t="s">
        <v>21</v>
      </c>
      <c r="L1" s="13" t="s">
        <v>22</v>
      </c>
      <c r="M1" s="12" t="s">
        <v>23</v>
      </c>
      <c r="N1" s="12" t="s">
        <v>24</v>
      </c>
      <c r="O1" s="14" t="s">
        <v>25</v>
      </c>
      <c r="P1" s="12" t="s">
        <v>26</v>
      </c>
      <c r="Q1" s="12" t="s">
        <v>27</v>
      </c>
      <c r="R1" s="15" t="s">
        <v>28</v>
      </c>
      <c r="T1" s="12" t="s">
        <v>29</v>
      </c>
    </row>
    <row r="2" customFormat="false" ht="15" hidden="false" customHeight="false" outlineLevel="0" collapsed="false">
      <c r="A2" s="11" t="n">
        <v>0</v>
      </c>
      <c r="B2" s="16" t="n">
        <f aca="false">C2+D2</f>
        <v>0</v>
      </c>
      <c r="C2" s="17" t="n">
        <v>0</v>
      </c>
      <c r="D2" s="16" t="n">
        <v>0</v>
      </c>
      <c r="E2" s="16" t="n">
        <f aca="false">F2</f>
        <v>12</v>
      </c>
      <c r="F2" s="18" t="n">
        <v>12</v>
      </c>
      <c r="G2" s="16" t="n">
        <f aca="false">F2*'info ini'!$C$6</f>
        <v>13.2</v>
      </c>
      <c r="H2" s="16" t="n">
        <f aca="false">I2</f>
        <v>4</v>
      </c>
      <c r="I2" s="18" t="n">
        <v>4</v>
      </c>
      <c r="J2" s="16" t="n">
        <f aca="false">'info ini'!$D$6*I2</f>
        <v>10</v>
      </c>
      <c r="K2" s="16" t="n">
        <f aca="false">J2+G2</f>
        <v>23.2</v>
      </c>
      <c r="L2" s="18" t="n">
        <f aca="false">IF((G2+J2)&lt;B2,(G2+J2),B2)</f>
        <v>0</v>
      </c>
      <c r="M2" s="19" t="n">
        <f aca="false">IF(B2=0,0,L2/B2)</f>
        <v>0</v>
      </c>
      <c r="N2" s="20" t="n">
        <f aca="false">300</f>
        <v>300</v>
      </c>
      <c r="O2" s="19" t="n">
        <v>0</v>
      </c>
      <c r="P2" s="21" t="n">
        <f aca="false">N2/300</f>
        <v>1</v>
      </c>
      <c r="Q2" s="21" t="n">
        <f aca="false">N2*O2*5/(100*300)</f>
        <v>0</v>
      </c>
      <c r="R2" s="11" t="n">
        <f aca="false">BPH!C2</f>
        <v>0</v>
      </c>
      <c r="T2" s="11" t="n">
        <f aca="false">5*O2/100</f>
        <v>0</v>
      </c>
    </row>
    <row r="3" customFormat="false" ht="15" hidden="false" customHeight="false" outlineLevel="0" collapsed="false">
      <c r="A3" s="11" t="n">
        <v>1</v>
      </c>
      <c r="B3" s="16" t="n">
        <f aca="false">C3+D3</f>
        <v>0</v>
      </c>
      <c r="C3" s="17" t="n">
        <v>0</v>
      </c>
      <c r="D3" s="16" t="n">
        <v>0</v>
      </c>
      <c r="E3" s="16" t="n">
        <f aca="false">F2*'info ini'!C$4</f>
        <v>15</v>
      </c>
      <c r="F3" s="18" t="n">
        <f aca="false">IF(R2=1,'info ini'!$C$7,1)*F2*IF(K2=L2,'info ini'!$C$4,(('info ini'!$C$4-1)*L2/K2)+1)</f>
        <v>12</v>
      </c>
      <c r="G3" s="16" t="n">
        <f aca="false">F3*'info ini'!$C$6</f>
        <v>13.2</v>
      </c>
      <c r="H3" s="16" t="n">
        <f aca="false">I2*'info ini'!D$4</f>
        <v>4.4</v>
      </c>
      <c r="I3" s="18" t="n">
        <f aca="false">IF(R2=1,'info ini'!$D$7,1)*I2*'info ini'!$D$4</f>
        <v>4.4</v>
      </c>
      <c r="J3" s="16" t="n">
        <f aca="false">I3*'info ini'!$D$6</f>
        <v>11</v>
      </c>
      <c r="K3" s="16" t="n">
        <f aca="false">J3+G3</f>
        <v>24.2</v>
      </c>
      <c r="L3" s="18" t="n">
        <f aca="false">IF((G3+J3)&lt;B3,(G3+J3),B3)</f>
        <v>0</v>
      </c>
      <c r="M3" s="19" t="n">
        <f aca="false">IF(B3=0,0,L3/B3)</f>
        <v>0</v>
      </c>
      <c r="N3" s="16" t="n">
        <f aca="false">IF((N2-(B3/15))&gt;0,N2-(B3/15),0)</f>
        <v>300</v>
      </c>
      <c r="O3" s="19" t="n">
        <f aca="false">A3*100/11</f>
        <v>9.09090909090909</v>
      </c>
      <c r="P3" s="19" t="n">
        <f aca="false">N3/300</f>
        <v>1</v>
      </c>
      <c r="Q3" s="19" t="n">
        <f aca="false">N3*O3*5/(100*300)</f>
        <v>0.454545454545455</v>
      </c>
      <c r="R3" s="11" t="n">
        <f aca="false">BPH!C3</f>
        <v>0</v>
      </c>
      <c r="S3" s="16"/>
      <c r="T3" s="11" t="n">
        <f aca="false">5*O3/100</f>
        <v>0.454545454545455</v>
      </c>
    </row>
    <row r="4" customFormat="false" ht="15" hidden="false" customHeight="false" outlineLevel="0" collapsed="false">
      <c r="A4" s="11" t="n">
        <v>2</v>
      </c>
      <c r="B4" s="16" t="n">
        <f aca="false">C4+D4</f>
        <v>100</v>
      </c>
      <c r="C4" s="17" t="n">
        <v>10</v>
      </c>
      <c r="D4" s="16" t="n">
        <v>90</v>
      </c>
      <c r="E4" s="16" t="n">
        <f aca="false">F3*'info ini'!C$4</f>
        <v>15</v>
      </c>
      <c r="F4" s="18" t="n">
        <f aca="false">IF(R3=1,'info ini'!$C$7,1)*F3*IF(K3=L3,'info ini'!$C$4,(('info ini'!$C$4-1)*L3/K3)+1)</f>
        <v>12</v>
      </c>
      <c r="G4" s="16" t="n">
        <f aca="false">F4*'info ini'!$C$6</f>
        <v>13.2</v>
      </c>
      <c r="H4" s="16" t="n">
        <f aca="false">I3*'info ini'!D$4</f>
        <v>4.84</v>
      </c>
      <c r="I4" s="18" t="n">
        <f aca="false">IF(R3=1,'info ini'!$D$7,1)*I3*'info ini'!$D$4</f>
        <v>4.84</v>
      </c>
      <c r="J4" s="16" t="n">
        <f aca="false">I4*'info ini'!$D$6</f>
        <v>12.1</v>
      </c>
      <c r="K4" s="16" t="n">
        <f aca="false">J4+G4</f>
        <v>25.3</v>
      </c>
      <c r="L4" s="18" t="n">
        <f aca="false">IF((G4+J4)&lt;B4,(G4+J4),B4)</f>
        <v>25.3</v>
      </c>
      <c r="M4" s="19" t="n">
        <f aca="false">IF(B4=0,0,L4/B4)</f>
        <v>0.253</v>
      </c>
      <c r="N4" s="16" t="n">
        <f aca="false">IF((N3-(B4/15))&gt;0,N3-(B4/15),0)</f>
        <v>293.333333333333</v>
      </c>
      <c r="O4" s="19" t="n">
        <f aca="false">A4*100/11</f>
        <v>18.1818181818182</v>
      </c>
      <c r="P4" s="19" t="n">
        <f aca="false">N4/300</f>
        <v>0.977777777777778</v>
      </c>
      <c r="Q4" s="19" t="n">
        <f aca="false">N4*O4*5/(100*300)</f>
        <v>0.88888888888889</v>
      </c>
      <c r="R4" s="11" t="n">
        <f aca="false">BPH!C4</f>
        <v>1</v>
      </c>
      <c r="S4" s="16"/>
      <c r="T4" s="11" t="n">
        <f aca="false">5*O4/100</f>
        <v>0.909090909090909</v>
      </c>
    </row>
    <row r="5" customFormat="false" ht="15" hidden="false" customHeight="false" outlineLevel="0" collapsed="false">
      <c r="A5" s="11" t="n">
        <v>3</v>
      </c>
      <c r="B5" s="16" t="n">
        <f aca="false">C5+D5</f>
        <v>52.2802</v>
      </c>
      <c r="C5" s="17" t="n">
        <f aca="false">C4*(1-M4)*IF(SUM($R$2:R4)&gt;1,'info ini'!B$12,'info ini'!B$11)+0.2</f>
        <v>10.2098</v>
      </c>
      <c r="D5" s="16" t="n">
        <f aca="false">D4*(1-M4)*IF(SUM($R$2,R4)=0,'info ini'!B$4,'info ini'!B$5)*IF(R4=1,'info ini'!B$7,1)+9.8</f>
        <v>42.0704</v>
      </c>
      <c r="E5" s="16" t="n">
        <f aca="false">F4*'info ini'!C$4</f>
        <v>15</v>
      </c>
      <c r="F5" s="18" t="n">
        <f aca="false">IF(R4=1,'info ini'!$C$7,1)*F4*IF(K4=L4,'info ini'!$C$4,(('info ini'!$C$4-1)*L4/K4)+1)</f>
        <v>4.5</v>
      </c>
      <c r="G5" s="16" t="n">
        <f aca="false">F5*'info ini'!$C$6</f>
        <v>4.95</v>
      </c>
      <c r="H5" s="16" t="n">
        <f aca="false">I4*'info ini'!D$4</f>
        <v>5.324</v>
      </c>
      <c r="I5" s="18" t="n">
        <f aca="false">IF(R4=1,'info ini'!$D$7,1)*I4*'info ini'!$D$4</f>
        <v>2.662</v>
      </c>
      <c r="J5" s="16" t="n">
        <f aca="false">I5*'info ini'!$D$6</f>
        <v>6.655</v>
      </c>
      <c r="K5" s="16" t="n">
        <f aca="false">J5+G5</f>
        <v>11.605</v>
      </c>
      <c r="L5" s="18" t="n">
        <f aca="false">IF((G5+J5)&lt;B5,(G5+J5),B5)</f>
        <v>11.605</v>
      </c>
      <c r="M5" s="19" t="n">
        <f aca="false">IF(B5=0,0,L5/B5)</f>
        <v>0.221976962597695</v>
      </c>
      <c r="N5" s="16" t="n">
        <f aca="false">IF((N4-(B5/15))&gt;0,N4-(B5/15),0)</f>
        <v>289.847986666666</v>
      </c>
      <c r="O5" s="19" t="n">
        <f aca="false">A5*100/11</f>
        <v>27.2727272727273</v>
      </c>
      <c r="P5" s="19" t="n">
        <f aca="false">N5/300</f>
        <v>0.966159955555554</v>
      </c>
      <c r="Q5" s="19" t="n">
        <f aca="false">N5*O5*5/(100*300)</f>
        <v>1.31749084848485</v>
      </c>
      <c r="R5" s="11" t="n">
        <f aca="false">BPH!C5</f>
        <v>1</v>
      </c>
      <c r="S5" s="16"/>
      <c r="T5" s="11" t="n">
        <f aca="false">5*O5/100</f>
        <v>1.36363636363636</v>
      </c>
    </row>
    <row r="6" customFormat="false" ht="15" hidden="false" customHeight="false" outlineLevel="0" collapsed="false">
      <c r="A6" s="11" t="n">
        <v>4</v>
      </c>
      <c r="B6" s="16" t="n">
        <f aca="false">C6+D6</f>
        <v>40.0094626815965</v>
      </c>
      <c r="C6" s="17" t="n">
        <f aca="false">C5*(1-M5)*IF(SUM($R$2:R5)&gt;1,'info ini'!B$12,'info ini'!B$11)+0.2</f>
        <v>14.4982272930861</v>
      </c>
      <c r="D6" s="16" t="n">
        <f aca="false">D5*(1-M5)*IF(SUM($R$2,R5)=0,'info ini'!B$4,'info ini'!B$5)*IF(R5=1,'info ini'!B$7,1)+9.8</f>
        <v>25.5112353885104</v>
      </c>
      <c r="E6" s="16" t="n">
        <f aca="false">F5*'info ini'!C$4</f>
        <v>5.625</v>
      </c>
      <c r="F6" s="18" t="n">
        <f aca="false">IF(R5=1,'info ini'!$C$7,1)*F5*IF(K5=L5,'info ini'!$C$4,(('info ini'!$C$4-1)*L5/K5)+1)</f>
        <v>1.6875</v>
      </c>
      <c r="G6" s="16" t="n">
        <f aca="false">F6*'info ini'!$C$6</f>
        <v>1.85625</v>
      </c>
      <c r="H6" s="16" t="n">
        <f aca="false">I5*'info ini'!D$4</f>
        <v>2.9282</v>
      </c>
      <c r="I6" s="18" t="n">
        <f aca="false">IF(R5=1,'info ini'!$D$7,1)*I5*'info ini'!$D$4</f>
        <v>1.4641</v>
      </c>
      <c r="J6" s="16" t="n">
        <f aca="false">I6*'info ini'!$D$6</f>
        <v>3.66025</v>
      </c>
      <c r="K6" s="16" t="n">
        <f aca="false">J6+G6</f>
        <v>5.5165</v>
      </c>
      <c r="L6" s="18" t="n">
        <f aca="false">IF((G6+J6)&lt;B6,(G6+J6),B6)</f>
        <v>5.5165</v>
      </c>
      <c r="M6" s="19" t="n">
        <f aca="false">IF(B6=0,0,L6/B6)</f>
        <v>0.137879882164413</v>
      </c>
      <c r="N6" s="16" t="n">
        <f aca="false">IF((N5-(B6/15))&gt;0,N5-(B6/15),0)</f>
        <v>287.18068915456</v>
      </c>
      <c r="O6" s="19" t="n">
        <f aca="false">A6*100/11</f>
        <v>36.3636363636364</v>
      </c>
      <c r="P6" s="19" t="n">
        <f aca="false">N6/300</f>
        <v>0.957268963848533</v>
      </c>
      <c r="Q6" s="19" t="n">
        <f aca="false">N6*O6*5/(100*300)</f>
        <v>1.74048902517915</v>
      </c>
      <c r="R6" s="11" t="n">
        <f aca="false">BPH!C6</f>
        <v>1</v>
      </c>
      <c r="S6" s="16"/>
      <c r="T6" s="11" t="n">
        <f aca="false">5*O6/100</f>
        <v>1.81818181818182</v>
      </c>
    </row>
    <row r="7" customFormat="false" ht="15" hidden="false" customHeight="false" outlineLevel="0" collapsed="false">
      <c r="A7" s="11" t="n">
        <v>5</v>
      </c>
      <c r="B7" s="16" t="n">
        <f aca="false">C7+D7</f>
        <v>43.055583804632</v>
      </c>
      <c r="C7" s="17" t="n">
        <f aca="false">C6*(1-M6)*IF(SUM($R$2:R6)&gt;1,'info ini'!B$12,'info ini'!B$11)+0.2</f>
        <v>22.6985841601805</v>
      </c>
      <c r="D7" s="16" t="n">
        <f aca="false">D6*(1-M6)*IF(SUM($R$2,R6)=0,'info ini'!B$4,'info ini'!B$5)*IF(R6=1,'info ini'!B$7,1)+9.8</f>
        <v>20.3569996444515</v>
      </c>
      <c r="E7" s="16" t="n">
        <f aca="false">F6*'info ini'!C$4</f>
        <v>2.109375</v>
      </c>
      <c r="F7" s="18" t="n">
        <f aca="false">IF(R6=1,'info ini'!$C$7,1)*F6*IF(K6=L6,'info ini'!$C$4,(('info ini'!$C$4-1)*L6/K6)+1)</f>
        <v>0.6328125</v>
      </c>
      <c r="G7" s="16" t="n">
        <f aca="false">F7*'info ini'!$C$6</f>
        <v>0.69609375</v>
      </c>
      <c r="H7" s="16" t="n">
        <f aca="false">I6*'info ini'!D$4</f>
        <v>1.61051</v>
      </c>
      <c r="I7" s="18" t="n">
        <f aca="false">IF(R6=1,'info ini'!$D$7,1)*I6*'info ini'!$D$4</f>
        <v>0.805255</v>
      </c>
      <c r="J7" s="16" t="n">
        <f aca="false">I7*'info ini'!$D$6</f>
        <v>2.0131375</v>
      </c>
      <c r="K7" s="16" t="n">
        <f aca="false">J7+G7</f>
        <v>2.70923125</v>
      </c>
      <c r="L7" s="18" t="n">
        <f aca="false">IF((G7+J7)&lt;B7,(G7+J7),B7)</f>
        <v>2.70923125</v>
      </c>
      <c r="M7" s="19" t="n">
        <f aca="false">IF(B7=0,0,L7/B7)</f>
        <v>0.062924039360222</v>
      </c>
      <c r="N7" s="16" t="n">
        <f aca="false">IF((N6-(B7/15))&gt;0,N6-(B7/15),0)</f>
        <v>284.310316900918</v>
      </c>
      <c r="O7" s="19" t="n">
        <f aca="false">A7*100/11</f>
        <v>45.4545454545455</v>
      </c>
      <c r="P7" s="19" t="n">
        <f aca="false">N7/300</f>
        <v>0.947701056336393</v>
      </c>
      <c r="Q7" s="19" t="n">
        <f aca="false">N7*O7*5/(100*300)</f>
        <v>2.15386603712817</v>
      </c>
      <c r="R7" s="11" t="n">
        <f aca="false">BPH!C7</f>
        <v>1</v>
      </c>
      <c r="S7" s="16"/>
      <c r="T7" s="11" t="n">
        <f aca="false">5*O7/100</f>
        <v>2.27272727272727</v>
      </c>
    </row>
    <row r="8" customFormat="false" ht="15" hidden="false" customHeight="false" outlineLevel="0" collapsed="false">
      <c r="A8" s="11" t="n">
        <v>6</v>
      </c>
      <c r="B8" s="16" t="n">
        <f aca="false">C8+D8</f>
        <v>57.4430420015479</v>
      </c>
      <c r="C8" s="17" t="n">
        <f aca="false">C7*(1-M7)*IF(SUM($R$2:R7)&gt;1,'info ini'!B$12,'info ini'!B$11)+0.2</f>
        <v>38.4865356027152</v>
      </c>
      <c r="D8" s="16" t="n">
        <f aca="false">D7*(1-M7)*IF(SUM($R$2,R7)=0,'info ini'!B$4,'info ini'!B$5)*IF(R7=1,'info ini'!B$7,1)+9.8</f>
        <v>18.9565063988326</v>
      </c>
      <c r="E8" s="16" t="n">
        <f aca="false">F7*'info ini'!C$4</f>
        <v>0.791015625</v>
      </c>
      <c r="F8" s="18" t="n">
        <f aca="false">IF(R7=1,'info ini'!$C$7,1)*F7*IF(K7=L7,'info ini'!$C$4,(('info ini'!$C$4-1)*L7/K7)+1)</f>
        <v>0.2373046875</v>
      </c>
      <c r="G8" s="16" t="n">
        <f aca="false">F8*'info ini'!$C$6</f>
        <v>0.26103515625</v>
      </c>
      <c r="H8" s="16" t="n">
        <f aca="false">I7*'info ini'!D$4</f>
        <v>0.885780500000001</v>
      </c>
      <c r="I8" s="18" t="n">
        <f aca="false">IF(R7=1,'info ini'!$D$7,1)*I7*'info ini'!$D$4</f>
        <v>0.44289025</v>
      </c>
      <c r="J8" s="16" t="n">
        <f aca="false">I8*'info ini'!$D$6</f>
        <v>1.107225625</v>
      </c>
      <c r="K8" s="16" t="n">
        <f aca="false">J8+G8</f>
        <v>1.36826078125</v>
      </c>
      <c r="L8" s="18" t="n">
        <f aca="false">IF((G8+J8)&lt;B8,(G8+J8),B8)</f>
        <v>1.36826078125</v>
      </c>
      <c r="M8" s="19" t="n">
        <f aca="false">IF(B8=0,0,L8/B8)</f>
        <v>0.023819434583794</v>
      </c>
      <c r="N8" s="16" t="n">
        <f aca="false">IF((N7-(B8/15))&gt;0,N7-(B8/15),0)</f>
        <v>280.480780767481</v>
      </c>
      <c r="O8" s="19" t="n">
        <f aca="false">A8*100/11</f>
        <v>54.5454545454546</v>
      </c>
      <c r="P8" s="19" t="n">
        <f aca="false">N8/300</f>
        <v>0.934935935891604</v>
      </c>
      <c r="Q8" s="19" t="n">
        <f aca="false">N8*O8*5/(100*300)</f>
        <v>2.54982527970438</v>
      </c>
      <c r="R8" s="11" t="n">
        <f aca="false">BPH!C8</f>
        <v>1</v>
      </c>
      <c r="S8" s="16"/>
      <c r="T8" s="11" t="n">
        <f aca="false">5*O8/100</f>
        <v>2.72727272727273</v>
      </c>
    </row>
    <row r="9" customFormat="false" ht="15" hidden="false" customHeight="false" outlineLevel="0" collapsed="false">
      <c r="A9" s="11" t="n">
        <v>7</v>
      </c>
      <c r="B9" s="16" t="n">
        <f aca="false">C9+D9</f>
        <v>86.5080416586947</v>
      </c>
      <c r="C9" s="17" t="n">
        <f aca="false">C8*(1-M8)*IF(SUM($R$2:R8)&gt;1,'info ini'!B$12,'info ini'!B$11)+0.2</f>
        <v>67.8256545540251</v>
      </c>
      <c r="D9" s="16" t="n">
        <f aca="false">D8*(1-M8)*IF(SUM($R$2,R8)=0,'info ini'!B$4,'info ini'!B$5)*IF(R8=1,'info ini'!B$7,1)+9.8</f>
        <v>18.6823871046696</v>
      </c>
      <c r="E9" s="16" t="n">
        <f aca="false">F8*'info ini'!C$4</f>
        <v>0.296630859375</v>
      </c>
      <c r="F9" s="18" t="n">
        <f aca="false">IF(R8=1,'info ini'!$C$7,1)*F8*IF(K8=L8,'info ini'!$C$4,(('info ini'!$C$4-1)*L8/K8)+1)</f>
        <v>0.0889892578125</v>
      </c>
      <c r="G9" s="16" t="n">
        <f aca="false">F9*'info ini'!$C$6</f>
        <v>0.09788818359375</v>
      </c>
      <c r="H9" s="16" t="n">
        <f aca="false">I8*'info ini'!D$4</f>
        <v>0.487179275</v>
      </c>
      <c r="I9" s="18" t="n">
        <f aca="false">IF(R8=1,'info ini'!$D$7,1)*I8*'info ini'!$D$4</f>
        <v>0.2435896375</v>
      </c>
      <c r="J9" s="16" t="n">
        <f aca="false">I9*'info ini'!$D$6</f>
        <v>0.60897409375</v>
      </c>
      <c r="K9" s="16" t="n">
        <f aca="false">J9+G9</f>
        <v>0.70686227734375</v>
      </c>
      <c r="L9" s="18" t="n">
        <f aca="false">IF((G9+J9)&lt;B9,(G9+J9),B9)</f>
        <v>0.70686227734375</v>
      </c>
      <c r="M9" s="19" t="n">
        <f aca="false">IF(B9=0,0,L9/B9)</f>
        <v>0.00817105859513704</v>
      </c>
      <c r="N9" s="16" t="n">
        <f aca="false">IF((N8-(B9/15))&gt;0,N8-(B9/15),0)</f>
        <v>274.713577990235</v>
      </c>
      <c r="O9" s="19" t="n">
        <f aca="false">A9*100/11</f>
        <v>63.6363636363636</v>
      </c>
      <c r="P9" s="19" t="n">
        <f aca="false">N9/300</f>
        <v>0.915711926634116</v>
      </c>
      <c r="Q9" s="19" t="n">
        <f aca="false">N9*O9*5/(100*300)</f>
        <v>2.91362885747219</v>
      </c>
      <c r="R9" s="11" t="n">
        <f aca="false">BPH!C9</f>
        <v>1</v>
      </c>
      <c r="S9" s="16"/>
      <c r="T9" s="11" t="n">
        <f aca="false">5*O9/100</f>
        <v>3.18181818181818</v>
      </c>
    </row>
    <row r="10" customFormat="false" ht="15" hidden="false" customHeight="false" outlineLevel="0" collapsed="false">
      <c r="A10" s="11" t="n">
        <v>8</v>
      </c>
      <c r="B10" s="16" t="n">
        <f aca="false">C10+D10</f>
        <v>139.982876349511</v>
      </c>
      <c r="C10" s="17" t="n">
        <f aca="false">C9*(1-M9)*IF(SUM($R$2:R9)&gt;1,'info ini'!B$12,'info ini'!B$11)+0.2</f>
        <v>121.288604881539</v>
      </c>
      <c r="D10" s="16" t="n">
        <f aca="false">D9*(1-M9)*IF(SUM($R$2,R9)=0,'info ini'!B$4,'info ini'!B$5)*IF(R9=1,'info ini'!B$7,1)+9.8</f>
        <v>18.6942714679714</v>
      </c>
      <c r="E10" s="16" t="n">
        <f aca="false">F9*'info ini'!C$4</f>
        <v>0.111236572265625</v>
      </c>
      <c r="F10" s="18" t="n">
        <f aca="false">IF(R9=1,'info ini'!$C$7,1)*F9*IF(K9=L9,'info ini'!$C$4,(('info ini'!$C$4-1)*L9/K9)+1)</f>
        <v>0.0333709716796875</v>
      </c>
      <c r="G10" s="16" t="n">
        <f aca="false">F10*'info ini'!$C$6</f>
        <v>0.0367080688476562</v>
      </c>
      <c r="H10" s="16" t="n">
        <f aca="false">I9*'info ini'!D$4</f>
        <v>0.26794860125</v>
      </c>
      <c r="I10" s="18" t="n">
        <f aca="false">IF(R9=1,'info ini'!$D$7,1)*I9*'info ini'!$D$4</f>
        <v>0.133974300625</v>
      </c>
      <c r="J10" s="16" t="n">
        <f aca="false">I10*'info ini'!$D$6</f>
        <v>0.3349357515625</v>
      </c>
      <c r="K10" s="16" t="n">
        <f aca="false">J10+G10</f>
        <v>0.371643820410157</v>
      </c>
      <c r="L10" s="18" t="n">
        <f aca="false">IF((G10+J10)&lt;B10,(G10+J10),B10)</f>
        <v>0.371643820410157</v>
      </c>
      <c r="M10" s="19" t="n">
        <f aca="false">IF(B10=0,0,L10/B10)</f>
        <v>0.00265492344565226</v>
      </c>
      <c r="N10" s="16" t="n">
        <f aca="false">IF((N9-(B10/15))&gt;0,N9-(B10/15),0)</f>
        <v>265.381386233601</v>
      </c>
      <c r="O10" s="19" t="n">
        <f aca="false">A10*100/11</f>
        <v>72.7272727272727</v>
      </c>
      <c r="P10" s="19" t="n">
        <f aca="false">N10/300</f>
        <v>0.88460462077867</v>
      </c>
      <c r="Q10" s="19" t="n">
        <f aca="false">N10*O10*5/(100*300)</f>
        <v>3.2167440755588</v>
      </c>
      <c r="R10" s="11" t="n">
        <f aca="false">BPH!C10</f>
        <v>0</v>
      </c>
      <c r="S10" s="16"/>
      <c r="T10" s="11" t="n">
        <f aca="false">5*O10/100</f>
        <v>3.63636363636364</v>
      </c>
    </row>
    <row r="11" customFormat="false" ht="15" hidden="false" customHeight="false" outlineLevel="0" collapsed="false">
      <c r="A11" s="11" t="n">
        <v>9</v>
      </c>
      <c r="B11" s="16" t="n">
        <f aca="false">C11+D11</f>
        <v>252.790246769528</v>
      </c>
      <c r="C11" s="17" t="n">
        <f aca="false">C10*(1-M10)*IF(SUM($R$2:R10)&gt;1,'info ini'!B$12,'info ini'!B$11)+0.2</f>
        <v>217.939867257348</v>
      </c>
      <c r="D11" s="16" t="n">
        <f aca="false">D10*(1-M10)*IF(SUM($R$2,R10)=0,'info ini'!B$4,'info ini'!B$5)*IF(R10=1,'info ini'!B$7,1)+9.8</f>
        <v>34.8503795121807</v>
      </c>
      <c r="E11" s="16" t="n">
        <f aca="false">F10*'info ini'!C$4</f>
        <v>0.0417137145996094</v>
      </c>
      <c r="F11" s="18" t="n">
        <f aca="false">IF(R10=1,'info ini'!$C$7,1)*F10*IF(K10=L10,'info ini'!$C$4,(('info ini'!$C$4-1)*L10/K10)+1)</f>
        <v>0.0417137145996094</v>
      </c>
      <c r="G11" s="16" t="n">
        <f aca="false">F11*'info ini'!$C$6</f>
        <v>0.0458850860595703</v>
      </c>
      <c r="H11" s="16" t="n">
        <f aca="false">I10*'info ini'!D$4</f>
        <v>0.1473717306875</v>
      </c>
      <c r="I11" s="18" t="n">
        <f aca="false">IF(R10=1,'info ini'!$D$7,1)*I10*'info ini'!$D$4</f>
        <v>0.1473717306875</v>
      </c>
      <c r="J11" s="16" t="n">
        <f aca="false">I11*'info ini'!$D$6</f>
        <v>0.36842932671875</v>
      </c>
      <c r="K11" s="16" t="n">
        <f aca="false">J11+G11</f>
        <v>0.414314412778321</v>
      </c>
      <c r="L11" s="18" t="n">
        <f aca="false">IF((G11+J11)&lt;B11,(G11+J11),B11)</f>
        <v>0.414314412778321</v>
      </c>
      <c r="M11" s="19" t="n">
        <f aca="false">IF(B11=0,0,L11/B11)</f>
        <v>0.00163896518189666</v>
      </c>
      <c r="N11" s="16" t="n">
        <f aca="false">IF((N10-(B11/15))&gt;0,N10-(B11/15),0)</f>
        <v>248.528703115632</v>
      </c>
      <c r="O11" s="19" t="n">
        <f aca="false">A11*100/11</f>
        <v>81.8181818181818</v>
      </c>
      <c r="P11" s="19" t="n">
        <f aca="false">N11/300</f>
        <v>0.828429010385441</v>
      </c>
      <c r="Q11" s="19" t="n">
        <f aca="false">N11*O11*5/(100*300)</f>
        <v>3.38902776975862</v>
      </c>
      <c r="R11" s="11" t="n">
        <f aca="false">BPH!C11</f>
        <v>1</v>
      </c>
      <c r="S11" s="16"/>
      <c r="T11" s="11" t="n">
        <f aca="false">5*O11/100</f>
        <v>4.09090909090909</v>
      </c>
    </row>
    <row r="12" customFormat="false" ht="15" hidden="false" customHeight="false" outlineLevel="0" collapsed="false">
      <c r="A12" s="11" t="n">
        <v>10</v>
      </c>
      <c r="B12" s="16" t="n">
        <f aca="false">C12+D12</f>
        <v>418.349573783419</v>
      </c>
      <c r="C12" s="17" t="n">
        <f aca="false">C11*(1-M11)*IF(SUM($R$2:R11)&gt;1,'info ini'!B$12,'info ini'!B$11)+0.2</f>
        <v>391.848808525698</v>
      </c>
      <c r="D12" s="16" t="n">
        <f aca="false">D11*(1-M11)*IF(SUM($R$2,R11)=0,'info ini'!B$4,'info ini'!B$5)*IF(R11=1,'info ini'!B$7,1)+9.8</f>
        <v>26.5007652577205</v>
      </c>
      <c r="E12" s="16" t="n">
        <f aca="false">F11*'info ini'!C$4</f>
        <v>0.0521421432495117</v>
      </c>
      <c r="F12" s="18" t="n">
        <f aca="false">IF(R11=1,'info ini'!$C$7,1)*F11*IF(K11=L11,'info ini'!$C$4,(('info ini'!$C$4-1)*L11/K11)+1)</f>
        <v>0.0156426429748535</v>
      </c>
      <c r="G12" s="16" t="n">
        <f aca="false">F12*'info ini'!$C$6</f>
        <v>0.0172069072723389</v>
      </c>
      <c r="H12" s="16" t="n">
        <f aca="false">I11*'info ini'!D$4</f>
        <v>0.16210890375625</v>
      </c>
      <c r="I12" s="18" t="n">
        <f aca="false">IF(R11=1,'info ini'!$D$7,1)*I11*'info ini'!$D$4</f>
        <v>0.0810544518781251</v>
      </c>
      <c r="J12" s="16" t="n">
        <f aca="false">I12*'info ini'!$D$6</f>
        <v>0.202636129695313</v>
      </c>
      <c r="K12" s="16" t="n">
        <f aca="false">J12+G12</f>
        <v>0.219843036967652</v>
      </c>
      <c r="L12" s="18" t="n">
        <f aca="false">IF((G12+J12)&lt;B12,(G12+J12),B12)</f>
        <v>0.219843036967652</v>
      </c>
      <c r="M12" s="19" t="n">
        <f aca="false">IF(B12=0,0,L12/B12)</f>
        <v>0.000525500803023323</v>
      </c>
      <c r="N12" s="16" t="n">
        <f aca="false">IF((N11-(B12/15))&gt;0,N11-(B12/15),0)</f>
        <v>220.638731530071</v>
      </c>
      <c r="O12" s="19" t="n">
        <f aca="false">A12*100/11</f>
        <v>90.9090909090909</v>
      </c>
      <c r="P12" s="19" t="n">
        <f aca="false">N12/300</f>
        <v>0.73546243843357</v>
      </c>
      <c r="Q12" s="19" t="n">
        <f aca="false">N12*O12*5/(100*300)</f>
        <v>3.34301108378896</v>
      </c>
      <c r="R12" s="11" t="n">
        <f aca="false">BPH!C12</f>
        <v>1</v>
      </c>
      <c r="S12" s="16"/>
      <c r="T12" s="11" t="n">
        <f aca="false">5*O12/100</f>
        <v>4.54545454545455</v>
      </c>
    </row>
    <row r="13" customFormat="false" ht="15" hidden="false" customHeight="false" outlineLevel="0" collapsed="false">
      <c r="A13" s="11" t="n">
        <v>11</v>
      </c>
      <c r="B13" s="16" t="n">
        <f aca="false">C13+D13</f>
        <v>727.67088775234</v>
      </c>
      <c r="C13" s="17" t="n">
        <f aca="false">C12*(1-M12)*IF(SUM($R$2:R12)&gt;1,'info ini'!B$12,'info ini'!B$11)+0.2</f>
        <v>705.157204991878</v>
      </c>
      <c r="D13" s="16" t="n">
        <f aca="false">D12*(1-M12)*IF(SUM($R$2,R12)=0,'info ini'!B$4,'info ini'!B$5)*IF(R12=1,'info ini'!B$7,1)+9.8</f>
        <v>22.5136827604625</v>
      </c>
      <c r="E13" s="16" t="n">
        <f aca="false">F12*'info ini'!C$4</f>
        <v>0.0195533037185669</v>
      </c>
      <c r="F13" s="18" t="n">
        <f aca="false">IF(R12=1,'info ini'!$C$7,1)*F12*IF(K12=L12,'info ini'!$C$4,(('info ini'!$C$4-1)*L12/K12)+1)</f>
        <v>0.00586599111557007</v>
      </c>
      <c r="G13" s="16" t="n">
        <f aca="false">F13*'info ini'!$C$6</f>
        <v>0.00645259022712707</v>
      </c>
      <c r="H13" s="16" t="n">
        <f aca="false">I12*'info ini'!D$4</f>
        <v>0.0891598970659376</v>
      </c>
      <c r="I13" s="18" t="n">
        <f aca="false">IF(R12=1,'info ini'!$D$7,1)*I12*'info ini'!$D$4</f>
        <v>0.0445799485329688</v>
      </c>
      <c r="J13" s="16" t="n">
        <f aca="false">I13*'info ini'!$D$6</f>
        <v>0.111449871332422</v>
      </c>
      <c r="K13" s="16" t="n">
        <f aca="false">J13+G13</f>
        <v>0.117902461559549</v>
      </c>
      <c r="L13" s="18" t="n">
        <f aca="false">IF((G13+J13)&lt;B13,(G13+J13),B13)</f>
        <v>0.117902461559549</v>
      </c>
      <c r="M13" s="19" t="n">
        <f aca="false">IF(B13=0,0,L13/B13)</f>
        <v>0.000162027179517558</v>
      </c>
      <c r="N13" s="16" t="n">
        <f aca="false">IF((N12-(B13/15))&gt;0,N12-(B13/15),0)</f>
        <v>172.127339013248</v>
      </c>
      <c r="O13" s="19" t="n">
        <f aca="false">A13*100/11</f>
        <v>100</v>
      </c>
      <c r="P13" s="19" t="n">
        <f aca="false">N13/300</f>
        <v>0.573757796710828</v>
      </c>
      <c r="Q13" s="19" t="n">
        <f aca="false">N13*O13*5/(100*300)</f>
        <v>2.86878898355414</v>
      </c>
      <c r="R13" s="11" t="n">
        <f aca="false">BPH!C13</f>
        <v>1</v>
      </c>
      <c r="S13" s="16"/>
      <c r="T13" s="11" t="n">
        <f aca="false">5*O13/100</f>
        <v>5</v>
      </c>
    </row>
    <row r="14" customFormat="false" ht="15" hidden="false" customHeight="false" outlineLevel="0" collapsed="false">
      <c r="A14" s="11" t="n">
        <v>12</v>
      </c>
      <c r="B14" s="16" t="n">
        <f aca="false">C14+D14</f>
        <v>1289.88212741324</v>
      </c>
      <c r="C14" s="17" t="n">
        <f aca="false">C13*(1-M13)*IF(SUM($R$2:R13)&gt;1,'info ini'!B$12,'info ini'!B$11)+0.2</f>
        <v>1269.27731064591</v>
      </c>
      <c r="D14" s="16" t="n">
        <f aca="false">D13*(1-M13)*IF(SUM($R$2,R13)=0,'info ini'!B$4,'info ini'!B$5)*IF(R13=1,'info ini'!B$7,1)+9.8</f>
        <v>20.6048167673332</v>
      </c>
      <c r="E14" s="16" t="n">
        <f aca="false">F13*'info ini'!C$4</f>
        <v>0.00733248889446258</v>
      </c>
      <c r="F14" s="18" t="n">
        <f aca="false">IF(R13=1,'info ini'!$C$7,1)*F13*IF(K13=L13,'info ini'!$C$4,(('info ini'!$C$4-1)*L13/K13)+1)</f>
        <v>0.00219974666833877</v>
      </c>
      <c r="G14" s="16" t="n">
        <f aca="false">F14*'info ini'!$C$6</f>
        <v>0.00241972133517265</v>
      </c>
      <c r="H14" s="16" t="n">
        <f aca="false">I13*'info ini'!D$4</f>
        <v>0.0490379433862657</v>
      </c>
      <c r="I14" s="18" t="n">
        <f aca="false">IF(R13=1,'info ini'!$D$7,1)*I13*'info ini'!$D$4</f>
        <v>0.0245189716931328</v>
      </c>
      <c r="J14" s="16" t="n">
        <f aca="false">I14*'info ini'!$D$6</f>
        <v>0.0612974292328321</v>
      </c>
      <c r="K14" s="16" t="n">
        <f aca="false">J14+G14</f>
        <v>0.0637171505680048</v>
      </c>
      <c r="L14" s="18" t="n">
        <f aca="false">IF((G14+J14)&lt;B14,(G14+J14),B14)</f>
        <v>0.0637171505680048</v>
      </c>
      <c r="M14" s="19" t="n">
        <f aca="false">IF(B14=0,0,L14/B14)</f>
        <v>4.93976536412553E-005</v>
      </c>
      <c r="N14" s="16" t="n">
        <f aca="false">IF((N13-(B14/15))&gt;0,N13-(B14/15),0)</f>
        <v>86.1351971856992</v>
      </c>
      <c r="O14" s="19" t="n">
        <v>100</v>
      </c>
      <c r="P14" s="19" t="n">
        <f aca="false">N14/300</f>
        <v>0.287117323952331</v>
      </c>
      <c r="Q14" s="19" t="n">
        <f aca="false">N14*O14*5/(100*300)</f>
        <v>1.43558661976165</v>
      </c>
      <c r="R14" s="11" t="str">
        <f aca="false">BPH!C14</f>
        <v>HARVEST</v>
      </c>
      <c r="S14" s="16"/>
      <c r="T14" s="11" t="n">
        <f aca="false">5*O14/100</f>
        <v>5</v>
      </c>
    </row>
    <row r="15" customFormat="false" ht="15" hidden="false" customHeight="false" outlineLevel="0" collapsed="false">
      <c r="C15" s="16"/>
      <c r="F15" s="16"/>
      <c r="L15" s="14"/>
      <c r="M15" s="14"/>
    </row>
    <row r="16" customFormat="false" ht="24.6" hidden="false" customHeight="false" outlineLevel="0" collapsed="false">
      <c r="Q16" s="22" t="s">
        <v>30</v>
      </c>
      <c r="R16" s="11" t="n">
        <f aca="false">SUM(R2:R15)</f>
        <v>9</v>
      </c>
    </row>
  </sheetData>
  <conditionalFormatting sqref="B2:B14">
    <cfRule type="expression" priority="2" aboveAverage="0" equalAverage="0" bottom="0" percent="0" rank="0" text="" dxfId="0">
      <formula>ISBLANK($R$3)</formula>
    </cfRule>
  </conditionalFormatting>
  <conditionalFormatting sqref="H3:I14">
    <cfRule type="expression" priority="3" aboveAverage="0" equalAverage="0" bottom="0" percent="0" rank="0" text="" dxfId="1">
      <formula>ISBLANK($R$4)</formula>
    </cfRule>
  </conditionalFormatting>
  <conditionalFormatting sqref="E3:E14">
    <cfRule type="expression" priority="4" aboveAverage="0" equalAverage="0" bottom="0" percent="0" rank="0" text="" dxfId="2">
      <formula>ISBLANK($R$4)</formula>
    </cfRule>
  </conditionalFormatting>
  <conditionalFormatting sqref="O2:O14">
    <cfRule type="expression" priority="5" aboveAverage="0" equalAverage="0" bottom="0" percent="0" rank="0" text="" dxfId="3">
      <formula>ISBLANK($R$4)</formula>
    </cfRule>
  </conditionalFormatting>
  <conditionalFormatting sqref="F3:F15">
    <cfRule type="expression" priority="6" aboveAverage="0" equalAverage="0" bottom="0" percent="0" rank="0" text="" dxfId="4">
      <formula>ISBLANK($R$4)</formula>
    </cfRule>
  </conditionalFormatting>
  <conditionalFormatting sqref="L2:L14">
    <cfRule type="expression" priority="7" aboveAverage="0" equalAverage="0" bottom="0" percent="0" rank="0" text="" dxfId="5">
      <formula>ISBLANK($R$3)</formula>
    </cfRule>
  </conditionalFormatting>
  <conditionalFormatting sqref="P14:Q14">
    <cfRule type="expression" priority="8" aboveAverage="0" equalAverage="0" bottom="0" percent="0" rank="0" text="" dxfId="6">
      <formula>ISBLANK($R$14)</formula>
    </cfRule>
  </conditionalFormatting>
  <conditionalFormatting sqref="P13:Q13">
    <cfRule type="expression" priority="9" aboveAverage="0" equalAverage="0" bottom="0" percent="0" rank="0" text="" dxfId="7">
      <formula>ISBLANK($R$13)</formula>
    </cfRule>
  </conditionalFormatting>
  <conditionalFormatting sqref="P12:Q12">
    <cfRule type="expression" priority="10" aboveAverage="0" equalAverage="0" bottom="0" percent="0" rank="0" text="" dxfId="8">
      <formula>ISBLANK($R$12)</formula>
    </cfRule>
  </conditionalFormatting>
  <conditionalFormatting sqref="P11:Q11">
    <cfRule type="expression" priority="11" aboveAverage="0" equalAverage="0" bottom="0" percent="0" rank="0" text="" dxfId="9">
      <formula>ISBLANK($R$11)</formula>
    </cfRule>
  </conditionalFormatting>
  <conditionalFormatting sqref="P10:Q10">
    <cfRule type="expression" priority="12" aboveAverage="0" equalAverage="0" bottom="0" percent="0" rank="0" text="" dxfId="10">
      <formula>ISBLANK($R$10)</formula>
    </cfRule>
  </conditionalFormatting>
  <conditionalFormatting sqref="P9:Q9">
    <cfRule type="expression" priority="13" aboveAverage="0" equalAverage="0" bottom="0" percent="0" rank="0" text="" dxfId="11">
      <formula>ISBLANK($R$9)</formula>
    </cfRule>
  </conditionalFormatting>
  <conditionalFormatting sqref="P8:Q8">
    <cfRule type="expression" priority="14" aboveAverage="0" equalAverage="0" bottom="0" percent="0" rank="0" text="" dxfId="12">
      <formula>ISBLANK($R$8)</formula>
    </cfRule>
  </conditionalFormatting>
  <conditionalFormatting sqref="P7:Q7">
    <cfRule type="expression" priority="15" aboveAverage="0" equalAverage="0" bottom="0" percent="0" rank="0" text="" dxfId="13">
      <formula>ISBLANK($R$7)</formula>
    </cfRule>
  </conditionalFormatting>
  <conditionalFormatting sqref="P6:Q6">
    <cfRule type="expression" priority="16" aboveAverage="0" equalAverage="0" bottom="0" percent="0" rank="0" text="" dxfId="14">
      <formula>ISBLANK($R$6)</formula>
    </cfRule>
  </conditionalFormatting>
  <conditionalFormatting sqref="P5:Q5">
    <cfRule type="expression" priority="17" aboveAverage="0" equalAverage="0" bottom="0" percent="0" rank="0" text="" dxfId="15">
      <formula>ISBLANK($R$5)</formula>
    </cfRule>
  </conditionalFormatting>
  <conditionalFormatting sqref="P4:Q4">
    <cfRule type="expression" priority="18" aboveAverage="0" equalAverage="0" bottom="0" percent="0" rank="0" text="" dxfId="16">
      <formula>ISBLANK($R$4)</formula>
    </cfRule>
  </conditionalFormatting>
  <conditionalFormatting sqref="P3:Q3">
    <cfRule type="expression" priority="19" aboveAverage="0" equalAverage="0" bottom="0" percent="0" rank="0" text="" dxfId="17">
      <formula>ISBLANK($R$3)</formula>
    </cfRule>
  </conditionalFormatting>
  <conditionalFormatting sqref="S14">
    <cfRule type="expression" priority="20" aboveAverage="0" equalAverage="0" bottom="0" percent="0" rank="0" text="" dxfId="18">
      <formula>ISBLANK($R$14)</formula>
    </cfRule>
  </conditionalFormatting>
  <conditionalFormatting sqref="S13">
    <cfRule type="expression" priority="21" aboveAverage="0" equalAverage="0" bottom="0" percent="0" rank="0" text="" dxfId="19">
      <formula>ISBLANK($R$13)</formula>
    </cfRule>
  </conditionalFormatting>
  <conditionalFormatting sqref="S12">
    <cfRule type="expression" priority="22" aboveAverage="0" equalAverage="0" bottom="0" percent="0" rank="0" text="" dxfId="20">
      <formula>ISBLANK($R$12)</formula>
    </cfRule>
  </conditionalFormatting>
  <conditionalFormatting sqref="S11">
    <cfRule type="expression" priority="23" aboveAverage="0" equalAverage="0" bottom="0" percent="0" rank="0" text="" dxfId="21">
      <formula>ISBLANK($R$11)</formula>
    </cfRule>
  </conditionalFormatting>
  <conditionalFormatting sqref="S10">
    <cfRule type="expression" priority="24" aboveAverage="0" equalAverage="0" bottom="0" percent="0" rank="0" text="" dxfId="22">
      <formula>ISBLANK($R$10)</formula>
    </cfRule>
  </conditionalFormatting>
  <conditionalFormatting sqref="S9">
    <cfRule type="expression" priority="25" aboveAverage="0" equalAverage="0" bottom="0" percent="0" rank="0" text="" dxfId="23">
      <formula>ISBLANK($R$9)</formula>
    </cfRule>
  </conditionalFormatting>
  <conditionalFormatting sqref="S8">
    <cfRule type="expression" priority="26" aboveAverage="0" equalAverage="0" bottom="0" percent="0" rank="0" text="" dxfId="24">
      <formula>ISBLANK($R$8)</formula>
    </cfRule>
  </conditionalFormatting>
  <conditionalFormatting sqref="S7">
    <cfRule type="expression" priority="27" aboveAverage="0" equalAverage="0" bottom="0" percent="0" rank="0" text="" dxfId="25">
      <formula>ISBLANK($R$7)</formula>
    </cfRule>
  </conditionalFormatting>
  <conditionalFormatting sqref="S6">
    <cfRule type="expression" priority="28" aboveAverage="0" equalAverage="0" bottom="0" percent="0" rank="0" text="" dxfId="26">
      <formula>ISBLANK($R$6)</formula>
    </cfRule>
  </conditionalFormatting>
  <conditionalFormatting sqref="S5">
    <cfRule type="expression" priority="29" aboveAverage="0" equalAverage="0" bottom="0" percent="0" rank="0" text="" dxfId="27">
      <formula>ISBLANK($R$5)</formula>
    </cfRule>
  </conditionalFormatting>
  <conditionalFormatting sqref="S4">
    <cfRule type="expression" priority="30" aboveAverage="0" equalAverage="0" bottom="0" percent="0" rank="0" text="" dxfId="28">
      <formula>ISBLANK($R$4)</formula>
    </cfRule>
  </conditionalFormatting>
  <conditionalFormatting sqref="S3 N3:N14 D5:D14 C5:C15">
    <cfRule type="expression" priority="31" aboveAverage="0" equalAverage="0" bottom="0" percent="0" rank="0" text="" dxfId="29">
      <formula>ISBLANK($R$3)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15" activeCellId="0" sqref="C15"/>
    </sheetView>
  </sheetViews>
  <sheetFormatPr defaultColWidth="10.6953125" defaultRowHeight="15" customHeight="true" zeroHeight="false" outlineLevelRow="0" outlineLevelCol="0"/>
  <cols>
    <col collapsed="false" customWidth="true" hidden="false" outlineLevel="0" max="10" min="1" style="1" width="8"/>
  </cols>
  <sheetData>
    <row r="1" customFormat="false" ht="38.25" hidden="false" customHeight="true" outlineLevel="0" collapsed="false">
      <c r="A1" s="23" t="n">
        <v>3</v>
      </c>
      <c r="B1" s="23" t="n">
        <v>3</v>
      </c>
      <c r="C1" s="23" t="n">
        <v>3</v>
      </c>
      <c r="D1" s="23" t="n">
        <v>3</v>
      </c>
      <c r="E1" s="23" t="n">
        <v>3</v>
      </c>
      <c r="F1" s="23" t="n">
        <v>3</v>
      </c>
      <c r="G1" s="23" t="n">
        <v>3</v>
      </c>
      <c r="H1" s="23" t="n">
        <v>3</v>
      </c>
      <c r="I1" s="23" t="n">
        <v>3</v>
      </c>
      <c r="J1" s="23" t="n">
        <v>3</v>
      </c>
    </row>
    <row r="2" customFormat="false" ht="38.25" hidden="false" customHeight="true" outlineLevel="0" collapsed="false">
      <c r="A2" s="23" t="n">
        <v>3</v>
      </c>
      <c r="B2" s="23" t="n">
        <v>3</v>
      </c>
      <c r="C2" s="23" t="n">
        <v>3</v>
      </c>
      <c r="D2" s="23" t="n">
        <v>3</v>
      </c>
      <c r="E2" s="23" t="n">
        <v>3</v>
      </c>
      <c r="F2" s="23" t="n">
        <v>3</v>
      </c>
      <c r="G2" s="23" t="n">
        <v>3</v>
      </c>
      <c r="H2" s="23" t="n">
        <v>3</v>
      </c>
      <c r="I2" s="23" t="n">
        <v>3</v>
      </c>
      <c r="J2" s="23" t="n">
        <v>3</v>
      </c>
    </row>
    <row r="3" customFormat="false" ht="38.25" hidden="false" customHeight="true" outlineLevel="0" collapsed="false">
      <c r="A3" s="23" t="n">
        <v>3</v>
      </c>
      <c r="B3" s="23" t="n">
        <v>3</v>
      </c>
      <c r="C3" s="23" t="n">
        <v>3</v>
      </c>
      <c r="D3" s="23" t="n">
        <v>3</v>
      </c>
      <c r="E3" s="23" t="n">
        <v>3</v>
      </c>
      <c r="F3" s="23" t="n">
        <v>3</v>
      </c>
      <c r="G3" s="23" t="n">
        <v>3</v>
      </c>
      <c r="H3" s="23" t="n">
        <v>3</v>
      </c>
      <c r="I3" s="23" t="n">
        <v>3</v>
      </c>
      <c r="J3" s="23" t="n">
        <v>3</v>
      </c>
    </row>
    <row r="4" customFormat="false" ht="38.25" hidden="false" customHeight="true" outlineLevel="0" collapsed="false">
      <c r="A4" s="23" t="n">
        <v>3</v>
      </c>
      <c r="B4" s="23" t="n">
        <v>3</v>
      </c>
      <c r="C4" s="23" t="n">
        <v>3</v>
      </c>
      <c r="D4" s="23" t="n">
        <v>3</v>
      </c>
      <c r="E4" s="23" t="n">
        <v>3</v>
      </c>
      <c r="F4" s="23" t="n">
        <v>3</v>
      </c>
      <c r="G4" s="23" t="n">
        <v>3</v>
      </c>
      <c r="H4" s="23" t="n">
        <v>3</v>
      </c>
      <c r="I4" s="23" t="n">
        <v>3</v>
      </c>
      <c r="J4" s="23" t="n">
        <v>3</v>
      </c>
    </row>
    <row r="5" customFormat="false" ht="38.25" hidden="false" customHeight="true" outlineLevel="0" collapsed="false">
      <c r="A5" s="23" t="n">
        <v>3</v>
      </c>
      <c r="B5" s="23" t="n">
        <v>3</v>
      </c>
      <c r="C5" s="23" t="n">
        <v>3</v>
      </c>
      <c r="D5" s="23" t="n">
        <v>3</v>
      </c>
      <c r="E5" s="23" t="n">
        <v>3</v>
      </c>
      <c r="F5" s="23" t="n">
        <v>3</v>
      </c>
      <c r="G5" s="23" t="n">
        <v>3</v>
      </c>
      <c r="H5" s="23" t="n">
        <v>3</v>
      </c>
      <c r="I5" s="23" t="n">
        <v>3</v>
      </c>
      <c r="J5" s="23" t="n">
        <v>3</v>
      </c>
    </row>
    <row r="6" customFormat="false" ht="38.25" hidden="false" customHeight="true" outlineLevel="0" collapsed="false">
      <c r="A6" s="23" t="n">
        <v>3</v>
      </c>
      <c r="B6" s="23" t="n">
        <v>3</v>
      </c>
      <c r="C6" s="23" t="n">
        <v>3</v>
      </c>
      <c r="D6" s="23" t="n">
        <v>3</v>
      </c>
      <c r="E6" s="23" t="n">
        <v>3</v>
      </c>
      <c r="F6" s="23" t="n">
        <v>3</v>
      </c>
      <c r="G6" s="23" t="n">
        <v>3</v>
      </c>
      <c r="H6" s="23" t="n">
        <v>3</v>
      </c>
      <c r="I6" s="23" t="n">
        <v>3</v>
      </c>
      <c r="J6" s="23" t="n">
        <v>3</v>
      </c>
    </row>
    <row r="7" customFormat="false" ht="38.25" hidden="false" customHeight="true" outlineLevel="0" collapsed="false">
      <c r="A7" s="23" t="n">
        <v>3</v>
      </c>
      <c r="B7" s="23" t="n">
        <v>3</v>
      </c>
      <c r="C7" s="23" t="n">
        <v>3</v>
      </c>
      <c r="D7" s="23" t="n">
        <v>3</v>
      </c>
      <c r="E7" s="23" t="n">
        <v>3</v>
      </c>
      <c r="F7" s="23" t="n">
        <v>3</v>
      </c>
      <c r="G7" s="23" t="n">
        <v>3</v>
      </c>
      <c r="H7" s="23" t="n">
        <v>3</v>
      </c>
      <c r="I7" s="23" t="n">
        <v>3</v>
      </c>
      <c r="J7" s="23" t="n">
        <v>3</v>
      </c>
    </row>
    <row r="8" customFormat="false" ht="38.25" hidden="false" customHeight="true" outlineLevel="0" collapsed="false">
      <c r="A8" s="23" t="n">
        <v>3</v>
      </c>
      <c r="B8" s="23" t="n">
        <v>3</v>
      </c>
      <c r="C8" s="23" t="n">
        <v>3</v>
      </c>
      <c r="D8" s="23" t="n">
        <v>3</v>
      </c>
      <c r="E8" s="23" t="n">
        <v>3</v>
      </c>
      <c r="F8" s="23" t="n">
        <v>3</v>
      </c>
      <c r="G8" s="23" t="n">
        <v>3</v>
      </c>
      <c r="H8" s="23" t="n">
        <v>3</v>
      </c>
      <c r="I8" s="23" t="n">
        <v>3</v>
      </c>
      <c r="J8" s="23" t="n">
        <v>3</v>
      </c>
    </row>
    <row r="9" customFormat="false" ht="38.25" hidden="false" customHeight="true" outlineLevel="0" collapsed="false">
      <c r="A9" s="23" t="n">
        <v>3</v>
      </c>
      <c r="B9" s="23" t="n">
        <v>3</v>
      </c>
      <c r="C9" s="23" t="n">
        <v>3</v>
      </c>
      <c r="D9" s="23" t="n">
        <v>3</v>
      </c>
      <c r="E9" s="23" t="n">
        <v>3</v>
      </c>
      <c r="F9" s="23" t="n">
        <v>3</v>
      </c>
      <c r="G9" s="23" t="n">
        <v>3</v>
      </c>
      <c r="H9" s="23" t="n">
        <v>3</v>
      </c>
      <c r="I9" s="23" t="n">
        <v>3</v>
      </c>
      <c r="J9" s="23" t="n">
        <v>3</v>
      </c>
    </row>
    <row r="10" customFormat="false" ht="38.25" hidden="false" customHeight="true" outlineLevel="0" collapsed="false">
      <c r="A10" s="23" t="n">
        <v>3</v>
      </c>
      <c r="B10" s="23" t="n">
        <v>3</v>
      </c>
      <c r="C10" s="23" t="n">
        <v>3</v>
      </c>
      <c r="D10" s="23" t="n">
        <v>3</v>
      </c>
      <c r="E10" s="23" t="n">
        <v>3</v>
      </c>
      <c r="F10" s="23" t="n">
        <v>3</v>
      </c>
      <c r="G10" s="23" t="n">
        <v>3</v>
      </c>
      <c r="H10" s="23" t="n">
        <v>3</v>
      </c>
      <c r="I10" s="23" t="n">
        <v>3</v>
      </c>
      <c r="J10" s="23" t="n">
        <v>3</v>
      </c>
    </row>
    <row r="11" customFormat="false" ht="15" hidden="false" customHeight="false" outlineLevel="0" collapsed="false">
      <c r="A11" s="24" t="s">
        <v>31</v>
      </c>
      <c r="C11" s="24" t="n">
        <f aca="false">SUM(A1:J10)</f>
        <v>300</v>
      </c>
      <c r="G11" s="25"/>
    </row>
  </sheetData>
  <conditionalFormatting sqref="A1:J10 G11">
    <cfRule type="cellIs" priority="2" operator="equal" aboveAverage="0" equalAverage="0" bottom="0" percent="0" rank="0" text="" dxfId="30">
      <formula>3</formula>
    </cfRule>
    <cfRule type="cellIs" priority="3" operator="equal" aboveAverage="0" equalAverage="0" bottom="0" percent="0" rank="0" text="" dxfId="31">
      <formula>2</formula>
    </cfRule>
    <cfRule type="cellIs" priority="4" operator="between" aboveAverage="0" equalAverage="0" bottom="0" percent="0" rank="0" text="" dxfId="32">
      <formula>1.1</formula>
      <formula>2.9</formula>
    </cfRule>
    <cfRule type="cellIs" priority="5" operator="lessThan" aboveAverage="0" equalAverage="0" bottom="0" percent="0" rank="0" text="" dxfId="33">
      <formula>1</formula>
    </cfRule>
    <cfRule type="cellIs" priority="6" operator="between" aboveAverage="0" equalAverage="0" bottom="0" percent="0" rank="0" text="" dxfId="34">
      <formula>0.1</formula>
      <formula>1.9</formula>
    </cfRule>
    <cfRule type="cellIs" priority="7" operator="greaterThan" aboveAverage="0" equalAverage="0" bottom="0" percent="0" rank="0" text="" dxfId="35">
      <formula>2.1</formula>
    </cfRule>
    <cfRule type="cellIs" priority="8" operator="equal" aboveAverage="0" equalAverage="0" bottom="0" percent="0" rank="0" text="" dxfId="3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0" fitToHeight="4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27" zoomScaleNormal="127" zoomScalePageLayoutView="100" workbookViewId="0">
      <selection pane="topLeft" activeCell="B18" activeCellId="0" sqref="B18"/>
    </sheetView>
  </sheetViews>
  <sheetFormatPr defaultColWidth="11.5078125" defaultRowHeight="15" customHeight="true" zeroHeight="false" outlineLevelRow="0" outlineLevelCol="0"/>
  <cols>
    <col collapsed="false" customWidth="true" hidden="false" outlineLevel="0" max="1" min="1" style="11" width="12.67"/>
    <col collapsed="false" customWidth="false" hidden="false" outlineLevel="0" max="4" min="2" style="11" width="11.5"/>
    <col collapsed="false" customWidth="true" hidden="false" outlineLevel="0" max="5" min="5" style="11" width="60.5"/>
    <col collapsed="false" customWidth="false" hidden="false" outlineLevel="0" max="16384" min="6" style="11" width="11.5"/>
  </cols>
  <sheetData>
    <row r="1" customFormat="false" ht="36.15" hidden="false" customHeight="false" outlineLevel="0" collapsed="false">
      <c r="A1" s="26" t="s">
        <v>32</v>
      </c>
      <c r="B1" s="26" t="s">
        <v>33</v>
      </c>
      <c r="C1" s="26" t="s">
        <v>34</v>
      </c>
    </row>
    <row r="2" customFormat="false" ht="15" hidden="false" customHeight="false" outlineLevel="0" collapsed="false">
      <c r="A2" s="26"/>
      <c r="B2" s="27" t="n">
        <v>75</v>
      </c>
      <c r="C2" s="28" t="n">
        <v>0</v>
      </c>
      <c r="E2" s="11" t="s">
        <v>35</v>
      </c>
    </row>
    <row r="3" customFormat="false" ht="15" hidden="false" customHeight="false" outlineLevel="0" collapsed="false">
      <c r="A3" s="26" t="n">
        <v>1</v>
      </c>
      <c r="B3" s="19" t="n">
        <f aca="false">calcul!N3-calcul!N2</f>
        <v>0</v>
      </c>
      <c r="C3" s="29" t="n">
        <v>0</v>
      </c>
    </row>
    <row r="4" customFormat="false" ht="24.6" hidden="false" customHeight="false" outlineLevel="0" collapsed="false">
      <c r="A4" s="26" t="n">
        <v>2</v>
      </c>
      <c r="B4" s="19" t="n">
        <f aca="false">IF(C3="","",calcul!N4-calcul!N3)</f>
        <v>-6.66666666666669</v>
      </c>
      <c r="C4" s="30" t="n">
        <v>1</v>
      </c>
      <c r="E4" s="31" t="s">
        <v>36</v>
      </c>
    </row>
    <row r="5" customFormat="false" ht="15" hidden="false" customHeight="false" outlineLevel="0" collapsed="false">
      <c r="A5" s="26" t="n">
        <v>3</v>
      </c>
      <c r="B5" s="19" t="n">
        <f aca="false">IF(C4="","",calcul!N5-calcul!N4)</f>
        <v>-3.48534666666666</v>
      </c>
      <c r="C5" s="30" t="n">
        <v>1</v>
      </c>
    </row>
    <row r="6" customFormat="false" ht="15" hidden="false" customHeight="false" outlineLevel="0" collapsed="false">
      <c r="A6" s="26" t="n">
        <v>4</v>
      </c>
      <c r="B6" s="19" t="n">
        <f aca="false">IF(C5="","",calcul!N6-calcul!N5)</f>
        <v>-2.66729751210642</v>
      </c>
      <c r="C6" s="30" t="n">
        <v>1</v>
      </c>
    </row>
    <row r="7" customFormat="false" ht="15" hidden="false" customHeight="false" outlineLevel="0" collapsed="false">
      <c r="A7" s="26" t="n">
        <v>5</v>
      </c>
      <c r="B7" s="19" t="n">
        <f aca="false">IF(C6="","",calcul!N7-calcul!N6)</f>
        <v>-2.87037225364213</v>
      </c>
      <c r="C7" s="30" t="n">
        <v>1</v>
      </c>
    </row>
    <row r="8" customFormat="false" ht="15" hidden="false" customHeight="false" outlineLevel="0" collapsed="false">
      <c r="A8" s="26" t="n">
        <v>6</v>
      </c>
      <c r="B8" s="19" t="n">
        <f aca="false">IF(C7="","",calcul!N8-calcul!N7)</f>
        <v>-3.82953613343653</v>
      </c>
      <c r="C8" s="30" t="n">
        <v>1</v>
      </c>
    </row>
    <row r="9" customFormat="false" ht="15" hidden="false" customHeight="false" outlineLevel="0" collapsed="false">
      <c r="A9" s="26" t="n">
        <v>7</v>
      </c>
      <c r="B9" s="19" t="n">
        <f aca="false">IF(C8="","",calcul!N9-calcul!N8)</f>
        <v>-5.76720277724633</v>
      </c>
      <c r="C9" s="30" t="n">
        <v>1</v>
      </c>
    </row>
    <row r="10" customFormat="false" ht="15" hidden="false" customHeight="false" outlineLevel="0" collapsed="false">
      <c r="A10" s="26" t="n">
        <v>8</v>
      </c>
      <c r="B10" s="19" t="n">
        <f aca="false">IF(C9="","",calcul!N10-calcul!N9)</f>
        <v>-9.33219175663402</v>
      </c>
      <c r="C10" s="30" t="n">
        <v>0</v>
      </c>
    </row>
    <row r="11" customFormat="false" ht="15" hidden="false" customHeight="false" outlineLevel="0" collapsed="false">
      <c r="A11" s="26" t="n">
        <v>9</v>
      </c>
      <c r="B11" s="19" t="n">
        <f aca="false">IF(C10="","",calcul!N11-calcul!N10)</f>
        <v>-16.8526831179686</v>
      </c>
      <c r="C11" s="30" t="n">
        <v>1</v>
      </c>
    </row>
    <row r="12" customFormat="false" ht="15" hidden="false" customHeight="false" outlineLevel="0" collapsed="false">
      <c r="A12" s="26" t="n">
        <v>10</v>
      </c>
      <c r="B12" s="19" t="n">
        <f aca="false">IF(C11="","",calcul!N12-calcul!N11)</f>
        <v>-27.8899715855613</v>
      </c>
      <c r="C12" s="30" t="n">
        <v>1</v>
      </c>
    </row>
    <row r="13" customFormat="false" ht="15" hidden="false" customHeight="false" outlineLevel="0" collapsed="false">
      <c r="A13" s="26" t="n">
        <v>11</v>
      </c>
      <c r="B13" s="19" t="n">
        <f aca="false">IF(C12="","",calcul!N13-calcul!N12)</f>
        <v>-48.5113925168227</v>
      </c>
      <c r="C13" s="32" t="n">
        <v>1</v>
      </c>
    </row>
    <row r="14" customFormat="false" ht="15" hidden="false" customHeight="false" outlineLevel="0" collapsed="false">
      <c r="A14" s="26" t="n">
        <v>12</v>
      </c>
      <c r="B14" s="19" t="n">
        <f aca="false">IF(C13="","",calcul!N14-calcul!N13)</f>
        <v>-85.9921418275493</v>
      </c>
      <c r="C14" s="33" t="s">
        <v>37</v>
      </c>
    </row>
    <row r="15" customFormat="false" ht="15" hidden="false" customHeight="false" outlineLevel="0" collapsed="false">
      <c r="B15" s="16"/>
    </row>
    <row r="17" customFormat="false" ht="24.6" hidden="false" customHeight="false" outlineLevel="0" collapsed="false">
      <c r="A17" s="11" t="s">
        <v>38</v>
      </c>
      <c r="B17" s="16" t="n">
        <f aca="false">SUM(B2:B16)</f>
        <v>-138.864802814301</v>
      </c>
    </row>
    <row r="18" customFormat="false" ht="24.6" hidden="false" customHeight="false" outlineLevel="0" collapsed="false">
      <c r="A18" s="34" t="s">
        <v>39</v>
      </c>
      <c r="B18" s="35" t="n">
        <f aca="false">IF(B14="","",5*B17/B2)</f>
        <v>-9.25765352095337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LibreOffice/25.2.5.2$MacOSX_AARCH64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2024-10-17T02:06:05Z</dcterms:created>
  <dc:creator>Lucile DELATOUCHE</dc:creator>
  <dc:description/>
  <dc:language>en-US</dc:language>
  <cp:lastModifiedBy/>
  <dcterms:modified xsi:type="dcterms:W3CDTF">2025-09-23T15:58:17Z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