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attanak/Documents/Mega/master-programme-cadt/year II/Intership/ACROSS/documents/"/>
    </mc:Choice>
  </mc:AlternateContent>
  <xr:revisionPtr revIDLastSave="0" documentId="13_ncr:1_{296C5235-6AC9-A44C-9B75-C87C67589BCD}" xr6:coauthVersionLast="47" xr6:coauthVersionMax="47" xr10:uidLastSave="{00000000-0000-0000-0000-000000000000}"/>
  <bookViews>
    <workbookView xWindow="0" yWindow="0" windowWidth="28800" windowHeight="18000" activeTab="3" xr2:uid="{9E9FFEA6-FC8B-472E-AEE5-40BB050C7D66}"/>
  </bookViews>
  <sheets>
    <sheet name="info ini" sheetId="2" r:id="rId1"/>
    <sheet name="calcul" sheetId="4" r:id="rId2"/>
    <sheet name="field" sheetId="3" r:id="rId3"/>
    <sheet name="BPH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G2" i="4"/>
  <c r="J2" i="4"/>
  <c r="I3" i="4"/>
  <c r="R4" i="4" l="1"/>
  <c r="R5" i="4"/>
  <c r="R6" i="4"/>
  <c r="R7" i="4"/>
  <c r="R8" i="4"/>
  <c r="R9" i="4"/>
  <c r="R10" i="4"/>
  <c r="R11" i="4"/>
  <c r="R12" i="4"/>
  <c r="R13" i="4"/>
  <c r="R2" i="4"/>
  <c r="B3" i="4" l="1"/>
  <c r="B4" i="4"/>
  <c r="R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R14" i="4" l="1"/>
  <c r="H3" i="4"/>
  <c r="E3" i="4"/>
  <c r="T2" i="4"/>
  <c r="T3" i="4"/>
  <c r="O13" i="4"/>
  <c r="O4" i="4"/>
  <c r="O5" i="4"/>
  <c r="O6" i="4"/>
  <c r="O7" i="4"/>
  <c r="O8" i="4"/>
  <c r="O9" i="4"/>
  <c r="O10" i="4"/>
  <c r="O11" i="4"/>
  <c r="O12" i="4"/>
  <c r="O3" i="4"/>
  <c r="T6" i="4" l="1"/>
  <c r="R16" i="4"/>
  <c r="K2" i="4" l="1"/>
  <c r="B4" i="2"/>
  <c r="T5" i="4"/>
  <c r="T7" i="4"/>
  <c r="T8" i="4"/>
  <c r="T9" i="4"/>
  <c r="T10" i="4"/>
  <c r="T11" i="4"/>
  <c r="T12" i="4"/>
  <c r="T13" i="4"/>
  <c r="T14" i="4"/>
  <c r="T4" i="4"/>
  <c r="N2" i="4"/>
  <c r="P2" i="4" s="1"/>
  <c r="C11" i="3"/>
  <c r="Q2" i="4" l="1"/>
  <c r="B2" i="4" l="1"/>
  <c r="L2" i="4" l="1"/>
  <c r="E4" i="4" l="1"/>
  <c r="M2" i="4"/>
  <c r="G3" i="4" l="1"/>
  <c r="H4" i="4"/>
  <c r="J3" i="4"/>
  <c r="K3" i="4" l="1"/>
  <c r="N3" i="4"/>
  <c r="L3" i="4" l="1"/>
  <c r="F4" i="4" s="1"/>
  <c r="P3" i="4"/>
  <c r="M3" i="4" l="1"/>
  <c r="Q3" i="4"/>
  <c r="B3" i="5"/>
  <c r="H5" i="4" l="1"/>
  <c r="J4" i="4"/>
  <c r="G4" i="4"/>
  <c r="L4" i="4" s="1"/>
  <c r="E5" i="4"/>
  <c r="N4" i="4" l="1"/>
  <c r="K4" i="4"/>
  <c r="P4" i="4" l="1"/>
  <c r="B4" i="5"/>
  <c r="Q4" i="4"/>
  <c r="F5" i="4" l="1"/>
  <c r="E6" i="4" s="1"/>
  <c r="M4" i="4"/>
  <c r="D5" i="4" s="1"/>
  <c r="H6" i="4"/>
  <c r="G5" i="4" l="1"/>
  <c r="C5" i="4"/>
  <c r="B5" i="4" s="1"/>
  <c r="J5" i="4"/>
  <c r="K5" i="4" l="1"/>
  <c r="N5" i="4"/>
  <c r="L5" i="4"/>
  <c r="F6" i="4" l="1"/>
  <c r="G6" i="4" s="1"/>
  <c r="Q5" i="4"/>
  <c r="B5" i="5"/>
  <c r="P5" i="4"/>
  <c r="M5" i="4"/>
  <c r="J6" i="4"/>
  <c r="E7" i="4" l="1"/>
  <c r="C6" i="4"/>
  <c r="D6" i="4"/>
  <c r="H7" i="4"/>
  <c r="K6" i="4"/>
  <c r="B6" i="4" l="1"/>
  <c r="N6" i="4" s="1"/>
  <c r="B6" i="5" s="1"/>
  <c r="L6" i="4" l="1"/>
  <c r="Q6" i="4"/>
  <c r="P6" i="4"/>
  <c r="M6" i="4" l="1"/>
  <c r="D7" i="4" s="1"/>
  <c r="F7" i="4"/>
  <c r="E8" i="4" s="1"/>
  <c r="J7" i="4"/>
  <c r="C7" i="4" l="1"/>
  <c r="B7" i="4" s="1"/>
  <c r="N7" i="4" s="1"/>
  <c r="B7" i="5" s="1"/>
  <c r="G7" i="4"/>
  <c r="K7" i="4" s="1"/>
  <c r="H8" i="4"/>
  <c r="Q7" i="4" l="1"/>
  <c r="P7" i="4"/>
  <c r="L7" i="4"/>
  <c r="M7" i="4" s="1"/>
  <c r="D8" i="4" s="1"/>
  <c r="F8" i="4" l="1"/>
  <c r="G8" i="4" s="1"/>
  <c r="C8" i="4"/>
  <c r="B8" i="4" s="1"/>
  <c r="N8" i="4" s="1"/>
  <c r="H9" i="4"/>
  <c r="Q8" i="4" l="1"/>
  <c r="B8" i="5"/>
  <c r="E9" i="4"/>
  <c r="J8" i="4"/>
  <c r="L8" i="4" s="1"/>
  <c r="M8" i="4" s="1"/>
  <c r="D9" i="4" s="1"/>
  <c r="P8" i="4"/>
  <c r="K8" i="4" l="1"/>
  <c r="C9" i="4"/>
  <c r="B9" i="4" s="1"/>
  <c r="N9" i="4" s="1"/>
  <c r="F9" i="4" l="1"/>
  <c r="E10" i="4" s="1"/>
  <c r="Q9" i="4"/>
  <c r="B9" i="5"/>
  <c r="H10" i="4"/>
  <c r="P9" i="4"/>
  <c r="G9" i="4" l="1"/>
  <c r="J9" i="4"/>
  <c r="L9" i="4" l="1"/>
  <c r="M9" i="4" s="1"/>
  <c r="D10" i="4" s="1"/>
  <c r="K9" i="4"/>
  <c r="C10" i="4" l="1"/>
  <c r="B10" i="4" s="1"/>
  <c r="N10" i="4" s="1"/>
  <c r="B10" i="5" s="1"/>
  <c r="F10" i="4"/>
  <c r="E11" i="4" s="1"/>
  <c r="H11" i="4"/>
  <c r="P10" i="4" l="1"/>
  <c r="Q10" i="4"/>
  <c r="G10" i="4"/>
  <c r="J10" i="4"/>
  <c r="L10" i="4" l="1"/>
  <c r="M10" i="4" s="1"/>
  <c r="C11" i="4" s="1"/>
  <c r="K10" i="4"/>
  <c r="D11" i="4" l="1"/>
  <c r="B11" i="4" s="1"/>
  <c r="N11" i="4" s="1"/>
  <c r="P11" i="4" s="1"/>
  <c r="J11" i="4"/>
  <c r="F11" i="4"/>
  <c r="G11" i="4" s="1"/>
  <c r="H12" i="4"/>
  <c r="B11" i="5" l="1"/>
  <c r="L11" i="4"/>
  <c r="M11" i="4" s="1"/>
  <c r="C12" i="4" s="1"/>
  <c r="Q11" i="4"/>
  <c r="E12" i="4"/>
  <c r="K11" i="4"/>
  <c r="D12" i="4" l="1"/>
  <c r="B12" i="4" s="1"/>
  <c r="J12" i="4"/>
  <c r="F12" i="4"/>
  <c r="E13" i="4" s="1"/>
  <c r="H13" i="4" l="1"/>
  <c r="G12" i="4"/>
  <c r="K12" i="4" s="1"/>
  <c r="N12" i="4"/>
  <c r="B12" i="5" s="1"/>
  <c r="L12" i="4" l="1"/>
  <c r="M12" i="4" s="1"/>
  <c r="D13" i="4" s="1"/>
  <c r="Q12" i="4"/>
  <c r="P12" i="4"/>
  <c r="F13" i="4" l="1"/>
  <c r="G13" i="4" s="1"/>
  <c r="H14" i="4"/>
  <c r="C13" i="4"/>
  <c r="B13" i="4" s="1"/>
  <c r="N13" i="4" s="1"/>
  <c r="P13" i="4" l="1"/>
  <c r="B13" i="5"/>
  <c r="J13" i="4"/>
  <c r="K13" i="4" s="1"/>
  <c r="E14" i="4"/>
  <c r="Q13" i="4"/>
  <c r="L13" i="4" l="1"/>
  <c r="M13" i="4" s="1"/>
  <c r="D14" i="4" s="1"/>
  <c r="F14" i="4" l="1"/>
  <c r="G14" i="4" s="1"/>
  <c r="C14" i="4"/>
  <c r="B14" i="4" s="1"/>
  <c r="N14" i="4" s="1"/>
  <c r="J14" i="4"/>
  <c r="P14" i="4" l="1"/>
  <c r="B14" i="5"/>
  <c r="K14" i="4"/>
  <c r="Q14" i="4"/>
  <c r="L14" i="4"/>
  <c r="M14" i="4" s="1"/>
  <c r="B17" i="5" l="1"/>
  <c r="B18" i="5" s="1"/>
</calcChain>
</file>

<file path=xl/sharedStrings.xml><?xml version="1.0" encoding="utf-8"?>
<sst xmlns="http://schemas.openxmlformats.org/spreadsheetml/2006/main" count="45" uniqueCount="39">
  <si>
    <t>pest</t>
  </si>
  <si>
    <t>predators</t>
  </si>
  <si>
    <t>Treatment</t>
  </si>
  <si>
    <t>info initial</t>
  </si>
  <si>
    <t>reproduction</t>
  </si>
  <si>
    <t>normal</t>
  </si>
  <si>
    <t>TOTAL TREATMENT</t>
  </si>
  <si>
    <t>Cycle 1</t>
  </si>
  <si>
    <t>Predators</t>
  </si>
  <si>
    <t>TOTAL YIELD</t>
  </si>
  <si>
    <t>Parasitoids</t>
  </si>
  <si>
    <t>Field cases</t>
  </si>
  <si>
    <t>Dynamic yield</t>
  </si>
  <si>
    <t>Potential Yield</t>
  </si>
  <si>
    <t>Real Yield (tons)</t>
  </si>
  <si>
    <t>consumption rate</t>
  </si>
  <si>
    <t>reproduction rate</t>
  </si>
  <si>
    <t>Pest resistant</t>
  </si>
  <si>
    <t>Pest non-restistant</t>
  </si>
  <si>
    <t>Pest- total</t>
  </si>
  <si>
    <t xml:space="preserve">resistance </t>
  </si>
  <si>
    <t>predation rate</t>
  </si>
  <si>
    <t>reproduction rate after pesticide</t>
  </si>
  <si>
    <t>survival pesticides</t>
  </si>
  <si>
    <t>week</t>
  </si>
  <si>
    <t>max dynamic yield</t>
  </si>
  <si>
    <t>parasitoids</t>
  </si>
  <si>
    <t>Potential pest eaten by parasitoids</t>
  </si>
  <si>
    <t>potential pests eaten by predators</t>
  </si>
  <si>
    <t>total  Pest eaten</t>
  </si>
  <si>
    <t>total potential pest eaten</t>
  </si>
  <si>
    <t>potential parasitoid</t>
  </si>
  <si>
    <t>potential predator</t>
  </si>
  <si>
    <t>pesticide spray (0/1)</t>
  </si>
  <si>
    <t>HARVEST</t>
  </si>
  <si>
    <t>sticky notes you need to remove</t>
  </si>
  <si>
    <t>week 2: brown plant hopper have arrived. You remove 13 sticky notes and decide if you want to do a pesticide treatment</t>
  </si>
  <si>
    <t>Final yield (t/ha):</t>
  </si>
  <si>
    <t xml:space="preserve">sticky notes remaining: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</si>
</sst>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6" xfId="0" applyBorder="1"/>
    <xf numFmtId="0" fontId="2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0" xfId="0" applyFont="1"/>
    <xf numFmtId="0" fontId="0" fillId="2" borderId="0" xfId="0" applyFill="1"/>
    <xf numFmtId="0" fontId="3" fillId="0" borderId="0" xfId="0" applyFont="1"/>
    <xf numFmtId="0" fontId="4" fillId="0" borderId="1" xfId="0" applyFont="1" applyBorder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66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5" fontId="0" fillId="0" borderId="0" xfId="1" applyNumberFormat="1" applyFont="1" applyFill="1" applyAlignment="1">
      <alignment wrapText="1"/>
    </xf>
    <xf numFmtId="164" fontId="0" fillId="0" borderId="0" xfId="1" applyFont="1" applyFill="1" applyAlignment="1">
      <alignment wrapText="1"/>
    </xf>
    <xf numFmtId="0" fontId="2" fillId="0" borderId="0" xfId="0" applyFont="1" applyAlignment="1">
      <alignment horizontal="right" wrapText="1"/>
    </xf>
    <xf numFmtId="0" fontId="0" fillId="4" borderId="0" xfId="0" applyFill="1" applyAlignment="1">
      <alignment wrapText="1"/>
    </xf>
    <xf numFmtId="0" fontId="0" fillId="0" borderId="0" xfId="0" applyAlignment="1">
      <alignment horizontal="right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5" borderId="0" xfId="0" applyFill="1" applyAlignment="1">
      <alignment wrapText="1"/>
    </xf>
    <xf numFmtId="167" fontId="0" fillId="5" borderId="0" xfId="0" applyNumberFormat="1" applyFill="1" applyAlignment="1">
      <alignment wrapText="1"/>
    </xf>
    <xf numFmtId="0" fontId="4" fillId="0" borderId="10" xfId="0" applyFont="1" applyBorder="1"/>
    <xf numFmtId="0" fontId="1" fillId="2" borderId="0" xfId="0" applyFont="1" applyFill="1" applyAlignment="1">
      <alignment wrapText="1"/>
    </xf>
    <xf numFmtId="1" fontId="0" fillId="2" borderId="0" xfId="0" applyNumberFormat="1" applyFill="1" applyAlignment="1">
      <alignment wrapText="1"/>
    </xf>
    <xf numFmtId="2" fontId="0" fillId="3" borderId="0" xfId="0" applyNumberFormat="1" applyFill="1" applyAlignment="1">
      <alignment wrapText="1"/>
    </xf>
  </cellXfs>
  <cellStyles count="2">
    <cellStyle name="Comma" xfId="1" builtinId="3"/>
    <cellStyle name="Normal" xfId="0" builtinId="0"/>
  </cellStyles>
  <dxfs count="37">
    <dxf>
      <fill>
        <patternFill>
          <bgColor rgb="FFFF99FF"/>
        </patternFill>
      </fill>
    </dxf>
    <dxf>
      <font>
        <color theme="9"/>
      </font>
    </dxf>
    <dxf>
      <font>
        <color rgb="FFFF99FF"/>
      </font>
    </dxf>
    <dxf>
      <font>
        <color theme="0"/>
      </font>
    </dxf>
    <dxf>
      <font>
        <color theme="8" tint="0.59996337778862885"/>
      </font>
    </dxf>
    <dxf>
      <fill>
        <patternFill>
          <bgColor theme="8" tint="0.59996337778862885"/>
        </patternFill>
      </fill>
    </dxf>
    <dxf>
      <fill>
        <patternFill>
          <bgColor theme="9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161426991986752E-2"/>
          <c:y val="4.3948861800077718E-2"/>
          <c:w val="0.91607402577862485"/>
          <c:h val="0.77825072167571918"/>
        </c:manualLayout>
      </c:layout>
      <c:lineChart>
        <c:grouping val="standard"/>
        <c:varyColors val="0"/>
        <c:ser>
          <c:idx val="1"/>
          <c:order val="0"/>
          <c:tx>
            <c:strRef>
              <c:f>calcul!$B$1</c:f>
              <c:strCache>
                <c:ptCount val="1"/>
                <c:pt idx="0">
                  <c:v>Pest- 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calcul!$B$2:$B$14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99.349345</c:v>
                </c:pt>
                <c:pt idx="4">
                  <c:v>57.565978340584955</c:v>
                </c:pt>
                <c:pt idx="5">
                  <c:v>42.699298519803769</c:v>
                </c:pt>
                <c:pt idx="6">
                  <c:v>41.91983567041769</c:v>
                </c:pt>
                <c:pt idx="7">
                  <c:v>51.689852133927943</c:v>
                </c:pt>
                <c:pt idx="8">
                  <c:v>74.130573831309803</c:v>
                </c:pt>
                <c:pt idx="9">
                  <c:v>116.67821452660513</c:v>
                </c:pt>
                <c:pt idx="10">
                  <c:v>194.24603973405462</c:v>
                </c:pt>
                <c:pt idx="11">
                  <c:v>334.32821102492699</c:v>
                </c:pt>
                <c:pt idx="12">
                  <c:v>586.69691993983872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2-4E03-AF01-D3A143063079}"/>
            </c:ext>
          </c:extLst>
        </c:ser>
        <c:ser>
          <c:idx val="2"/>
          <c:order val="1"/>
          <c:tx>
            <c:strRef>
              <c:f>calcul!$F$1</c:f>
              <c:strCache>
                <c:ptCount val="1"/>
                <c:pt idx="0">
                  <c:v>Parasitoids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calcul!$A$2:$A$14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calcul!$F$2:$F$14</c:f>
              <c:numCache>
                <c:formatCode>0</c:formatCode>
                <c:ptCount val="13"/>
                <c:pt idx="0">
                  <c:v>25</c:v>
                </c:pt>
                <c:pt idx="1">
                  <c:v>25</c:v>
                </c:pt>
                <c:pt idx="2">
                  <c:v>7.5</c:v>
                </c:pt>
                <c:pt idx="3">
                  <c:v>2.8125</c:v>
                </c:pt>
                <c:pt idx="4">
                  <c:v>1.0546875</c:v>
                </c:pt>
                <c:pt idx="5">
                  <c:v>0.3955078125</c:v>
                </c:pt>
                <c:pt idx="6">
                  <c:v>0.1483154296875</c:v>
                </c:pt>
                <c:pt idx="7">
                  <c:v>5.56182861328125E-2</c:v>
                </c:pt>
                <c:pt idx="8">
                  <c:v>2.0856857299804688E-2</c:v>
                </c:pt>
                <c:pt idx="9">
                  <c:v>7.8213214874267578E-3</c:v>
                </c:pt>
                <c:pt idx="10">
                  <c:v>2.9329955577850342E-3</c:v>
                </c:pt>
                <c:pt idx="11">
                  <c:v>1.0998733341693878E-3</c:v>
                </c:pt>
                <c:pt idx="12">
                  <c:v>4.1245250031352043E-4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2-4E03-AF01-D3A143063079}"/>
            </c:ext>
          </c:extLst>
        </c:ser>
        <c:ser>
          <c:idx val="3"/>
          <c:order val="2"/>
          <c:tx>
            <c:strRef>
              <c:f>calcul!$I$1</c:f>
              <c:strCache>
                <c:ptCount val="1"/>
                <c:pt idx="0">
                  <c:v>Predators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calcul!$A$2:$A$14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calcul!$I$2:$I$14</c:f>
              <c:numCache>
                <c:formatCode>0</c:formatCode>
                <c:ptCount val="13"/>
                <c:pt idx="0">
                  <c:v>7</c:v>
                </c:pt>
                <c:pt idx="1">
                  <c:v>7.7000000000000011</c:v>
                </c:pt>
                <c:pt idx="2">
                  <c:v>4.2350000000000012</c:v>
                </c:pt>
                <c:pt idx="3">
                  <c:v>2.3292500000000009</c:v>
                </c:pt>
                <c:pt idx="4">
                  <c:v>1.2810875000000006</c:v>
                </c:pt>
                <c:pt idx="5">
                  <c:v>0.70459812500000041</c:v>
                </c:pt>
                <c:pt idx="6">
                  <c:v>0.38752896875000026</c:v>
                </c:pt>
                <c:pt idx="7">
                  <c:v>0.21314093281250016</c:v>
                </c:pt>
                <c:pt idx="8">
                  <c:v>0.11722751304687509</c:v>
                </c:pt>
                <c:pt idx="9">
                  <c:v>6.4475132175781311E-2</c:v>
                </c:pt>
                <c:pt idx="10">
                  <c:v>3.5461322696679724E-2</c:v>
                </c:pt>
                <c:pt idx="11">
                  <c:v>1.950372748317385E-2</c:v>
                </c:pt>
                <c:pt idx="12">
                  <c:v>1.0727050115745618E-2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2-4E03-AF01-D3A143063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070096"/>
        <c:axId val="1826069264"/>
        <c:extLst>
          <c:ext xmlns:c15="http://schemas.microsoft.com/office/drawing/2012/chart" uri="{02D57815-91ED-43cb-92C2-25804820EDAC}">
            <c15:filteredLineSeries>
              <c15:ser>
                <c:idx val="6"/>
                <c:order val="3"/>
                <c:tx>
                  <c:strRef>
                    <c:extLst>
                      <c:ext uri="{02D57815-91ED-43cb-92C2-25804820EDAC}">
                        <c15:formulaRef>
                          <c15:sqref>calcul!$Q$1</c15:sqref>
                        </c15:formulaRef>
                      </c:ext>
                    </c:extLst>
                    <c:strCache>
                      <c:ptCount val="1"/>
                      <c:pt idx="0">
                        <c:v>Real Yield (tons)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calcul!$A$2:$A$14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calcul!$Q$2:$Q$14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 formatCode="_-* #,##0.00_-;\-* #,##0.00_-;_-* &quot;-&quot;??_-;_-@_-">
                        <c:v>0</c:v>
                      </c:pt>
                      <c:pt idx="1">
                        <c:v>0.45454545454545459</c:v>
                      </c:pt>
                      <c:pt idx="2">
                        <c:v>0.86868686868686884</c:v>
                      </c:pt>
                      <c:pt idx="3">
                        <c:v>1.272924440909091</c:v>
                      </c:pt>
                      <c:pt idx="4">
                        <c:v>1.6739736067310771</c:v>
                      </c:pt>
                      <c:pt idx="5">
                        <c:v>2.0709017061311168</c:v>
                      </c:pt>
                      <c:pt idx="6">
                        <c:v>2.4596760863449658</c:v>
                      </c:pt>
                      <c:pt idx="7">
                        <c:v>2.833073720439077</c:v>
                      </c:pt>
                      <c:pt idx="8">
                        <c:v>3.1778950436395608</c:v>
                      </c:pt>
                      <c:pt idx="9">
                        <c:v>3.4690608199794104</c:v>
                      </c:pt>
                      <c:pt idx="10">
                        <c:v>3.6583039012558554</c:v>
                      </c:pt>
                      <c:pt idx="11">
                        <c:v>3.6526585013537445</c:v>
                      </c:pt>
                      <c:pt idx="12">
                        <c:v>3.000773034753923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962-4E03-AF01-D3A14306307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4"/>
          <c:tx>
            <c:v>treatment</c:v>
          </c:tx>
          <c:spPr>
            <a:ln w="28575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val>
            <c:numRef>
              <c:f>calcul!$R$2:$R$14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D-403D-9CD6-8E067EDB4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213151"/>
        <c:axId val="1465924959"/>
      </c:lineChart>
      <c:catAx>
        <c:axId val="18260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069264"/>
        <c:crosses val="autoZero"/>
        <c:auto val="1"/>
        <c:lblAlgn val="ctr"/>
        <c:lblOffset val="100"/>
        <c:noMultiLvlLbl val="0"/>
      </c:catAx>
      <c:valAx>
        <c:axId val="182606926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070096"/>
        <c:crosses val="autoZero"/>
        <c:crossBetween val="between"/>
      </c:valAx>
      <c:valAx>
        <c:axId val="1465924959"/>
        <c:scaling>
          <c:orientation val="minMax"/>
          <c:max val="2.5"/>
          <c:min val="0.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2213151"/>
        <c:crosses val="max"/>
        <c:crossBetween val="between"/>
        <c:majorUnit val="2"/>
      </c:valAx>
      <c:catAx>
        <c:axId val="1472213151"/>
        <c:scaling>
          <c:orientation val="minMax"/>
        </c:scaling>
        <c:delete val="1"/>
        <c:axPos val="b"/>
        <c:majorTickMark val="out"/>
        <c:minorTickMark val="none"/>
        <c:tickLblPos val="nextTo"/>
        <c:crossAx val="1465924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9791156992561"/>
          <c:y val="3.6925142665323936E-2"/>
          <c:w val="0.88340208843007439"/>
          <c:h val="0.80841428054121633"/>
        </c:manualLayout>
      </c:layout>
      <c:lineChart>
        <c:grouping val="standard"/>
        <c:varyColors val="0"/>
        <c:ser>
          <c:idx val="6"/>
          <c:order val="3"/>
          <c:tx>
            <c:strRef>
              <c:f>calcul!$Q$1</c:f>
              <c:strCache>
                <c:ptCount val="1"/>
                <c:pt idx="0">
                  <c:v>Real Yield (tons)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calcul!$A$2:$A$14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calcul!$Q$2:$Q$14</c:f>
              <c:numCache>
                <c:formatCode>0.00</c:formatCode>
                <c:ptCount val="13"/>
                <c:pt idx="0" formatCode="_-* #,##0.00_-;\-* #,##0.00_-;_-* &quot;-&quot;??_-;_-@_-">
                  <c:v>0</c:v>
                </c:pt>
                <c:pt idx="1">
                  <c:v>0.45454545454545459</c:v>
                </c:pt>
                <c:pt idx="2">
                  <c:v>0.86868686868686884</c:v>
                </c:pt>
                <c:pt idx="3">
                  <c:v>1.272924440909091</c:v>
                </c:pt>
                <c:pt idx="4">
                  <c:v>1.6739736067310771</c:v>
                </c:pt>
                <c:pt idx="5">
                  <c:v>2.0709017061311168</c:v>
                </c:pt>
                <c:pt idx="6">
                  <c:v>2.4596760863449658</c:v>
                </c:pt>
                <c:pt idx="7">
                  <c:v>2.833073720439077</c:v>
                </c:pt>
                <c:pt idx="8">
                  <c:v>3.1778950436395608</c:v>
                </c:pt>
                <c:pt idx="9">
                  <c:v>3.4690608199794104</c:v>
                </c:pt>
                <c:pt idx="10">
                  <c:v>3.6583039012558554</c:v>
                </c:pt>
                <c:pt idx="11">
                  <c:v>3.6526585013537445</c:v>
                </c:pt>
                <c:pt idx="12">
                  <c:v>3.000773034753923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3-420F-B6CA-BC762B0457FD}"/>
            </c:ext>
          </c:extLst>
        </c:ser>
        <c:ser>
          <c:idx val="0"/>
          <c:order val="4"/>
          <c:tx>
            <c:v>max yield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calcul!$T$2:$T$14</c:f>
              <c:numCache>
                <c:formatCode>General</c:formatCode>
                <c:ptCount val="13"/>
                <c:pt idx="0">
                  <c:v>0</c:v>
                </c:pt>
                <c:pt idx="1">
                  <c:v>0.45454545454545459</c:v>
                </c:pt>
                <c:pt idx="2">
                  <c:v>0.90909090909090917</c:v>
                </c:pt>
                <c:pt idx="3">
                  <c:v>1.3636363636363638</c:v>
                </c:pt>
                <c:pt idx="4">
                  <c:v>1.8181818181818183</c:v>
                </c:pt>
                <c:pt idx="5">
                  <c:v>2.2727272727272725</c:v>
                </c:pt>
                <c:pt idx="6">
                  <c:v>2.7272727272727275</c:v>
                </c:pt>
                <c:pt idx="7">
                  <c:v>3.1818181818181817</c:v>
                </c:pt>
                <c:pt idx="8">
                  <c:v>3.6363636363636367</c:v>
                </c:pt>
                <c:pt idx="9">
                  <c:v>4.0909090909090908</c:v>
                </c:pt>
                <c:pt idx="10">
                  <c:v>4.545454545454545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0E-40E7-8615-85AE73A9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070096"/>
        <c:axId val="182606926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calcul!$B$1</c15:sqref>
                        </c15:formulaRef>
                      </c:ext>
                    </c:extLst>
                    <c:strCache>
                      <c:ptCount val="1"/>
                      <c:pt idx="0">
                        <c:v>Pest- total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calcul!$A$2:$A$14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calcul!$B$2:$B$14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200</c:v>
                      </c:pt>
                      <c:pt idx="3">
                        <c:v>99.349345</c:v>
                      </c:pt>
                      <c:pt idx="4">
                        <c:v>57.565978340584955</c:v>
                      </c:pt>
                      <c:pt idx="5">
                        <c:v>42.699298519803769</c:v>
                      </c:pt>
                      <c:pt idx="6">
                        <c:v>41.91983567041769</c:v>
                      </c:pt>
                      <c:pt idx="7">
                        <c:v>51.689852133927943</c:v>
                      </c:pt>
                      <c:pt idx="8">
                        <c:v>74.130573831309803</c:v>
                      </c:pt>
                      <c:pt idx="9">
                        <c:v>116.67821452660513</c:v>
                      </c:pt>
                      <c:pt idx="10">
                        <c:v>194.24603973405462</c:v>
                      </c:pt>
                      <c:pt idx="11">
                        <c:v>334.32821102492699</c:v>
                      </c:pt>
                      <c:pt idx="12">
                        <c:v>586.69691993983872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C3-420F-B6CA-BC762B0457FD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calcul!$F$1</c15:sqref>
                        </c15:formulaRef>
                      </c:ext>
                    </c:extLst>
                    <c:strCache>
                      <c:ptCount val="1"/>
                      <c:pt idx="0">
                        <c:v>Parasitoids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calcul!$F$2:$F$14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7.5</c:v>
                      </c:pt>
                      <c:pt idx="3">
                        <c:v>2.8125</c:v>
                      </c:pt>
                      <c:pt idx="4">
                        <c:v>1.0546875</c:v>
                      </c:pt>
                      <c:pt idx="5">
                        <c:v>0.3955078125</c:v>
                      </c:pt>
                      <c:pt idx="6">
                        <c:v>0.1483154296875</c:v>
                      </c:pt>
                      <c:pt idx="7">
                        <c:v>5.56182861328125E-2</c:v>
                      </c:pt>
                      <c:pt idx="8">
                        <c:v>2.0856857299804688E-2</c:v>
                      </c:pt>
                      <c:pt idx="9">
                        <c:v>7.8213214874267578E-3</c:v>
                      </c:pt>
                      <c:pt idx="10">
                        <c:v>2.9329955577850342E-3</c:v>
                      </c:pt>
                      <c:pt idx="11">
                        <c:v>1.0998733341693878E-3</c:v>
                      </c:pt>
                      <c:pt idx="12">
                        <c:v>4.1245250031352043E-4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C3-420F-B6CA-BC762B0457FD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calcul!$I$1</c15:sqref>
                        </c15:formulaRef>
                      </c:ext>
                    </c:extLst>
                    <c:strCache>
                      <c:ptCount val="1"/>
                      <c:pt idx="0">
                        <c:v>Predators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calcul!$I$2:$I$14</c15:sqref>
                        </c15:formulaRef>
                      </c:ext>
                    </c:extLst>
                    <c:numCache>
                      <c:formatCode>0</c:formatCode>
                      <c:ptCount val="13"/>
                      <c:pt idx="0">
                        <c:v>7</c:v>
                      </c:pt>
                      <c:pt idx="1">
                        <c:v>7.7000000000000011</c:v>
                      </c:pt>
                      <c:pt idx="2">
                        <c:v>4.2350000000000012</c:v>
                      </c:pt>
                      <c:pt idx="3">
                        <c:v>2.3292500000000009</c:v>
                      </c:pt>
                      <c:pt idx="4">
                        <c:v>1.2810875000000006</c:v>
                      </c:pt>
                      <c:pt idx="5">
                        <c:v>0.70459812500000041</c:v>
                      </c:pt>
                      <c:pt idx="6">
                        <c:v>0.38752896875000026</c:v>
                      </c:pt>
                      <c:pt idx="7">
                        <c:v>0.21314093281250016</c:v>
                      </c:pt>
                      <c:pt idx="8">
                        <c:v>0.11722751304687509</c:v>
                      </c:pt>
                      <c:pt idx="9">
                        <c:v>6.4475132175781311E-2</c:v>
                      </c:pt>
                      <c:pt idx="10">
                        <c:v>3.5461322696679724E-2</c:v>
                      </c:pt>
                      <c:pt idx="11">
                        <c:v>1.950372748317385E-2</c:v>
                      </c:pt>
                      <c:pt idx="12">
                        <c:v>1.0727050115745618E-2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C3-420F-B6CA-BC762B0457FD}"/>
                  </c:ext>
                </c:extLst>
              </c15:ser>
            </c15:filteredLineSeries>
          </c:ext>
        </c:extLst>
      </c:lineChart>
      <c:catAx>
        <c:axId val="18260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069264"/>
        <c:crosses val="autoZero"/>
        <c:auto val="1"/>
        <c:lblAlgn val="ctr"/>
        <c:lblOffset val="100"/>
        <c:noMultiLvlLbl val="0"/>
      </c:catAx>
      <c:valAx>
        <c:axId val="18260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0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9B2-4B23-AF62-4245B4C1A1EC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9B2-4B23-AF62-4245B4C1A1E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9B2-4B23-AF62-4245B4C1A1EC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E9B2-4B23-AF62-4245B4C1A1E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E9B2-4B23-AF62-4245B4C1A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070096"/>
        <c:axId val="1826069264"/>
      </c:lineChart>
      <c:catAx>
        <c:axId val="18260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069264"/>
        <c:crosses val="autoZero"/>
        <c:auto val="1"/>
        <c:lblAlgn val="ctr"/>
        <c:lblOffset val="100"/>
        <c:noMultiLvlLbl val="0"/>
      </c:catAx>
      <c:valAx>
        <c:axId val="18260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0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603940</xdr:colOff>
      <xdr:row>0</xdr:row>
      <xdr:rowOff>317500</xdr:rowOff>
    </xdr:from>
    <xdr:to>
      <xdr:col>32</xdr:col>
      <xdr:colOff>69023</xdr:colOff>
      <xdr:row>22</xdr:row>
      <xdr:rowOff>26747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6631DB-8BC1-4D5C-B478-498E51C6B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756582</xdr:colOff>
      <xdr:row>22</xdr:row>
      <xdr:rowOff>192364</xdr:rowOff>
    </xdr:from>
    <xdr:to>
      <xdr:col>32</xdr:col>
      <xdr:colOff>96630</xdr:colOff>
      <xdr:row>49</xdr:row>
      <xdr:rowOff>165652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D3096D9-C08E-491E-9833-1298CF5FD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156210</xdr:colOff>
      <xdr:row>0</xdr:row>
      <xdr:rowOff>163831</xdr:rowOff>
    </xdr:from>
    <xdr:to>
      <xdr:col>29</xdr:col>
      <xdr:colOff>41910</xdr:colOff>
      <xdr:row>10</xdr:row>
      <xdr:rowOff>45721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A29603-84E2-46E9-8D03-6C1F2DBE9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685801</xdr:colOff>
      <xdr:row>0</xdr:row>
      <xdr:rowOff>257175</xdr:rowOff>
    </xdr:from>
    <xdr:to>
      <xdr:col>29</xdr:col>
      <xdr:colOff>148591</xdr:colOff>
      <xdr:row>9</xdr:row>
      <xdr:rowOff>343179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5C241EC-2AB9-4D9B-9F4A-367715D4D244}"/>
            </a:ext>
          </a:extLst>
        </xdr:cNvPr>
        <xdr:cNvSpPr/>
      </xdr:nvSpPr>
      <xdr:spPr>
        <a:xfrm>
          <a:off x="13944601" y="257175"/>
          <a:ext cx="5558790" cy="392648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9A473-1352-44EB-A6CD-6251E4B3DC39}">
  <sheetPr codeName="Feuil1"/>
  <dimension ref="A1:D14"/>
  <sheetViews>
    <sheetView workbookViewId="0">
      <selection activeCell="A7" sqref="A7:D7"/>
    </sheetView>
  </sheetViews>
  <sheetFormatPr baseColWidth="10" defaultRowHeight="15" x14ac:dyDescent="0.2"/>
  <cols>
    <col min="1" max="1" width="30.33203125" bestFit="1" customWidth="1"/>
    <col min="2" max="2" width="5.1640625" bestFit="1" customWidth="1"/>
    <col min="3" max="3" width="15.5" bestFit="1" customWidth="1"/>
    <col min="4" max="4" width="9.5" bestFit="1" customWidth="1"/>
  </cols>
  <sheetData>
    <row r="1" spans="1:4" x14ac:dyDescent="0.2">
      <c r="A1" s="8" t="s">
        <v>3</v>
      </c>
    </row>
    <row r="2" spans="1:4" ht="16" thickBot="1" x14ac:dyDescent="0.25"/>
    <row r="3" spans="1:4" x14ac:dyDescent="0.2">
      <c r="A3" s="3" t="s">
        <v>5</v>
      </c>
      <c r="B3" s="6" t="s">
        <v>0</v>
      </c>
      <c r="C3" s="6" t="s">
        <v>26</v>
      </c>
      <c r="D3" s="6" t="s">
        <v>1</v>
      </c>
    </row>
    <row r="4" spans="1:4" x14ac:dyDescent="0.2">
      <c r="A4" s="4" t="s">
        <v>16</v>
      </c>
      <c r="B4" s="1">
        <f>2*7/10.42</f>
        <v>1.3435700575815739</v>
      </c>
      <c r="C4" s="1">
        <v>1.25</v>
      </c>
      <c r="D4" s="1">
        <v>1.1000000000000001</v>
      </c>
    </row>
    <row r="5" spans="1:4" x14ac:dyDescent="0.2">
      <c r="A5" s="4" t="s">
        <v>22</v>
      </c>
      <c r="B5" s="1">
        <v>1.6</v>
      </c>
      <c r="C5" s="1"/>
      <c r="D5" s="1"/>
    </row>
    <row r="6" spans="1:4" x14ac:dyDescent="0.2">
      <c r="A6" s="4" t="s">
        <v>15</v>
      </c>
      <c r="B6" s="1">
        <v>0.8</v>
      </c>
      <c r="C6" s="13">
        <v>1.1000000000000001</v>
      </c>
      <c r="D6" s="13">
        <v>2.5</v>
      </c>
    </row>
    <row r="7" spans="1:4" ht="16" thickBot="1" x14ac:dyDescent="0.25">
      <c r="A7" s="5" t="s">
        <v>23</v>
      </c>
      <c r="B7" s="2">
        <v>0.3</v>
      </c>
      <c r="C7" s="2">
        <v>0.3</v>
      </c>
      <c r="D7" s="2">
        <v>0.5</v>
      </c>
    </row>
    <row r="9" spans="1:4" ht="16" thickBot="1" x14ac:dyDescent="0.25"/>
    <row r="10" spans="1:4" s="7" customFormat="1" x14ac:dyDescent="0.2">
      <c r="A10" s="3" t="s">
        <v>20</v>
      </c>
      <c r="B10" s="6" t="s">
        <v>0</v>
      </c>
      <c r="C10" s="6" t="s">
        <v>26</v>
      </c>
      <c r="D10" s="6" t="s">
        <v>1</v>
      </c>
    </row>
    <row r="11" spans="1:4" x14ac:dyDescent="0.2">
      <c r="A11" s="4" t="s">
        <v>4</v>
      </c>
      <c r="B11" s="1">
        <v>1.34</v>
      </c>
      <c r="C11" s="1">
        <v>1.25</v>
      </c>
      <c r="D11" s="1">
        <v>1.1000000000000001</v>
      </c>
    </row>
    <row r="12" spans="1:4" x14ac:dyDescent="0.2">
      <c r="A12" s="4" t="s">
        <v>22</v>
      </c>
      <c r="B12" s="1">
        <v>1.8</v>
      </c>
      <c r="C12" s="1"/>
      <c r="D12" s="1"/>
    </row>
    <row r="13" spans="1:4" x14ac:dyDescent="0.2">
      <c r="A13" s="4" t="s">
        <v>15</v>
      </c>
      <c r="B13" s="1">
        <v>0.8</v>
      </c>
      <c r="C13" s="13">
        <v>1.1000000000000001</v>
      </c>
      <c r="D13" s="13">
        <v>2.5</v>
      </c>
    </row>
    <row r="14" spans="1:4" ht="16" thickBot="1" x14ac:dyDescent="0.25">
      <c r="A14" s="5" t="s">
        <v>23</v>
      </c>
      <c r="B14" s="2">
        <v>1</v>
      </c>
      <c r="C14" s="2">
        <v>0.4</v>
      </c>
      <c r="D14" s="2">
        <v>0.5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6140-B3D9-41C9-9B64-5DC098A8515B}">
  <sheetPr codeName="Feuil3"/>
  <dimension ref="A1:T16"/>
  <sheetViews>
    <sheetView zoomScale="115" zoomScaleNormal="40" workbookViewId="0">
      <selection activeCell="K2" sqref="K2"/>
    </sheetView>
  </sheetViews>
  <sheetFormatPr baseColWidth="10" defaultColWidth="11.5" defaultRowHeight="15" x14ac:dyDescent="0.2"/>
  <cols>
    <col min="1" max="1" width="11.5" style="11"/>
    <col min="2" max="2" width="12" style="11" bestFit="1" customWidth="1"/>
    <col min="3" max="4" width="12" style="11" customWidth="1"/>
    <col min="5" max="5" width="14.83203125" style="11" customWidth="1"/>
    <col min="6" max="7" width="16.33203125" style="11" customWidth="1"/>
    <col min="8" max="8" width="14.83203125" style="11" customWidth="1"/>
    <col min="9" max="9" width="12.83203125" style="11" customWidth="1"/>
    <col min="10" max="11" width="16.5" style="11" customWidth="1"/>
    <col min="12" max="12" width="11.5" style="11"/>
    <col min="13" max="13" width="15.83203125" style="11" customWidth="1"/>
    <col min="14" max="14" width="11.5" style="11"/>
    <col min="15" max="15" width="17.5" style="11" bestFit="1" customWidth="1"/>
    <col min="16" max="16" width="13" style="11" bestFit="1" customWidth="1"/>
    <col min="17" max="17" width="15.83203125" style="11" customWidth="1"/>
    <col min="18" max="18" width="13.6640625" style="11" customWidth="1"/>
    <col min="19" max="16384" width="11.5" style="11"/>
  </cols>
  <sheetData>
    <row r="1" spans="1:20" s="16" customFormat="1" ht="48" x14ac:dyDescent="0.2">
      <c r="A1" s="16" t="s">
        <v>7</v>
      </c>
      <c r="B1" s="16" t="s">
        <v>19</v>
      </c>
      <c r="C1" s="16" t="s">
        <v>17</v>
      </c>
      <c r="D1" s="16" t="s">
        <v>18</v>
      </c>
      <c r="E1" s="16" t="s">
        <v>31</v>
      </c>
      <c r="F1" s="32" t="s">
        <v>10</v>
      </c>
      <c r="G1" s="16" t="s">
        <v>27</v>
      </c>
      <c r="H1" s="16" t="s">
        <v>32</v>
      </c>
      <c r="I1" s="32" t="s">
        <v>8</v>
      </c>
      <c r="J1" s="16" t="s">
        <v>28</v>
      </c>
      <c r="K1" s="16" t="s">
        <v>30</v>
      </c>
      <c r="L1" s="32" t="s">
        <v>29</v>
      </c>
      <c r="M1" s="16" t="s">
        <v>21</v>
      </c>
      <c r="N1" s="16" t="s">
        <v>11</v>
      </c>
      <c r="O1" s="17" t="s">
        <v>12</v>
      </c>
      <c r="P1" s="16" t="s">
        <v>13</v>
      </c>
      <c r="Q1" s="16" t="s">
        <v>14</v>
      </c>
      <c r="R1" s="18" t="s">
        <v>2</v>
      </c>
      <c r="T1" s="16" t="s">
        <v>25</v>
      </c>
    </row>
    <row r="2" spans="1:20" x14ac:dyDescent="0.2">
      <c r="A2" s="11">
        <v>0</v>
      </c>
      <c r="B2" s="12">
        <f t="shared" ref="B2:B14" si="0">C2+D2</f>
        <v>0</v>
      </c>
      <c r="C2" s="19">
        <v>0</v>
      </c>
      <c r="D2" s="12">
        <v>0</v>
      </c>
      <c r="E2" s="12">
        <v>25</v>
      </c>
      <c r="F2" s="33">
        <v>25</v>
      </c>
      <c r="G2" s="12">
        <f>F2*'info ini'!$C$6</f>
        <v>27.500000000000004</v>
      </c>
      <c r="H2" s="12">
        <v>7</v>
      </c>
      <c r="I2" s="33">
        <v>7</v>
      </c>
      <c r="J2" s="12">
        <f>'info ini'!$D$6*I2</f>
        <v>17.5</v>
      </c>
      <c r="K2" s="12">
        <f>J2+G2</f>
        <v>45</v>
      </c>
      <c r="L2" s="33">
        <f t="shared" ref="L2:L14" si="1">IF((G2+J2)&lt;B2,(G2+J2),B2)</f>
        <v>0</v>
      </c>
      <c r="M2" s="20">
        <f t="shared" ref="M2:M14" si="2">IF(B2=0,0,L2/B2)</f>
        <v>0</v>
      </c>
      <c r="N2" s="21">
        <f>300</f>
        <v>300</v>
      </c>
      <c r="O2" s="20">
        <v>0</v>
      </c>
      <c r="P2" s="22">
        <f>N2/300</f>
        <v>1</v>
      </c>
      <c r="Q2" s="22">
        <f>N2*O2*5/(100*300)</f>
        <v>0</v>
      </c>
      <c r="R2" s="11">
        <f>BPH!C2</f>
        <v>0</v>
      </c>
      <c r="T2" s="11">
        <f t="shared" ref="T2:T14" si="3">5*O2/100</f>
        <v>0</v>
      </c>
    </row>
    <row r="3" spans="1:20" x14ac:dyDescent="0.2">
      <c r="A3" s="11">
        <v>1</v>
      </c>
      <c r="B3" s="12">
        <f t="shared" si="0"/>
        <v>0</v>
      </c>
      <c r="C3" s="19">
        <v>0</v>
      </c>
      <c r="D3" s="12">
        <v>0</v>
      </c>
      <c r="E3" s="12">
        <f>F2*'info ini'!C$4</f>
        <v>31.25</v>
      </c>
      <c r="F3" s="33">
        <f>IF(R2=1,'info ini'!$C$7,1)*F2*IF(K2=L2,'info ini'!$C$4,(('info ini'!$C$4-1)*L2/K2)+1)</f>
        <v>25</v>
      </c>
      <c r="G3" s="12">
        <f>F3*'info ini'!$C$6</f>
        <v>27.500000000000004</v>
      </c>
      <c r="H3" s="12">
        <f>I2*'info ini'!D$4</f>
        <v>7.7000000000000011</v>
      </c>
      <c r="I3" s="33">
        <f>IF(R2=1,'info ini'!$D$7,1)*I2*'info ini'!$D$4</f>
        <v>7.7000000000000011</v>
      </c>
      <c r="J3" s="12">
        <f>I3*'info ini'!$D$6</f>
        <v>19.250000000000004</v>
      </c>
      <c r="K3" s="12">
        <f t="shared" ref="K3:K14" si="4">J3+G3</f>
        <v>46.750000000000007</v>
      </c>
      <c r="L3" s="33">
        <f t="shared" si="1"/>
        <v>0</v>
      </c>
      <c r="M3" s="20">
        <f t="shared" si="2"/>
        <v>0</v>
      </c>
      <c r="N3" s="12">
        <f>IF((N2-(B3/15))&gt;0,N2-(B3/15),0)</f>
        <v>300</v>
      </c>
      <c r="O3" s="20">
        <f>A3*100/11</f>
        <v>9.0909090909090917</v>
      </c>
      <c r="P3" s="20">
        <f t="shared" ref="P3:P14" si="5">N3/300</f>
        <v>1</v>
      </c>
      <c r="Q3" s="20">
        <f t="shared" ref="Q3:Q14" si="6">N3*O3*5/(100*300)</f>
        <v>0.45454545454545459</v>
      </c>
      <c r="R3" s="11">
        <f>BPH!C3</f>
        <v>1</v>
      </c>
      <c r="S3" s="12"/>
      <c r="T3" s="11">
        <f t="shared" si="3"/>
        <v>0.45454545454545459</v>
      </c>
    </row>
    <row r="4" spans="1:20" x14ac:dyDescent="0.2">
      <c r="A4" s="11">
        <v>2</v>
      </c>
      <c r="B4" s="12">
        <f t="shared" ref="B4" si="7">C4+D4</f>
        <v>200</v>
      </c>
      <c r="C4" s="19">
        <v>2</v>
      </c>
      <c r="D4" s="12">
        <v>198</v>
      </c>
      <c r="E4" s="12">
        <f>F3*'info ini'!C$4</f>
        <v>31.25</v>
      </c>
      <c r="F4" s="33">
        <f>IF(R3=1,'info ini'!$C$7,1)*F3*IF(K3=L3,'info ini'!$C$4,(('info ini'!$C$4-1)*L3/K3)+1)</f>
        <v>7.5</v>
      </c>
      <c r="G4" s="12">
        <f>F4*'info ini'!$C$6</f>
        <v>8.25</v>
      </c>
      <c r="H4" s="12">
        <f>I3*'info ini'!D$4</f>
        <v>8.4700000000000024</v>
      </c>
      <c r="I4" s="33">
        <f>IF(R3=1,'info ini'!$D$7,1)*I3*'info ini'!$D$4</f>
        <v>4.2350000000000012</v>
      </c>
      <c r="J4" s="12">
        <f>I4*'info ini'!$D$6</f>
        <v>10.587500000000002</v>
      </c>
      <c r="K4" s="12">
        <f t="shared" si="4"/>
        <v>18.837500000000002</v>
      </c>
      <c r="L4" s="33">
        <f>IF((G4+J4)&lt;B4,(G4+J4),B4)</f>
        <v>18.837500000000002</v>
      </c>
      <c r="M4" s="20">
        <f t="shared" si="2"/>
        <v>9.4187500000000007E-2</v>
      </c>
      <c r="N4" s="12">
        <f t="shared" ref="N4:N14" si="8">IF((N3-(B4/15))&gt;0,N3-(B4/15),0)</f>
        <v>286.66666666666669</v>
      </c>
      <c r="O4" s="20">
        <f t="shared" ref="O4:O12" si="9">A4*100/11</f>
        <v>18.181818181818183</v>
      </c>
      <c r="P4" s="20">
        <f t="shared" si="5"/>
        <v>0.9555555555555556</v>
      </c>
      <c r="Q4" s="20">
        <f t="shared" si="6"/>
        <v>0.86868686868686884</v>
      </c>
      <c r="R4" s="11">
        <f>BPH!C4</f>
        <v>1</v>
      </c>
      <c r="S4" s="12"/>
      <c r="T4" s="11">
        <f t="shared" si="3"/>
        <v>0.90909090909090917</v>
      </c>
    </row>
    <row r="5" spans="1:20" x14ac:dyDescent="0.2">
      <c r="A5" s="11">
        <v>3</v>
      </c>
      <c r="B5" s="12">
        <f>C5+D5</f>
        <v>99.349345</v>
      </c>
      <c r="C5" s="19">
        <f>C4*(1-M4)*IF(SUM($R$2:R4)&gt;1,'info ini'!B$12,'info ini'!B$11)+0.2</f>
        <v>3.4609250000000005</v>
      </c>
      <c r="D5" s="12">
        <f>D4*(1-M4)*IF(SUM($R$2,R4)=0,'info ini'!B$4,'info ini'!B$5)*IF(R4=1,'info ini'!B$7,1)+9.8</f>
        <v>95.888419999999996</v>
      </c>
      <c r="E5" s="12">
        <f>F4*'info ini'!C$4</f>
        <v>9.375</v>
      </c>
      <c r="F5" s="33">
        <f>IF(R4=1,'info ini'!$C$7,1)*F4*IF(K4=L4,'info ini'!$C$4,(('info ini'!$C$4-1)*L4/K4)+1)</f>
        <v>2.8125</v>
      </c>
      <c r="G5" s="12">
        <f>F5*'info ini'!$C$6</f>
        <v>3.0937500000000004</v>
      </c>
      <c r="H5" s="12">
        <f>I4*'info ini'!D$4</f>
        <v>4.6585000000000019</v>
      </c>
      <c r="I5" s="33">
        <f>IF(R4=1,'info ini'!$D$7,1)*I4*'info ini'!$D$4</f>
        <v>2.3292500000000009</v>
      </c>
      <c r="J5" s="12">
        <f>I5*'info ini'!$D$6</f>
        <v>5.8231250000000028</v>
      </c>
      <c r="K5" s="12">
        <f t="shared" si="4"/>
        <v>8.9168750000000028</v>
      </c>
      <c r="L5" s="33">
        <f t="shared" si="1"/>
        <v>8.9168750000000028</v>
      </c>
      <c r="M5" s="20">
        <f t="shared" si="2"/>
        <v>8.9752730629477251E-2</v>
      </c>
      <c r="N5" s="12">
        <f t="shared" si="8"/>
        <v>280.04337700000002</v>
      </c>
      <c r="O5" s="20">
        <f t="shared" si="9"/>
        <v>27.272727272727273</v>
      </c>
      <c r="P5" s="20">
        <f t="shared" si="5"/>
        <v>0.93347792333333335</v>
      </c>
      <c r="Q5" s="20">
        <f t="shared" si="6"/>
        <v>1.272924440909091</v>
      </c>
      <c r="R5" s="11">
        <f>BPH!C5</f>
        <v>1</v>
      </c>
      <c r="S5" s="12"/>
      <c r="T5" s="11">
        <f t="shared" si="3"/>
        <v>1.3636363636363638</v>
      </c>
    </row>
    <row r="6" spans="1:20" x14ac:dyDescent="0.2">
      <c r="A6" s="11">
        <v>4</v>
      </c>
      <c r="B6" s="12">
        <f t="shared" si="0"/>
        <v>57.565978340584955</v>
      </c>
      <c r="C6" s="19">
        <f>C5*(1-M5)*IF(SUM($R$2:R5)&gt;1,'info ini'!B$12,'info ini'!B$11)+0.2</f>
        <v>5.8705355553431184</v>
      </c>
      <c r="D6" s="12">
        <f>D5*(1-M5)*IF(SUM($R$2,R5)=0,'info ini'!B$4,'info ini'!B$5)*IF(R5=1,'info ini'!B$7,1)+9.8</f>
        <v>51.695442785241838</v>
      </c>
      <c r="E6" s="12">
        <f>F5*'info ini'!C$4</f>
        <v>3.515625</v>
      </c>
      <c r="F6" s="33">
        <f>IF(R5=1,'info ini'!$C$7,1)*F5*IF(K5=L5,'info ini'!$C$4,(('info ini'!$C$4-1)*L5/K5)+1)</f>
        <v>1.0546875</v>
      </c>
      <c r="G6" s="12">
        <f>F6*'info ini'!$C$6</f>
        <v>1.16015625</v>
      </c>
      <c r="H6" s="12">
        <f>I5*'info ini'!D$4</f>
        <v>2.5621750000000012</v>
      </c>
      <c r="I6" s="33">
        <f>IF(R5=1,'info ini'!$D$7,1)*I5*'info ini'!$D$4</f>
        <v>1.2810875000000006</v>
      </c>
      <c r="J6" s="12">
        <f>I6*'info ini'!$D$6</f>
        <v>3.2027187500000016</v>
      </c>
      <c r="K6" s="12">
        <f t="shared" si="4"/>
        <v>4.3628750000000016</v>
      </c>
      <c r="L6" s="33">
        <f t="shared" si="1"/>
        <v>4.3628750000000016</v>
      </c>
      <c r="M6" s="20">
        <f t="shared" si="2"/>
        <v>7.5789122772957435E-2</v>
      </c>
      <c r="N6" s="12">
        <f t="shared" si="8"/>
        <v>276.2056451106277</v>
      </c>
      <c r="O6" s="20">
        <f t="shared" si="9"/>
        <v>36.363636363636367</v>
      </c>
      <c r="P6" s="20">
        <f t="shared" si="5"/>
        <v>0.92068548370209236</v>
      </c>
      <c r="Q6" s="20">
        <f t="shared" si="6"/>
        <v>1.6739736067310771</v>
      </c>
      <c r="R6" s="11">
        <f>BPH!C6</f>
        <v>1</v>
      </c>
      <c r="S6" s="12"/>
      <c r="T6" s="11">
        <f t="shared" si="3"/>
        <v>1.8181818181818183</v>
      </c>
    </row>
    <row r="7" spans="1:20" x14ac:dyDescent="0.2">
      <c r="A7" s="11">
        <v>5</v>
      </c>
      <c r="B7" s="12">
        <f t="shared" si="0"/>
        <v>42.699298519803769</v>
      </c>
      <c r="C7" s="19">
        <f>C6*(1-M6)*IF(SUM($R$2:R6)&gt;1,'info ini'!B$12,'info ini'!B$11)+0.2</f>
        <v>9.9661030677131723</v>
      </c>
      <c r="D7" s="12">
        <f>D6*(1-M6)*IF(SUM($R$2,R6)=0,'info ini'!B$4,'info ini'!B$5)*IF(R6=1,'info ini'!B$7,1)+9.8</f>
        <v>32.733195452090598</v>
      </c>
      <c r="E7" s="12">
        <f>F6*'info ini'!C$4</f>
        <v>1.318359375</v>
      </c>
      <c r="F7" s="33">
        <f>IF(R6=1,'info ini'!$C$7,1)*F6*IF(K6=L6,'info ini'!$C$4,(('info ini'!$C$4-1)*L6/K6)+1)</f>
        <v>0.3955078125</v>
      </c>
      <c r="G7" s="12">
        <f>F7*'info ini'!$C$6</f>
        <v>0.43505859375000006</v>
      </c>
      <c r="H7" s="12">
        <f>I6*'info ini'!D$4</f>
        <v>1.4091962500000008</v>
      </c>
      <c r="I7" s="33">
        <f>IF(R6=1,'info ini'!$D$7,1)*I6*'info ini'!$D$4</f>
        <v>0.70459812500000041</v>
      </c>
      <c r="J7" s="12">
        <f>I7*'info ini'!$D$6</f>
        <v>1.761495312500001</v>
      </c>
      <c r="K7" s="12">
        <f t="shared" si="4"/>
        <v>2.196553906250001</v>
      </c>
      <c r="L7" s="33">
        <f t="shared" si="1"/>
        <v>2.196553906250001</v>
      </c>
      <c r="M7" s="20">
        <f t="shared" si="2"/>
        <v>5.1442388572993721E-2</v>
      </c>
      <c r="N7" s="12">
        <f t="shared" si="8"/>
        <v>273.35902520930745</v>
      </c>
      <c r="O7" s="20">
        <f t="shared" si="9"/>
        <v>45.454545454545453</v>
      </c>
      <c r="P7" s="20">
        <f t="shared" si="5"/>
        <v>0.91119675069769146</v>
      </c>
      <c r="Q7" s="20">
        <f t="shared" si="6"/>
        <v>2.0709017061311168</v>
      </c>
      <c r="R7" s="11">
        <f>BPH!C7</f>
        <v>1</v>
      </c>
      <c r="S7" s="12"/>
      <c r="T7" s="11">
        <f t="shared" si="3"/>
        <v>2.2727272727272725</v>
      </c>
    </row>
    <row r="8" spans="1:20" x14ac:dyDescent="0.2">
      <c r="A8" s="11">
        <v>6</v>
      </c>
      <c r="B8" s="12">
        <f t="shared" si="0"/>
        <v>41.91983567041769</v>
      </c>
      <c r="C8" s="19">
        <f>C7*(1-M7)*IF(SUM($R$2:R7)&gt;1,'info ini'!B$12,'info ini'!B$11)+0.2</f>
        <v>17.216161258061657</v>
      </c>
      <c r="D8" s="12">
        <f>D7*(1-M7)*IF(SUM($R$2,R7)=0,'info ini'!B$4,'info ini'!B$5)*IF(R7=1,'info ini'!B$7,1)+9.8</f>
        <v>24.703674412356033</v>
      </c>
      <c r="E8" s="12">
        <f>F7*'info ini'!C$4</f>
        <v>0.494384765625</v>
      </c>
      <c r="F8" s="33">
        <f>IF(R7=1,'info ini'!$C$7,1)*F7*IF(K7=L7,'info ini'!$C$4,(('info ini'!$C$4-1)*L7/K7)+1)</f>
        <v>0.1483154296875</v>
      </c>
      <c r="G8" s="12">
        <f>F8*'info ini'!$C$6</f>
        <v>0.16314697265625</v>
      </c>
      <c r="H8" s="12">
        <f>I7*'info ini'!D$4</f>
        <v>0.77505793750000052</v>
      </c>
      <c r="I8" s="33">
        <f>IF(R7=1,'info ini'!$D$7,1)*I7*'info ini'!$D$4</f>
        <v>0.38752896875000026</v>
      </c>
      <c r="J8" s="12">
        <f>I8*'info ini'!$D$6</f>
        <v>0.96882242187500067</v>
      </c>
      <c r="K8" s="12">
        <f t="shared" si="4"/>
        <v>1.1319693945312506</v>
      </c>
      <c r="L8" s="33">
        <f t="shared" si="1"/>
        <v>1.1319693945312506</v>
      </c>
      <c r="M8" s="20">
        <f t="shared" si="2"/>
        <v>2.7003192556168999E-2</v>
      </c>
      <c r="N8" s="12">
        <f t="shared" si="8"/>
        <v>270.56436949794625</v>
      </c>
      <c r="O8" s="20">
        <f t="shared" si="9"/>
        <v>54.545454545454547</v>
      </c>
      <c r="P8" s="20">
        <f t="shared" si="5"/>
        <v>0.90188123165982081</v>
      </c>
      <c r="Q8" s="20">
        <f t="shared" si="6"/>
        <v>2.4596760863449658</v>
      </c>
      <c r="R8" s="11">
        <f>BPH!C8</f>
        <v>1</v>
      </c>
      <c r="S8" s="12"/>
      <c r="T8" s="11">
        <f t="shared" si="3"/>
        <v>2.7272727272727275</v>
      </c>
    </row>
    <row r="9" spans="1:20" x14ac:dyDescent="0.2">
      <c r="A9" s="11">
        <v>7</v>
      </c>
      <c r="B9" s="12">
        <f t="shared" si="0"/>
        <v>51.689852133927943</v>
      </c>
      <c r="C9" s="19">
        <f>C8*(1-M8)*IF(SUM($R$2:R8)&gt;1,'info ini'!B$12,'info ini'!B$11)+0.2</f>
        <v>30.352285892957891</v>
      </c>
      <c r="D9" s="12">
        <f>D8*(1-M8)*IF(SUM($R$2,R8)=0,'info ini'!B$4,'info ini'!B$5)*IF(R8=1,'info ini'!B$7,1)+9.8</f>
        <v>21.337566240970055</v>
      </c>
      <c r="E9" s="12">
        <f>F8*'info ini'!C$4</f>
        <v>0.185394287109375</v>
      </c>
      <c r="F9" s="33">
        <f>IF(R8=1,'info ini'!$C$7,1)*F8*IF(K8=L8,'info ini'!$C$4,(('info ini'!$C$4-1)*L8/K8)+1)</f>
        <v>5.56182861328125E-2</v>
      </c>
      <c r="G9" s="12">
        <f>F9*'info ini'!$C$6</f>
        <v>6.1180114746093757E-2</v>
      </c>
      <c r="H9" s="12">
        <f>I8*'info ini'!D$4</f>
        <v>0.42628186562500031</v>
      </c>
      <c r="I9" s="33">
        <f>IF(R8=1,'info ini'!$D$7,1)*I8*'info ini'!$D$4</f>
        <v>0.21314093281250016</v>
      </c>
      <c r="J9" s="12">
        <f>I9*'info ini'!$D$6</f>
        <v>0.53285233203125038</v>
      </c>
      <c r="K9" s="12">
        <f t="shared" si="4"/>
        <v>0.59403244677734413</v>
      </c>
      <c r="L9" s="33">
        <f t="shared" si="1"/>
        <v>0.59403244677734413</v>
      </c>
      <c r="M9" s="20">
        <f t="shared" si="2"/>
        <v>1.1492245039475281E-2</v>
      </c>
      <c r="N9" s="12">
        <f t="shared" si="8"/>
        <v>267.1183793556844</v>
      </c>
      <c r="O9" s="20">
        <f t="shared" si="9"/>
        <v>63.636363636363633</v>
      </c>
      <c r="P9" s="20">
        <f t="shared" si="5"/>
        <v>0.89039459785228137</v>
      </c>
      <c r="Q9" s="20">
        <f t="shared" si="6"/>
        <v>2.833073720439077</v>
      </c>
      <c r="R9" s="11">
        <f>BPH!C9</f>
        <v>1</v>
      </c>
      <c r="S9" s="12"/>
      <c r="T9" s="11">
        <f t="shared" si="3"/>
        <v>3.1818181818181817</v>
      </c>
    </row>
    <row r="10" spans="1:20" x14ac:dyDescent="0.2">
      <c r="A10" s="11">
        <v>8</v>
      </c>
      <c r="B10" s="12">
        <f t="shared" si="0"/>
        <v>74.130573831309803</v>
      </c>
      <c r="C10" s="19">
        <f>C9*(1-M9)*IF(SUM($R$2:R9)&gt;1,'info ini'!B$12,'info ini'!B$11)+0.2</f>
        <v>54.20624597474206</v>
      </c>
      <c r="D10" s="12">
        <f>D9*(1-M9)*IF(SUM($R$2,R9)=0,'info ini'!B$4,'info ini'!B$5)*IF(R9=1,'info ini'!B$7,1)+9.8</f>
        <v>19.924327856567743</v>
      </c>
      <c r="E10" s="12">
        <f>F9*'info ini'!C$4</f>
        <v>6.9522857666015625E-2</v>
      </c>
      <c r="F10" s="33">
        <f>IF(R9=1,'info ini'!$C$7,1)*F9*IF(K9=L9,'info ini'!$C$4,(('info ini'!$C$4-1)*L9/K9)+1)</f>
        <v>2.0856857299804688E-2</v>
      </c>
      <c r="G10" s="12">
        <f>F10*'info ini'!$C$6</f>
        <v>2.294254302978516E-2</v>
      </c>
      <c r="H10" s="12">
        <f>I9*'info ini'!D$4</f>
        <v>0.23445502609375019</v>
      </c>
      <c r="I10" s="33">
        <f>IF(R9=1,'info ini'!$D$7,1)*I9*'info ini'!$D$4</f>
        <v>0.11722751304687509</v>
      </c>
      <c r="J10" s="12">
        <f>I10*'info ini'!$D$6</f>
        <v>0.29306878261718772</v>
      </c>
      <c r="K10" s="12">
        <f t="shared" si="4"/>
        <v>0.31601132564697287</v>
      </c>
      <c r="L10" s="33">
        <f t="shared" si="1"/>
        <v>0.31601132564697287</v>
      </c>
      <c r="M10" s="20">
        <f t="shared" si="2"/>
        <v>4.262901382175761E-3</v>
      </c>
      <c r="N10" s="12">
        <f t="shared" si="8"/>
        <v>262.17634110026376</v>
      </c>
      <c r="O10" s="20">
        <f t="shared" si="9"/>
        <v>72.727272727272734</v>
      </c>
      <c r="P10" s="20">
        <f t="shared" si="5"/>
        <v>0.87392113700087914</v>
      </c>
      <c r="Q10" s="20">
        <f t="shared" si="6"/>
        <v>3.1778950436395608</v>
      </c>
      <c r="R10" s="11">
        <f>BPH!C10</f>
        <v>1</v>
      </c>
      <c r="S10" s="12"/>
      <c r="T10" s="11">
        <f t="shared" si="3"/>
        <v>3.6363636363636367</v>
      </c>
    </row>
    <row r="11" spans="1:20" x14ac:dyDescent="0.2">
      <c r="A11" s="11">
        <v>9</v>
      </c>
      <c r="B11" s="12">
        <f t="shared" si="0"/>
        <v>116.67821452660513</v>
      </c>
      <c r="C11" s="19">
        <f>C10*(1-M10)*IF(SUM($R$2:R10)&gt;1,'info ini'!B$12,'info ini'!B$11)+0.2</f>
        <v>97.355306168936792</v>
      </c>
      <c r="D11" s="12">
        <f>D10*(1-M10)*IF(SUM($R$2,R10)=0,'info ini'!B$4,'info ini'!B$5)*IF(R10=1,'info ini'!B$7,1)+9.8</f>
        <v>19.322908357668346</v>
      </c>
      <c r="E11" s="12">
        <f>F10*'info ini'!C$4</f>
        <v>2.6071071624755859E-2</v>
      </c>
      <c r="F11" s="33">
        <f>IF(R10=1,'info ini'!$C$7,1)*F10*IF(K10=L10,'info ini'!$C$4,(('info ini'!$C$4-1)*L10/K10)+1)</f>
        <v>7.8213214874267578E-3</v>
      </c>
      <c r="G11" s="12">
        <f>F11*'info ini'!$C$6</f>
        <v>8.6034536361694336E-3</v>
      </c>
      <c r="H11" s="12">
        <f>I10*'info ini'!D$4</f>
        <v>0.12895026435156262</v>
      </c>
      <c r="I11" s="33">
        <f>IF(R10=1,'info ini'!$D$7,1)*I10*'info ini'!$D$4</f>
        <v>6.4475132175781311E-2</v>
      </c>
      <c r="J11" s="12">
        <f>I11*'info ini'!$D$6</f>
        <v>0.16118783043945328</v>
      </c>
      <c r="K11" s="12">
        <f t="shared" si="4"/>
        <v>0.16979128407562272</v>
      </c>
      <c r="L11" s="33">
        <f t="shared" si="1"/>
        <v>0.16979128407562272</v>
      </c>
      <c r="M11" s="20">
        <f t="shared" si="2"/>
        <v>1.4552098244261927E-3</v>
      </c>
      <c r="N11" s="12">
        <f t="shared" si="8"/>
        <v>254.39779346515675</v>
      </c>
      <c r="O11" s="20">
        <f t="shared" si="9"/>
        <v>81.818181818181813</v>
      </c>
      <c r="P11" s="20">
        <f t="shared" si="5"/>
        <v>0.84799264488385584</v>
      </c>
      <c r="Q11" s="20">
        <f t="shared" si="6"/>
        <v>3.4690608199794104</v>
      </c>
      <c r="R11" s="11">
        <f>BPH!C11</f>
        <v>1</v>
      </c>
      <c r="S11" s="12"/>
      <c r="T11" s="11">
        <f t="shared" si="3"/>
        <v>4.0909090909090908</v>
      </c>
    </row>
    <row r="12" spans="1:20" x14ac:dyDescent="0.2">
      <c r="A12" s="11">
        <v>10</v>
      </c>
      <c r="B12" s="12">
        <f t="shared" si="0"/>
        <v>194.24603973405462</v>
      </c>
      <c r="C12" s="19">
        <f>C11*(1-M11)*IF(SUM($R$2:R11)&gt;1,'info ini'!B$12,'info ini'!B$11)+0.2</f>
        <v>175.18454078769153</v>
      </c>
      <c r="D12" s="12">
        <f>D11*(1-M11)*IF(SUM($R$2,R11)=0,'info ini'!B$4,'info ini'!B$5)*IF(R11=1,'info ini'!B$7,1)+9.8</f>
        <v>19.061498946363095</v>
      </c>
      <c r="E12" s="12">
        <f>F11*'info ini'!C$4</f>
        <v>9.7766518592834473E-3</v>
      </c>
      <c r="F12" s="33">
        <f>IF(R11=1,'info ini'!$C$7,1)*F11*IF(K11=L11,'info ini'!$C$4,(('info ini'!$C$4-1)*L11/K11)+1)</f>
        <v>2.9329955577850342E-3</v>
      </c>
      <c r="G12" s="12">
        <f>F12*'info ini'!$C$6</f>
        <v>3.226295113563538E-3</v>
      </c>
      <c r="H12" s="12">
        <f>I11*'info ini'!D$4</f>
        <v>7.0922645393359449E-2</v>
      </c>
      <c r="I12" s="33">
        <f>IF(R11=1,'info ini'!$D$7,1)*I11*'info ini'!$D$4</f>
        <v>3.5461322696679724E-2</v>
      </c>
      <c r="J12" s="12">
        <f>I12*'info ini'!$D$6</f>
        <v>8.8653306741699314E-2</v>
      </c>
      <c r="K12" s="12">
        <f t="shared" si="4"/>
        <v>9.1879601855262852E-2</v>
      </c>
      <c r="L12" s="33">
        <f t="shared" si="1"/>
        <v>9.1879601855262852E-2</v>
      </c>
      <c r="M12" s="20">
        <f t="shared" si="2"/>
        <v>4.7300630674919651E-4</v>
      </c>
      <c r="N12" s="12">
        <f t="shared" si="8"/>
        <v>241.44805748288644</v>
      </c>
      <c r="O12" s="20">
        <f t="shared" si="9"/>
        <v>90.909090909090907</v>
      </c>
      <c r="P12" s="20">
        <f t="shared" si="5"/>
        <v>0.80482685827628808</v>
      </c>
      <c r="Q12" s="20">
        <f t="shared" si="6"/>
        <v>3.6583039012558554</v>
      </c>
      <c r="R12" s="11">
        <f>BPH!C12</f>
        <v>1</v>
      </c>
      <c r="S12" s="12"/>
      <c r="T12" s="11">
        <f t="shared" si="3"/>
        <v>4.545454545454545</v>
      </c>
    </row>
    <row r="13" spans="1:20" x14ac:dyDescent="0.2">
      <c r="A13" s="11">
        <v>11</v>
      </c>
      <c r="B13" s="12">
        <f t="shared" si="0"/>
        <v>334.32821102492699</v>
      </c>
      <c r="C13" s="19">
        <f>C12*(1-M12)*IF(SUM($R$2:R12)&gt;1,'info ini'!B$12,'info ini'!B$11)+0.2</f>
        <v>315.3830193110972</v>
      </c>
      <c r="D13" s="12">
        <f>D12*(1-M12)*IF(SUM($R$2,R12)=0,'info ini'!B$4,'info ini'!B$5)*IF(R12=1,'info ini'!B$7,1)+9.8</f>
        <v>18.945191713829779</v>
      </c>
      <c r="E13" s="12">
        <f>F12*'info ini'!C$4</f>
        <v>3.6662444472312927E-3</v>
      </c>
      <c r="F13" s="33">
        <f>IF(R12=1,'info ini'!$C$7,1)*F12*IF(K12=L12,'info ini'!$C$4,(('info ini'!$C$4-1)*L12/K12)+1)</f>
        <v>1.0998733341693878E-3</v>
      </c>
      <c r="G13" s="12">
        <f>F13*'info ini'!$C$6</f>
        <v>1.2098606675863266E-3</v>
      </c>
      <c r="H13" s="12">
        <f>I12*'info ini'!D$4</f>
        <v>3.90074549663477E-2</v>
      </c>
      <c r="I13" s="33">
        <f>IF(R12=1,'info ini'!$D$7,1)*I12*'info ini'!$D$4</f>
        <v>1.950372748317385E-2</v>
      </c>
      <c r="J13" s="12">
        <f>I13*'info ini'!$D$6</f>
        <v>4.8759318707934624E-2</v>
      </c>
      <c r="K13" s="12">
        <f t="shared" si="4"/>
        <v>4.996917937552095E-2</v>
      </c>
      <c r="L13" s="33">
        <f t="shared" si="1"/>
        <v>4.996917937552095E-2</v>
      </c>
      <c r="M13" s="20">
        <f t="shared" si="2"/>
        <v>1.4946145053788276E-4</v>
      </c>
      <c r="N13" s="12">
        <f t="shared" si="8"/>
        <v>219.15951008122465</v>
      </c>
      <c r="O13" s="20">
        <f>A13*100/11</f>
        <v>100</v>
      </c>
      <c r="P13" s="20">
        <f t="shared" si="5"/>
        <v>0.73053170027074887</v>
      </c>
      <c r="Q13" s="20">
        <f t="shared" si="6"/>
        <v>3.6526585013537445</v>
      </c>
      <c r="R13" s="11">
        <f>BPH!C13</f>
        <v>1</v>
      </c>
      <c r="S13" s="12"/>
      <c r="T13" s="11">
        <f t="shared" si="3"/>
        <v>5</v>
      </c>
    </row>
    <row r="14" spans="1:20" ht="16" x14ac:dyDescent="0.2">
      <c r="A14" s="11">
        <v>12</v>
      </c>
      <c r="B14" s="12">
        <f t="shared" si="0"/>
        <v>586.69691993983872</v>
      </c>
      <c r="C14" s="19">
        <f>C13*(1-M13)*IF(SUM($R$2:R13)&gt;1,'info ini'!B$12,'info ini'!B$11)+0.2</f>
        <v>567.80458707360083</v>
      </c>
      <c r="D14" s="12">
        <f>D13*(1-M13)*IF(SUM($R$2,R13)=0,'info ini'!B$4,'info ini'!B$5)*IF(R13=1,'info ini'!B$7,1)+9.8</f>
        <v>18.892332866237844</v>
      </c>
      <c r="E14" s="12">
        <f>F13*'info ini'!C$4</f>
        <v>1.3748416677117348E-3</v>
      </c>
      <c r="F14" s="33">
        <f>IF(R13=1,'info ini'!$C$7,1)*F13*IF(K13=L13,'info ini'!$C$4,(('info ini'!$C$4-1)*L13/K13)+1)</f>
        <v>4.1245250031352043E-4</v>
      </c>
      <c r="G14" s="12">
        <f>F14*'info ini'!$C$6</f>
        <v>4.5369775034487253E-4</v>
      </c>
      <c r="H14" s="12">
        <f>I13*'info ini'!D$4</f>
        <v>2.1454100231491236E-2</v>
      </c>
      <c r="I14" s="33">
        <f>IF(R13=1,'info ini'!$D$7,1)*I13*'info ini'!$D$4</f>
        <v>1.0727050115745618E-2</v>
      </c>
      <c r="J14" s="12">
        <f>I14*'info ini'!$D$6</f>
        <v>2.6817625289364044E-2</v>
      </c>
      <c r="K14" s="12">
        <f t="shared" si="4"/>
        <v>2.7271323039708917E-2</v>
      </c>
      <c r="L14" s="33">
        <f t="shared" si="1"/>
        <v>2.7271323039708917E-2</v>
      </c>
      <c r="M14" s="20">
        <f t="shared" si="2"/>
        <v>4.6482812697406665E-5</v>
      </c>
      <c r="N14" s="12">
        <f t="shared" si="8"/>
        <v>180.04638208523539</v>
      </c>
      <c r="O14" s="20">
        <v>100</v>
      </c>
      <c r="P14" s="20">
        <f t="shared" si="5"/>
        <v>0.6001546069507846</v>
      </c>
      <c r="Q14" s="20">
        <f t="shared" si="6"/>
        <v>3.000773034753923</v>
      </c>
      <c r="R14" s="11" t="str">
        <f>BPH!C14</f>
        <v>HARVEST</v>
      </c>
      <c r="S14" s="12"/>
      <c r="T14" s="11">
        <f t="shared" si="3"/>
        <v>5</v>
      </c>
    </row>
    <row r="15" spans="1:20" x14ac:dyDescent="0.2">
      <c r="C15" s="12"/>
      <c r="F15" s="12"/>
      <c r="L15" s="17"/>
      <c r="M15" s="17"/>
    </row>
    <row r="16" spans="1:20" ht="16" x14ac:dyDescent="0.2">
      <c r="Q16" s="23" t="s">
        <v>6</v>
      </c>
      <c r="R16" s="11">
        <f>SUM(R2:R15)</f>
        <v>11</v>
      </c>
    </row>
  </sheetData>
  <conditionalFormatting sqref="B2:B14">
    <cfRule type="expression" dxfId="36" priority="1">
      <formula>ISBLANK($R$3)</formula>
    </cfRule>
  </conditionalFormatting>
  <conditionalFormatting sqref="E3:E14">
    <cfRule type="expression" dxfId="35" priority="5">
      <formula>ISBLANK($R$4)</formula>
    </cfRule>
  </conditionalFormatting>
  <conditionalFormatting sqref="F3:F15">
    <cfRule type="expression" dxfId="34" priority="9">
      <formula>ISBLANK($R$4)</formula>
    </cfRule>
  </conditionalFormatting>
  <conditionalFormatting sqref="H3:I14">
    <cfRule type="expression" dxfId="33" priority="3">
      <formula>ISBLANK($R$4)</formula>
    </cfRule>
  </conditionalFormatting>
  <conditionalFormatting sqref="L2:L14">
    <cfRule type="expression" dxfId="32" priority="13">
      <formula>ISBLANK($R$3)</formula>
    </cfRule>
  </conditionalFormatting>
  <conditionalFormatting sqref="O2:O14">
    <cfRule type="expression" dxfId="31" priority="6">
      <formula>ISBLANK($R$4)</formula>
    </cfRule>
  </conditionalFormatting>
  <conditionalFormatting sqref="P3:Q3">
    <cfRule type="expression" dxfId="30" priority="31">
      <formula>ISBLANK($R$3)</formula>
    </cfRule>
  </conditionalFormatting>
  <conditionalFormatting sqref="P4:Q4">
    <cfRule type="expression" dxfId="29" priority="30">
      <formula>ISBLANK($R$4)</formula>
    </cfRule>
  </conditionalFormatting>
  <conditionalFormatting sqref="P5:Q5">
    <cfRule type="expression" dxfId="28" priority="29">
      <formula>ISBLANK($R$5)</formula>
    </cfRule>
  </conditionalFormatting>
  <conditionalFormatting sqref="P6:Q6">
    <cfRule type="expression" dxfId="27" priority="28">
      <formula>ISBLANK($R$6)</formula>
    </cfRule>
  </conditionalFormatting>
  <conditionalFormatting sqref="P7:Q7">
    <cfRule type="expression" dxfId="26" priority="27">
      <formula>ISBLANK($R$7)</formula>
    </cfRule>
  </conditionalFormatting>
  <conditionalFormatting sqref="P8:Q8">
    <cfRule type="expression" dxfId="25" priority="26">
      <formula>ISBLANK($R$8)</formula>
    </cfRule>
  </conditionalFormatting>
  <conditionalFormatting sqref="P9:Q9">
    <cfRule type="expression" dxfId="24" priority="25">
      <formula>ISBLANK($R$9)</formula>
    </cfRule>
  </conditionalFormatting>
  <conditionalFormatting sqref="P10:Q10">
    <cfRule type="expression" dxfId="23" priority="24">
      <formula>ISBLANK($R$10)</formula>
    </cfRule>
  </conditionalFormatting>
  <conditionalFormatting sqref="P11:Q11">
    <cfRule type="expression" dxfId="22" priority="23">
      <formula>ISBLANK($R$11)</formula>
    </cfRule>
  </conditionalFormatting>
  <conditionalFormatting sqref="P12:Q12">
    <cfRule type="expression" dxfId="21" priority="22">
      <formula>ISBLANK($R$12)</formula>
    </cfRule>
  </conditionalFormatting>
  <conditionalFormatting sqref="P13:Q13">
    <cfRule type="expression" dxfId="20" priority="21">
      <formula>ISBLANK($R$13)</formula>
    </cfRule>
  </conditionalFormatting>
  <conditionalFormatting sqref="P14:Q14">
    <cfRule type="expression" dxfId="19" priority="20">
      <formula>ISBLANK($R$14)</formula>
    </cfRule>
  </conditionalFormatting>
  <conditionalFormatting sqref="S3 N3:N14 D5:D14 C5:C15">
    <cfRule type="expression" dxfId="18" priority="48">
      <formula>ISBLANK($R$3)</formula>
    </cfRule>
  </conditionalFormatting>
  <conditionalFormatting sqref="S4">
    <cfRule type="expression" dxfId="17" priority="47">
      <formula>ISBLANK($R$4)</formula>
    </cfRule>
  </conditionalFormatting>
  <conditionalFormatting sqref="S5">
    <cfRule type="expression" dxfId="16" priority="46">
      <formula>ISBLANK($R$5)</formula>
    </cfRule>
  </conditionalFormatting>
  <conditionalFormatting sqref="S6">
    <cfRule type="expression" dxfId="15" priority="45">
      <formula>ISBLANK($R$6)</formula>
    </cfRule>
  </conditionalFormatting>
  <conditionalFormatting sqref="S7">
    <cfRule type="expression" dxfId="14" priority="44">
      <formula>ISBLANK($R$7)</formula>
    </cfRule>
  </conditionalFormatting>
  <conditionalFormatting sqref="S8">
    <cfRule type="expression" dxfId="13" priority="43">
      <formula>ISBLANK($R$8)</formula>
    </cfRule>
  </conditionalFormatting>
  <conditionalFormatting sqref="S9">
    <cfRule type="expression" dxfId="12" priority="42">
      <formula>ISBLANK($R$9)</formula>
    </cfRule>
  </conditionalFormatting>
  <conditionalFormatting sqref="S10">
    <cfRule type="expression" dxfId="11" priority="41">
      <formula>ISBLANK($R$10)</formula>
    </cfRule>
  </conditionalFormatting>
  <conditionalFormatting sqref="S11">
    <cfRule type="expression" dxfId="10" priority="40">
      <formula>ISBLANK($R$11)</formula>
    </cfRule>
  </conditionalFormatting>
  <conditionalFormatting sqref="S12">
    <cfRule type="expression" dxfId="9" priority="39">
      <formula>ISBLANK($R$12)</formula>
    </cfRule>
  </conditionalFormatting>
  <conditionalFormatting sqref="S13">
    <cfRule type="expression" dxfId="8" priority="38">
      <formula>ISBLANK($R$13)</formula>
    </cfRule>
  </conditionalFormatting>
  <conditionalFormatting sqref="S14">
    <cfRule type="expression" dxfId="7" priority="37">
      <formula>ISBLANK($R$14)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F08A-AD73-4F3E-9380-9FF85EB32108}">
  <sheetPr>
    <pageSetUpPr fitToPage="1"/>
  </sheetPr>
  <dimension ref="A1:J11"/>
  <sheetViews>
    <sheetView zoomScale="82" zoomScaleNormal="70" workbookViewId="0">
      <selection activeCell="C15" sqref="C15"/>
    </sheetView>
  </sheetViews>
  <sheetFormatPr baseColWidth="10" defaultRowHeight="15" x14ac:dyDescent="0.2"/>
  <cols>
    <col min="1" max="10" width="8" customWidth="1"/>
  </cols>
  <sheetData>
    <row r="1" spans="1:10" ht="38.25" customHeight="1" x14ac:dyDescent="0.2">
      <c r="A1" s="10">
        <v>3</v>
      </c>
      <c r="B1" s="10">
        <v>3</v>
      </c>
      <c r="C1" s="10">
        <v>3</v>
      </c>
      <c r="D1" s="10">
        <v>3</v>
      </c>
      <c r="E1" s="10">
        <v>3</v>
      </c>
      <c r="F1" s="10">
        <v>3</v>
      </c>
      <c r="G1" s="10">
        <v>3</v>
      </c>
      <c r="H1" s="10">
        <v>3</v>
      </c>
      <c r="I1" s="10">
        <v>3</v>
      </c>
      <c r="J1" s="10">
        <v>3</v>
      </c>
    </row>
    <row r="2" spans="1:10" ht="38.25" customHeight="1" x14ac:dyDescent="0.2">
      <c r="A2" s="10">
        <v>3</v>
      </c>
      <c r="B2" s="10">
        <v>3</v>
      </c>
      <c r="C2" s="10">
        <v>3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  <c r="I2" s="10">
        <v>3</v>
      </c>
      <c r="J2" s="10">
        <v>3</v>
      </c>
    </row>
    <row r="3" spans="1:10" ht="38.25" customHeight="1" x14ac:dyDescent="0.2">
      <c r="A3" s="10">
        <v>3</v>
      </c>
      <c r="B3" s="10">
        <v>3</v>
      </c>
      <c r="C3" s="10">
        <v>3</v>
      </c>
      <c r="D3" s="10">
        <v>3</v>
      </c>
      <c r="E3" s="10">
        <v>3</v>
      </c>
      <c r="F3" s="10">
        <v>3</v>
      </c>
      <c r="G3" s="10">
        <v>3</v>
      </c>
      <c r="H3" s="10">
        <v>3</v>
      </c>
      <c r="I3" s="10">
        <v>3</v>
      </c>
      <c r="J3" s="10">
        <v>3</v>
      </c>
    </row>
    <row r="4" spans="1:10" ht="38.25" customHeight="1" x14ac:dyDescent="0.2">
      <c r="A4" s="10">
        <v>3</v>
      </c>
      <c r="B4" s="10">
        <v>3</v>
      </c>
      <c r="C4" s="10">
        <v>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  <c r="I4" s="10">
        <v>3</v>
      </c>
      <c r="J4" s="10">
        <v>3</v>
      </c>
    </row>
    <row r="5" spans="1:10" ht="38.25" customHeight="1" x14ac:dyDescent="0.2">
      <c r="A5" s="10">
        <v>3</v>
      </c>
      <c r="B5" s="10">
        <v>3</v>
      </c>
      <c r="C5" s="10">
        <v>3</v>
      </c>
      <c r="D5" s="10">
        <v>3</v>
      </c>
      <c r="E5" s="10">
        <v>3</v>
      </c>
      <c r="F5" s="10">
        <v>3</v>
      </c>
      <c r="G5" s="10">
        <v>3</v>
      </c>
      <c r="H5" s="10">
        <v>3</v>
      </c>
      <c r="I5" s="10">
        <v>3</v>
      </c>
      <c r="J5" s="10">
        <v>3</v>
      </c>
    </row>
    <row r="6" spans="1:10" ht="38.25" customHeight="1" x14ac:dyDescent="0.2">
      <c r="A6" s="10">
        <v>3</v>
      </c>
      <c r="B6" s="10">
        <v>3</v>
      </c>
      <c r="C6" s="10">
        <v>3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  <c r="I6" s="10">
        <v>3</v>
      </c>
      <c r="J6" s="10">
        <v>3</v>
      </c>
    </row>
    <row r="7" spans="1:10" ht="38.25" customHeight="1" x14ac:dyDescent="0.2">
      <c r="A7" s="10">
        <v>3</v>
      </c>
      <c r="B7" s="10">
        <v>3</v>
      </c>
      <c r="C7" s="10">
        <v>3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  <c r="I7" s="10">
        <v>3</v>
      </c>
      <c r="J7" s="10">
        <v>3</v>
      </c>
    </row>
    <row r="8" spans="1:10" ht="38.25" customHeight="1" x14ac:dyDescent="0.2">
      <c r="A8" s="10">
        <v>3</v>
      </c>
      <c r="B8" s="10">
        <v>3</v>
      </c>
      <c r="C8" s="10">
        <v>3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  <c r="I8" s="10">
        <v>3</v>
      </c>
      <c r="J8" s="10">
        <v>3</v>
      </c>
    </row>
    <row r="9" spans="1:10" ht="38.25" customHeight="1" x14ac:dyDescent="0.2">
      <c r="A9" s="10">
        <v>3</v>
      </c>
      <c r="B9" s="10">
        <v>3</v>
      </c>
      <c r="C9" s="10">
        <v>3</v>
      </c>
      <c r="D9" s="10">
        <v>3</v>
      </c>
      <c r="E9" s="10">
        <v>3</v>
      </c>
      <c r="F9" s="10">
        <v>3</v>
      </c>
      <c r="G9" s="10">
        <v>3</v>
      </c>
      <c r="H9" s="10">
        <v>3</v>
      </c>
      <c r="I9" s="10">
        <v>3</v>
      </c>
      <c r="J9" s="10">
        <v>3</v>
      </c>
    </row>
    <row r="10" spans="1:10" ht="38.25" customHeight="1" x14ac:dyDescent="0.2">
      <c r="A10" s="10">
        <v>3</v>
      </c>
      <c r="B10" s="10">
        <v>3</v>
      </c>
      <c r="C10" s="10">
        <v>3</v>
      </c>
      <c r="D10" s="10">
        <v>3</v>
      </c>
      <c r="E10" s="10">
        <v>3</v>
      </c>
      <c r="F10" s="10">
        <v>3</v>
      </c>
      <c r="G10" s="10">
        <v>3</v>
      </c>
      <c r="H10" s="10">
        <v>3</v>
      </c>
      <c r="I10" s="10">
        <v>3</v>
      </c>
      <c r="J10" s="10">
        <v>3</v>
      </c>
    </row>
    <row r="11" spans="1:10" x14ac:dyDescent="0.2">
      <c r="A11" s="9" t="s">
        <v>9</v>
      </c>
      <c r="C11" s="9">
        <f>SUM(A1:J10)</f>
        <v>300</v>
      </c>
      <c r="G11" s="31"/>
    </row>
  </sheetData>
  <conditionalFormatting sqref="A1:J10 G11">
    <cfRule type="cellIs" dxfId="6" priority="1" operator="equal">
      <formula>3</formula>
    </cfRule>
    <cfRule type="cellIs" dxfId="5" priority="2" operator="equal">
      <formula>2</formula>
    </cfRule>
    <cfRule type="cellIs" dxfId="4" priority="3" operator="between">
      <formula>1.1</formula>
      <formula>2.9</formula>
    </cfRule>
    <cfRule type="cellIs" dxfId="3" priority="4" operator="lessThan">
      <formula>1</formula>
    </cfRule>
    <cfRule type="cellIs" dxfId="2" priority="5" operator="between">
      <formula>0.1</formula>
      <formula>1.9</formula>
    </cfRule>
    <cfRule type="cellIs" dxfId="1" priority="7" operator="greaterThan">
      <formula>2.1</formula>
    </cfRule>
    <cfRule type="cellIs" dxfId="0" priority="8" operator="equal">
      <formula>1</formula>
    </cfRule>
  </conditionalFormatting>
  <pageMargins left="0.7" right="0.7" top="0.75" bottom="0.75" header="0.3" footer="0.3"/>
  <pageSetup paperSize="9" fitToWidth="0" fitToHeight="4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17CA-21D4-4E89-8FDF-571200F886C7}">
  <dimension ref="A1:E18"/>
  <sheetViews>
    <sheetView tabSelected="1" zoomScale="127" zoomScaleNormal="80" workbookViewId="0">
      <selection activeCell="B2" sqref="B2:B14"/>
    </sheetView>
  </sheetViews>
  <sheetFormatPr baseColWidth="10" defaultColWidth="11.5" defaultRowHeight="15" x14ac:dyDescent="0.2"/>
  <cols>
    <col min="1" max="1" width="12.6640625" style="11" bestFit="1" customWidth="1"/>
    <col min="2" max="2" width="11.5" style="11"/>
    <col min="3" max="3" width="11.5" style="11" customWidth="1"/>
    <col min="4" max="4" width="11.5" style="11"/>
    <col min="5" max="5" width="60.5" style="11" customWidth="1"/>
    <col min="6" max="16384" width="11.5" style="11"/>
  </cols>
  <sheetData>
    <row r="1" spans="1:5" ht="48" x14ac:dyDescent="0.2">
      <c r="A1" s="24" t="s">
        <v>24</v>
      </c>
      <c r="B1" s="24" t="s">
        <v>35</v>
      </c>
      <c r="C1" s="24" t="s">
        <v>33</v>
      </c>
    </row>
    <row r="2" spans="1:5" ht="16" thickBot="1" x14ac:dyDescent="0.25">
      <c r="A2" s="24"/>
      <c r="B2" s="34">
        <v>300</v>
      </c>
      <c r="C2" s="15">
        <v>0</v>
      </c>
    </row>
    <row r="3" spans="1:5" x14ac:dyDescent="0.2">
      <c r="A3" s="24">
        <v>1</v>
      </c>
      <c r="B3" s="20">
        <f>calcul!N3-calcul!N2</f>
        <v>0</v>
      </c>
      <c r="C3" s="26">
        <v>1</v>
      </c>
    </row>
    <row r="4" spans="1:5" ht="32" x14ac:dyDescent="0.2">
      <c r="A4" s="24">
        <v>2</v>
      </c>
      <c r="B4" s="20">
        <f>IF(C3="","",calcul!N4-calcul!N3)</f>
        <v>-13.333333333333314</v>
      </c>
      <c r="C4" s="27">
        <v>1</v>
      </c>
      <c r="E4" s="14" t="s">
        <v>36</v>
      </c>
    </row>
    <row r="5" spans="1:5" x14ac:dyDescent="0.2">
      <c r="A5" s="24">
        <v>3</v>
      </c>
      <c r="B5" s="20">
        <f>IF(C4="","",calcul!N5-calcul!N4)</f>
        <v>-6.6232896666666647</v>
      </c>
      <c r="C5" s="27">
        <v>1</v>
      </c>
    </row>
    <row r="6" spans="1:5" x14ac:dyDescent="0.2">
      <c r="A6" s="24">
        <v>4</v>
      </c>
      <c r="B6" s="20">
        <f>IF(C5="","",calcul!N6-calcul!N5)</f>
        <v>-3.8377318893723213</v>
      </c>
      <c r="C6" s="27">
        <v>1</v>
      </c>
    </row>
    <row r="7" spans="1:5" x14ac:dyDescent="0.2">
      <c r="A7" s="24">
        <v>5</v>
      </c>
      <c r="B7" s="20">
        <f>IF(C6="","",calcul!N7-calcul!N6)</f>
        <v>-2.8466199013202527</v>
      </c>
      <c r="C7" s="27">
        <v>1</v>
      </c>
    </row>
    <row r="8" spans="1:5" x14ac:dyDescent="0.2">
      <c r="A8" s="24">
        <v>6</v>
      </c>
      <c r="B8" s="20">
        <f>IF(C7="","",calcul!N8-calcul!N7)</f>
        <v>-2.7946557113612016</v>
      </c>
      <c r="C8" s="27">
        <v>1</v>
      </c>
    </row>
    <row r="9" spans="1:5" x14ac:dyDescent="0.2">
      <c r="A9" s="24">
        <v>7</v>
      </c>
      <c r="B9" s="20">
        <f>IF(C8="","",calcul!N9-calcul!N8)</f>
        <v>-3.4459901422618486</v>
      </c>
      <c r="C9" s="27">
        <v>1</v>
      </c>
    </row>
    <row r="10" spans="1:5" x14ac:dyDescent="0.2">
      <c r="A10" s="24">
        <v>8</v>
      </c>
      <c r="B10" s="20">
        <f>IF(C9="","",calcul!N10-calcul!N9)</f>
        <v>-4.9420382554206412</v>
      </c>
      <c r="C10" s="27">
        <v>1</v>
      </c>
    </row>
    <row r="11" spans="1:5" x14ac:dyDescent="0.2">
      <c r="A11" s="24">
        <v>9</v>
      </c>
      <c r="B11" s="20">
        <f>IF(C10="","",calcul!N11-calcul!N10)</f>
        <v>-7.7785476351070031</v>
      </c>
      <c r="C11" s="27">
        <v>1</v>
      </c>
    </row>
    <row r="12" spans="1:5" x14ac:dyDescent="0.2">
      <c r="A12" s="24">
        <v>10</v>
      </c>
      <c r="B12" s="20">
        <f>IF(C11="","",calcul!N12-calcul!N11)</f>
        <v>-12.949735982270312</v>
      </c>
      <c r="C12" s="27">
        <v>1</v>
      </c>
    </row>
    <row r="13" spans="1:5" ht="16" thickBot="1" x14ac:dyDescent="0.25">
      <c r="A13" s="24">
        <v>11</v>
      </c>
      <c r="B13" s="20">
        <f>IF(C12="","",calcul!N13-calcul!N12)</f>
        <v>-22.288547401661788</v>
      </c>
      <c r="C13" s="28">
        <v>1</v>
      </c>
    </row>
    <row r="14" spans="1:5" ht="16" x14ac:dyDescent="0.2">
      <c r="A14" s="24">
        <v>12</v>
      </c>
      <c r="B14" s="20">
        <f>IF(C13="","",calcul!N14-calcul!N13)</f>
        <v>-39.113127995989259</v>
      </c>
      <c r="C14" s="25" t="s">
        <v>34</v>
      </c>
    </row>
    <row r="15" spans="1:5" x14ac:dyDescent="0.2">
      <c r="B15" s="12"/>
    </row>
    <row r="17" spans="1:2" ht="32" x14ac:dyDescent="0.2">
      <c r="A17" s="11" t="s">
        <v>38</v>
      </c>
      <c r="B17" s="12">
        <f>SUM(B2:B16)</f>
        <v>180.04638208523539</v>
      </c>
    </row>
    <row r="18" spans="1:2" ht="32" x14ac:dyDescent="0.2">
      <c r="A18" s="29" t="s">
        <v>37</v>
      </c>
      <c r="B18" s="30">
        <f>IF(B14="","",5*B17/300)</f>
        <v>3.000773034753923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 ini</vt:lpstr>
      <vt:lpstr>calcul</vt:lpstr>
      <vt:lpstr>field</vt:lpstr>
      <vt:lpstr>BPH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Lucile DELATOUCHE</dc:creator>
  <cp:lastModifiedBy>Seth Rattanak</cp:lastModifiedBy>
  <dcterms:created xsi:type="dcterms:W3CDTF">2024-10-17T02:06:05Z</dcterms:created>
  <dcterms:modified xsi:type="dcterms:W3CDTF">2025-07-04T02:17:05Z</dcterms:modified>
</cp:coreProperties>
</file>