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6" i="1" l="1"/>
  <c r="H155" i="1"/>
  <c r="H154" i="1"/>
  <c r="H153" i="1"/>
  <c r="H152" i="1"/>
  <c r="H151" i="1"/>
  <c r="H150" i="1"/>
  <c r="H149" i="1"/>
  <c r="H148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3" i="1"/>
  <c r="H39" i="1"/>
  <c r="F39" i="1"/>
  <c r="H38" i="1"/>
  <c r="F38" i="1"/>
  <c r="H37" i="1"/>
  <c r="F37" i="1"/>
  <c r="H36" i="1"/>
  <c r="H35" i="1"/>
  <c r="F35" i="1"/>
  <c r="H34" i="1"/>
  <c r="F34" i="1"/>
  <c r="H33" i="1"/>
  <c r="F33" i="1"/>
  <c r="H32" i="1"/>
  <c r="F32" i="1"/>
  <c r="H31" i="1"/>
  <c r="H30" i="1"/>
  <c r="F30" i="1"/>
  <c r="H29" i="1"/>
  <c r="F29" i="1"/>
  <c r="H28" i="1"/>
  <c r="H27" i="1"/>
  <c r="F27" i="1"/>
  <c r="H26" i="1"/>
  <c r="F26" i="1"/>
  <c r="H25" i="1"/>
  <c r="H24" i="1"/>
  <c r="H23" i="1"/>
  <c r="H22" i="1"/>
  <c r="F22" i="1"/>
  <c r="H21" i="1"/>
  <c r="F21" i="1"/>
  <c r="H20" i="1"/>
  <c r="F20" i="1"/>
  <c r="H19" i="1"/>
  <c r="H18" i="1"/>
  <c r="H17" i="1"/>
  <c r="H16" i="1"/>
  <c r="H15" i="1"/>
  <c r="F15" i="1"/>
  <c r="H14" i="1"/>
  <c r="H13" i="1"/>
  <c r="F13" i="1"/>
  <c r="H12" i="1"/>
  <c r="F12" i="1"/>
  <c r="H11" i="1"/>
  <c r="F11" i="1"/>
  <c r="H10" i="1"/>
  <c r="H9" i="1"/>
  <c r="C2" i="1"/>
</calcChain>
</file>

<file path=xl/sharedStrings.xml><?xml version="1.0" encoding="utf-8"?>
<sst xmlns="http://schemas.openxmlformats.org/spreadsheetml/2006/main" count="604" uniqueCount="315">
  <si>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</si>
  <si>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</si>
  <si>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</si>
  <si>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</si>
  <si>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</si>
  <si>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</si>
  <si>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</si>
  <si>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</si>
  <si>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</si>
  <si>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</si>
  <si>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</si>
  <si>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</si>
  <si>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</si>
  <si>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</si>
  <si>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</si>
  <si>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</si>
  <si>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Towards User-Friendly Projectional Editors</t>
  </si>
  <si>
    <t>References TOTAL 32.</t>
  </si>
  <si>
    <t>References NEW 31:</t>
  </si>
  <si>
    <t>Online Appendix,</t>
  </si>
  <si>
    <t>http://gsd.uwaterloo.ca/projectional-workbenches</t>
  </si>
  <si>
    <t>NO</t>
  </si>
  <si>
    <t>R. Likert</t>
  </si>
  <si>
    <t>A technique for the measurement of attitudes</t>
  </si>
  <si>
    <t>R. Medina-Mora, P.H. Feiler</t>
  </si>
  <si>
    <t>An Incremental Programming Environment</t>
  </si>
  <si>
    <t>10.1109/tse.1981.231109</t>
  </si>
  <si>
    <t>T. J. Parr, R. W. Quong</t>
  </si>
  <si>
    <t>ANTLR: A predicated-LL(k) parser generator</t>
  </si>
  <si>
    <t>10.1002/spe.4380250705</t>
  </si>
  <si>
    <t>Richard Helm, Kim Marruitt, Martin Odersky</t>
  </si>
  <si>
    <t>Building visual language parsers</t>
  </si>
  <si>
    <t>10.1145/108844.108860</t>
  </si>
  <si>
    <t>T. Green</t>
  </si>
  <si>
    <t>Cognitive dimensions of notations</t>
  </si>
  <si>
    <t>M. Simi, F. Campagne</t>
  </si>
  <si>
    <t>Composable languages for bioinformatics: the NYoSh experiment</t>
  </si>
  <si>
    <t>10.7717/peerj.241</t>
  </si>
  <si>
    <t>S. Porter</t>
  </si>
  <si>
    <t>Design of a syntax directed editor for PSDL.</t>
  </si>
  <si>
    <t>Christerson, M., Kolk, H.</t>
  </si>
  <si>
    <t>Domain expert DSLs (2009) talk at QCon London 2009 (2009),</t>
  </si>
  <si>
    <t>talk</t>
  </si>
  <si>
    <t>D. Steinberg, Frank J. Budinsky, Marcelo Paternostro, Ed Merks</t>
  </si>
  <si>
    <t>EMF: Eclipse Modeling Framework 2.0</t>
  </si>
  <si>
    <t>M. Völter</t>
  </si>
  <si>
    <t>Integrating Prose as First-Class Citizens with Models and Code</t>
  </si>
  <si>
    <t>Charles Simonyi, Magnus Christerson, Shane Clifford</t>
  </si>
  <si>
    <t>Intentional software</t>
  </si>
  <si>
    <t>10.1145/1167473.1167511</t>
  </si>
  <si>
    <t>Markus Voelter</t>
  </si>
  <si>
    <t>Language and IDE Modularization and Composition with MPS</t>
  </si>
  <si>
    <t>10.1007/978-3-642-35992-7_11</t>
  </si>
  <si>
    <t>Markus Voelter, Daniel Ratiu, Bernd Kolb, Bernhard Schaetz</t>
  </si>
  <si>
    <t>mbeddr: instantiating a language workbench in the embedded software domain</t>
  </si>
  <si>
    <t>10.1007/s10515-013-0120-4</t>
  </si>
  <si>
    <t>YES</t>
  </si>
  <si>
    <t>MAYBE</t>
  </si>
  <si>
    <t>J. Coplien</t>
  </si>
  <si>
    <t>Multi-paradigm design for C++</t>
  </si>
  <si>
    <t>Addison-Wesley (book)</t>
  </si>
  <si>
    <t>L. Diekmann, L. Tratt</t>
  </si>
  <si>
    <t>Parsing composed grammars with language boxes</t>
  </si>
  <si>
    <t>Voelter, M.</t>
  </si>
  <si>
    <t>Preliminary experience of using mbeddr</t>
  </si>
  <si>
    <t>Martin Bravenboer, Eelco Dolstra, Eelco Visser</t>
  </si>
  <si>
    <t>Preventing injection attacks with syntax embeddings</t>
  </si>
  <si>
    <t>10.1145/1289971.1289975</t>
  </si>
  <si>
    <t>Lennart C.L. Kats, Eelco Visser, Guido Wachsmuth</t>
  </si>
  <si>
    <t>Pure and declarative syntax definition</t>
  </si>
  <si>
    <t>10.1145/1869459.1869535</t>
  </si>
  <si>
    <t>M. Völter, Federico Tomassetti</t>
  </si>
  <si>
    <t>Requirements as First-Class Citizens: Integrating Requirements closely with Implementation Artifacts</t>
  </si>
  <si>
    <t>Oskar van Rest, Guido Wachsmuth, Jim R. H. Steel, Jörn Guy Süß, Eelco Visser</t>
  </si>
  <si>
    <t>Robust Real-Time Synchronization between Textual and Graphical Editors</t>
  </si>
  <si>
    <t>10.1007/978-3-642-38883-5_11</t>
  </si>
  <si>
    <t>Eric Van Wyk, Derek Bodin, Jimin Gao, Lijesh Krishnan</t>
  </si>
  <si>
    <t>Silver: an Extensible Attribute Grammar System</t>
  </si>
  <si>
    <t>10.1016/j.entcs.2008.03.047</t>
  </si>
  <si>
    <t>Charles Simonyi</t>
  </si>
  <si>
    <t>The Death of Computer Languages, The Birth of Intentional Programming</t>
  </si>
  <si>
    <t>David Notkin</t>
  </si>
  <si>
    <t>The GANDALF project</t>
  </si>
  <si>
    <t>10.1016/0164-1212(85)90011-1</t>
  </si>
  <si>
    <t>J. Heering, P. R. H. Hendriks, P. Klint, J. Rekers</t>
  </si>
  <si>
    <t>The syntax definition formalism SDF—reference manual—</t>
  </si>
  <si>
    <t>10.1145/71605.71607</t>
  </si>
  <si>
    <t>Thomas Reps, Tim Teitelbaum</t>
  </si>
  <si>
    <t>The synthesizer generator</t>
  </si>
  <si>
    <t>10.1145/800020.808247</t>
  </si>
  <si>
    <t>Ralf Lämmel, Guido Wachsmuth</t>
  </si>
  <si>
    <t>Transformation of SDF syntax definitions in the ASF+SDF Meta-Environment</t>
  </si>
  <si>
    <t>10.1016/s1571-0661(04)80918-6</t>
  </si>
  <si>
    <t>D. Prusa</t>
  </si>
  <si>
    <t>Two-dimensional Context-free Grammars</t>
  </si>
  <si>
    <t>Dora Giammarresi, Antonio Restivo</t>
  </si>
  <si>
    <t>Two-Dimensional Languages</t>
  </si>
  <si>
    <t>10.1007/978-3-642-59126-6_4</t>
  </si>
  <si>
    <t>R. H. Anderson</t>
  </si>
  <si>
    <t>Two-Dimensional Mathematical Notation</t>
  </si>
  <si>
    <t>10.1007/978-3-642-66438-0_7</t>
  </si>
  <si>
    <t>J. Nielsen</t>
  </si>
  <si>
    <t>Usability engineering</t>
  </si>
  <si>
    <t>10.1007/1-4020-4653-7_4</t>
  </si>
  <si>
    <t>References already KNOWN 1:</t>
  </si>
  <si>
    <t>K. Czarnecki, Ulrich W. Eisenecker</t>
  </si>
  <si>
    <t>Generative programming - methods, tools and applications</t>
  </si>
  <si>
    <t>TOTAL 103</t>
  </si>
  <si>
    <t>NEW 94</t>
  </si>
  <si>
    <t>S Erdweg,  T Van Der Storm,  M Völter,  L Tratt… </t>
  </si>
  <si>
    <t>Evaluating and comparing language workbenches: Existing results and benchmarks for the future</t>
  </si>
  <si>
    <t>E Vacchi,  W Cazzola </t>
  </si>
  <si>
    <t>Neverlang: A framework for feature-oriented language development</t>
  </si>
  <si>
    <t>T Berger,  M Völter,  HP Jensen,  T Dangprasert… </t>
  </si>
  <si>
    <t>Efficiency of projectional editing: A controlled experiment</t>
  </si>
  <si>
    <t>T Szabó,  S Erdweg,  M Voelter </t>
  </si>
  <si>
    <t>Inca: A dsl for the definition of incremental program analyses</t>
  </si>
  <si>
    <t>M Voelter,  S Lisson </t>
  </si>
  <si>
    <t>Supporting Diverse Notations in MPS'Projectional Editor.</t>
  </si>
  <si>
    <t>C Omar,  I Voysey,  M Hilton,  J Aldrich… </t>
  </si>
  <si>
    <t>Hazelnut: a bidirectionally typed structure editor calculus</t>
  </si>
  <si>
    <t>S Stănciulescu,  T Berger… </t>
  </si>
  <si>
    <t>Concepts, operations, and feasibility of a projection-based variation control system</t>
  </si>
  <si>
    <t>M Voelter,  B Kolb,  T Szabó,  D Ratiu… </t>
  </si>
  <si>
    <t>Lessons learned from developing mbeddr: a case study in language engineering with mps</t>
  </si>
  <si>
    <t>M Voelter,  A Deursen,  B Kolb,  S Eberle </t>
  </si>
  <si>
    <t>Using C language extensions for developing embedded software: A case study</t>
  </si>
  <si>
    <t>C Omar,  I Voysey,  R Chugh,  MA Hammer </t>
  </si>
  <si>
    <t>Live functional programming with typed holes</t>
  </si>
  <si>
    <t>J Duarte,  M Salazar,  C Quintas… </t>
  </si>
  <si>
    <t>Data quality evaluation of electronic health records in the hospital admission process</t>
  </si>
  <si>
    <t>B Behringer,  J Palz,  T Berger </t>
  </si>
  <si>
    <t>PEoPL: projectional editing of product lines</t>
  </si>
  <si>
    <t>C Omar,  I Voysey,  M Hilton,  J Sunshine… </t>
  </si>
  <si>
    <t>Toward semantic foundations for program editors</t>
  </si>
  <si>
    <t>A Kosba,  C Papamanthou,  E Shi </t>
  </si>
  <si>
    <t>xJsnark: a framework for efficient verifiable computation</t>
  </si>
  <si>
    <t>M Voelter,  T Szabó,  S Lisson,  B Kolb… </t>
  </si>
  <si>
    <t>Efficient development of consistent projectional editors using grammar cells</t>
  </si>
  <si>
    <t>B Steffen,  F Gossen,  S Naujokat,  T Margaria </t>
  </si>
  <si>
    <t>Language-driven engineering: from general-purpose to purpose-specific languages</t>
  </si>
  <si>
    <t>M Kölling,  NCC Brown,  A Altadmri </t>
  </si>
  <si>
    <t>Frame-based editing</t>
  </si>
  <si>
    <t>D Asenov,  B Guenat,  P Müller,  M Otth </t>
  </si>
  <si>
    <t>Precise version control of trees with line-based version control systems</t>
  </si>
  <si>
    <t>S Maro,  JP Steghöfer,  A Anjorin,  M Tichy… </t>
  </si>
  <si>
    <t>On integrating graphical and textual editors for a UML profile based domain specific language: an industrial experience</t>
  </si>
  <si>
    <t>LES Amorim,  S Erdweg,  G Wachsmuth… </t>
  </si>
  <si>
    <t>Principled syntactic code completion using placeholders</t>
  </si>
  <si>
    <t>D Kragic,  V Kyrki </t>
  </si>
  <si>
    <t>Initialization and system modeling in 3-d pose tracking</t>
  </si>
  <si>
    <t>M Sulír,  M Bačíková,  S Chodarev,  J Porubän </t>
  </si>
  <si>
    <t>Visual augmentation of source code editors: A systematic mapping study</t>
  </si>
  <si>
    <t>M Lillack,  S Stanciulescu,  W Hedman… </t>
  </si>
  <si>
    <t>Intention-based integration of software variants</t>
  </si>
  <si>
    <t>M Nosáľ,  J Porubän,  M Sulír </t>
  </si>
  <si>
    <t>Customizing host IDE for non-programming users of pure embedded DSLs: A case study</t>
  </si>
  <si>
    <t>F Steimann,  M Frenkel,  M Voelter </t>
  </si>
  <si>
    <t>Robust projectional editing</t>
  </si>
  <si>
    <t>T Szabó,  G Bergmann,  S Erdweg… </t>
  </si>
  <si>
    <t>Incrementalizing lattice-based program analyses in Datalog</t>
  </si>
  <si>
    <t>M Famelis,  J Rubin,  K Czarnecki… </t>
  </si>
  <si>
    <t>Software product lines with design choices: reasoning about variability and design uncertainty</t>
  </si>
  <si>
    <t>B Behringer,  S Rothkugel </t>
  </si>
  <si>
    <t>Integrating feature-based implementation approaches using a common graph-based representation</t>
  </si>
  <si>
    <t>B Behringer </t>
  </si>
  <si>
    <t>Integrating approaches for feature implementation</t>
  </si>
  <si>
    <t>S Adam,  UP Schultz </t>
  </si>
  <si>
    <t>Towards tool support for spreadsheet-based domain-specific languages</t>
  </si>
  <si>
    <t>S Sirowy,  Y Wu,  S Lonardi… </t>
  </si>
  <si>
    <t>Clock-frequency assignment for multiple clock domain systems-on-a-chip</t>
  </si>
  <si>
    <t>T Barik</t>
  </si>
  <si>
    <t>Error Messages as Rational Reconstructions.</t>
  </si>
  <si>
    <t>V Vranić,  J Porubän,  M Bystrický,  T Frťala… </t>
  </si>
  <si>
    <t>Challenges in preserving intent comprehensibility in software</t>
  </si>
  <si>
    <t>C d'Alves,  T Bouman,  C Schankula,  J Hogg… </t>
  </si>
  <si>
    <t>Using Elm to introduce algebraic thinking to k-8 students</t>
  </si>
  <si>
    <t>S McDirmid </t>
  </si>
  <si>
    <t>The promise of live programming</t>
  </si>
  <si>
    <t>D Ogborn,  J Beverley,  LN del Angel… </t>
  </si>
  <si>
    <t>Estuary: Browser-based collaborative projectional live coding of musical patterns</t>
  </si>
  <si>
    <t>D Rauch,  P Rein,  S Ramson,  J Lincke… </t>
  </si>
  <si>
    <t>Babylonian-style Programming: Design and Implementation of an Integration of Live Examples into General-purpose Source Code</t>
  </si>
  <si>
    <t>C Omar</t>
  </si>
  <si>
    <t>Reasonably Programmable Syntax</t>
  </si>
  <si>
    <t>G Konat,  S Erdweg,  E Visser </t>
  </si>
  <si>
    <t>Bootstrapping domain-specific meta-languages in language workbenches</t>
  </si>
  <si>
    <t>D Asenov</t>
  </si>
  <si>
    <t>Envision: reinventing the integrated development environment</t>
  </si>
  <si>
    <t>T Amorim,  A Vogelsang,  F Pudlitz… </t>
  </si>
  <si>
    <t>Strategies and best practices for model-based systems engineering adoption in embedded systems industry</t>
  </si>
  <si>
    <t>B Behringer</t>
  </si>
  <si>
    <t>Projectional editing of software product lines–The PEoPL approach</t>
  </si>
  <si>
    <t>S Baader,  S Bødker </t>
  </si>
  <si>
    <t>SketchCode–An Extensible Code Editor for Crafting Software</t>
  </si>
  <si>
    <t>SM Guttormsen,  A Prinz,  T Gjøsæter </t>
  </si>
  <si>
    <t>Consistent Projectional Text Editors.</t>
  </si>
  <si>
    <t>M Broy,  K Havelund,  R Kumar,  B Steffen </t>
  </si>
  <si>
    <t>Towards a unified view of modeling and programming (ISoLA 2018 track introduction)</t>
  </si>
  <si>
    <t>J Juhár,  L Vokorokos </t>
  </si>
  <si>
    <t>Understanding source code through projectional editor</t>
  </si>
  <si>
    <t>M Lillack,  T Berger,  R Hebig </t>
  </si>
  <si>
    <t>Experiences from reengineering and modularizing a legacy software generator with a projectional language workbench</t>
  </si>
  <si>
    <t>N Volanschi </t>
  </si>
  <si>
    <t>Stereo: editing clones refactored as code generators</t>
  </si>
  <si>
    <t>A review of source code projections in integrated development environments</t>
  </si>
  <si>
    <t>R Lämmel</t>
  </si>
  <si>
    <t>Yet another annotated SLEBOK bibliography</t>
  </si>
  <si>
    <t>J Schröpfer,  T Buchmann,  B Westfechtel </t>
  </si>
  <si>
    <t>A Generic Projectional Editor for EMF Models.</t>
  </si>
  <si>
    <t>M Sulír,  M Bačíková,  S Chodarev… </t>
  </si>
  <si>
    <t>Visual augmentation of source code editors: A systematic review</t>
  </si>
  <si>
    <t>M Voelter,  Z Molotnikov,  B Kolb </t>
  </si>
  <si>
    <t>Towards improving software security using language engineering and mbeddr c</t>
  </si>
  <si>
    <t>M Barash </t>
  </si>
  <si>
    <t>Example-driven software language engineering</t>
  </si>
  <si>
    <t>A Prinz,  A Shatalin </t>
  </si>
  <si>
    <t>How to bootstrap a language workbench</t>
  </si>
  <si>
    <t>FA Paz Espinoza</t>
  </si>
  <si>
    <t>Método para la evaluación de usabilidad de sitios web transaccionales basado en el proceso de inspección heurística</t>
  </si>
  <si>
    <t>НВ Ванясин,  ИГ Сидоркина </t>
  </si>
  <si>
    <t>Интегрированная среда разработки с поддержкой структурного редактирования для языка программирования Go</t>
  </si>
  <si>
    <t>T Beckmann </t>
  </si>
  <si>
    <t>Efficient editing in a tree-oriented projectional editor</t>
  </si>
  <si>
    <t>GKSEE Visser</t>
  </si>
  <si>
    <t>Live Language Development</t>
  </si>
  <si>
    <t>LEDES AMORIM</t>
  </si>
  <si>
    <t>Declarative Syntax Definition for Modern Language Workbenches</t>
  </si>
  <si>
    <t>AK As</t>
  </si>
  <si>
    <t>Two-Faced Data</t>
  </si>
  <si>
    <t>M Schäfer,  M Gogolla </t>
  </si>
  <si>
    <t>Enhancing development and consistency of UML models and model executions with USE studio</t>
  </si>
  <si>
    <t>E Schindler,  K Schindler,  F Tomassetti… </t>
  </si>
  <si>
    <t>Language workbench challenge 2016: the JetBrains meta programming system</t>
  </si>
  <si>
    <t>D Duwaer</t>
  </si>
  <si>
    <t>Design of a Platform-Independent Business Rule</t>
  </si>
  <si>
    <t>Software Languages</t>
  </si>
  <si>
    <t>W Hedman</t>
  </si>
  <si>
    <t>Empirical Assessment of a Language for Variant Integration</t>
  </si>
  <si>
    <t>AL Santos </t>
  </si>
  <si>
    <t>Javardise: a structured code editor for programming pedagogy in Java</t>
  </si>
  <si>
    <t>A Kosba</t>
  </si>
  <si>
    <t>Verifiable Computation in Practice: Tools and Protocols</t>
  </si>
  <si>
    <t>S Stanciulescu</t>
  </si>
  <si>
    <t>Systematic Reuse and Ad Hoc Forking to Develop Software Variants</t>
  </si>
  <si>
    <t>J Schröpfer,  T Buchmann,  B Westfechtel</t>
  </si>
  <si>
    <t>A Framework for Projectional Multi-variant Model Editors</t>
  </si>
  <si>
    <t>S Maro</t>
  </si>
  <si>
    <t>Addressing Traceability Challenges in the Development of Embedded Systems</t>
  </si>
  <si>
    <t>B Considine</t>
  </si>
  <si>
    <t>Programming tools for intelligent systems</t>
  </si>
  <si>
    <t>S Dragule,  T Berger,  C Menghi… </t>
  </si>
  <si>
    <t>A survey on the design space of end-user-oriented languages for specifying robotic missions</t>
  </si>
  <si>
    <t>KS Schindlerf,  R Solmim,  V Vergui,  E Visseri…</t>
  </si>
  <si>
    <t>Evaluating and Comparing Language Workbenches</t>
  </si>
  <si>
    <t>P Vysoký,  P Parízek,  V Pech</t>
  </si>
  <si>
    <t>INGRID: Creating Languages in MPS from ANTLR Grammars</t>
  </si>
  <si>
    <t>tech report</t>
  </si>
  <si>
    <t>I Gonzalez-Herrera</t>
  </si>
  <si>
    <t>Supporting resource-awareness in managed runtime environments</t>
  </si>
  <si>
    <t>P Dwivedi,  V Sharma,  R Patel </t>
  </si>
  <si>
    <t>USB SPY: A Stratagem for Tracing USB Storage Devices</t>
  </si>
  <si>
    <t>J Lubin,  R Chugh </t>
  </si>
  <si>
    <t>Type-Directed Program Transformations for the Working Functional Programmer</t>
  </si>
  <si>
    <t>RG Singh</t>
  </si>
  <si>
    <t>Incremental Type Inferencing</t>
  </si>
  <si>
    <t>M Völter,  B Kolb,  T Szábó,  D Ratiu,  A van Deursen</t>
  </si>
  <si>
    <t>Lessons Learned from Developing mbeddr</t>
  </si>
  <si>
    <t>T Berger,  M Voelter,  HP Jensen,  T Dangprasert… </t>
  </si>
  <si>
    <t>Efficiency of Projectional Editing</t>
  </si>
  <si>
    <t>IYG Herrera</t>
  </si>
  <si>
    <t>Supporting resource awareness in managed runtime environment</t>
  </si>
  <si>
    <t>D Tieber</t>
  </si>
  <si>
    <t>Guidelines for the design and implementation of projectional editors for domain specific languages</t>
  </si>
  <si>
    <t>T Berger,  E Walkingshaw,  A Wasowski</t>
  </si>
  <si>
    <t>Concepts, Operations, and Feasibility of a Projection-Based Variation Control System</t>
  </si>
  <si>
    <t>NV Vanyasin,  IG Sidorkina… </t>
  </si>
  <si>
    <t>INTEGRATED ENVIRONMENT ARCHITECTURE FOR SOFTWARE DEVELOPMENT WITH STRUCTURED EDITING SUPPORT</t>
  </si>
  <si>
    <t>LE Lafontant,  E Syriani </t>
  </si>
  <si>
    <t>Gentleman: a light-weight web-based projectional editor generator</t>
  </si>
  <si>
    <t>Specifying Software Languages: Grammars, Projectional Editors, and Unconventional Approaches</t>
  </si>
  <si>
    <t>R Castanier</t>
  </si>
  <si>
    <t>An MPS implementation for SimpliC</t>
  </si>
  <si>
    <t>GKLE de Souza,  ASEE Visser</t>
  </si>
  <si>
    <t>Bootstrapping, Default Formatting, and Skeleton Editing in the Spoofax Language Workbench</t>
  </si>
  <si>
    <t>Towards Live Language Development</t>
  </si>
  <si>
    <t>T Szabó</t>
  </si>
  <si>
    <t>Incrementalizing Static Analyses in Datalog</t>
  </si>
  <si>
    <t>C Percebois</t>
  </si>
  <si>
    <t>Robin Bussenot</t>
  </si>
  <si>
    <t>ИГ Сидоркина </t>
  </si>
  <si>
    <t>R Bussenot</t>
  </si>
  <si>
    <t>Rendre agile les tests d'intégration des systèmes avioniques par des langages dédiés</t>
  </si>
  <si>
    <t>KNOWN 9</t>
  </si>
  <si>
    <t>Deep, seamless, multi-format, multi-notation definition and use of domain-specific languages</t>
  </si>
  <si>
    <t>https://madoc.bib.uni-mannheim.de/42010/</t>
  </si>
  <si>
    <t>Y Van Tendeloo, S Van Mierlo, B Meyers…</t>
  </si>
  <si>
    <t>Concrete syntax: A multi-paradigm modelling approach</t>
  </si>
  <si>
    <t>https://dl.acm.org/doi/abs/10.1145/3136014.3136017?casa_toke…Y1xMHRA-1BLRAcjjjnbGeLsrSHP7HnddXEhGautGIwwehMRnDjl8H3ddAYfw</t>
  </si>
  <si>
    <t>Yentl Van Tendeloo, H. Vangheluwe</t>
  </si>
  <si>
    <t>Unifying Model- and Screen Sharing</t>
  </si>
  <si>
    <t>https://doi.org/10.1109/wetice.2018.00031</t>
  </si>
  <si>
    <t>10.1109/wetice.2018.00031</t>
  </si>
  <si>
    <t>R Smeliansky</t>
  </si>
  <si>
    <t>Hierarchical edge computing</t>
  </si>
  <si>
    <t>https://www.researchgate.net/profile/Ruslan_Smeliansky/publication/329651763_Hierarchical_Edge_Computing/links/5c388fc5299bf12be3bfaa22/Hierarchical-Edge-Computing.pdf</t>
  </si>
  <si>
    <t>肖苏华， 李迪 - 机床与液压,</t>
  </si>
  <si>
    <t>一种面向计算机数控领域的建模语言</t>
  </si>
  <si>
    <t>https://www.cnki.com.cn/Article/CJFDTotal-JCYY201115033.htm</t>
  </si>
  <si>
    <t>Y Van Tendeloo, H Vangheluwe</t>
  </si>
  <si>
    <t>A Foundation for Multi-Paradigm Modelling</t>
  </si>
  <si>
    <t>PhD</t>
  </si>
  <si>
    <t>https://repository.uantwerpen.be/docman/irua/fb6c22/152309.pdf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</si>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</sst>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7" fillId="7" borderId="0" xfId="0" applyFont="1" applyFill="1" applyAlignment="1"/>
    <xf numFmtId="0" fontId="5" fillId="7" borderId="0" xfId="0" applyFont="1" applyFill="1" applyAlignment="1"/>
    <xf numFmtId="0" fontId="12" fillId="0" borderId="0" xfId="0" applyFont="1" applyAlignment="1"/>
    <xf numFmtId="0" fontId="4" fillId="3" borderId="0" xfId="0" applyFont="1" applyFill="1" applyAlignment="1"/>
    <xf numFmtId="0" fontId="7" fillId="6" borderId="0" xfId="0" applyFont="1" applyFill="1" applyAlignment="1"/>
    <xf numFmtId="0" fontId="5" fillId="6" borderId="0" xfId="0" applyFont="1" applyFill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156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ki.com.cn/Article/CJFDTotal-JCYY201115033.htm" TargetMode="External"/><Relationship Id="rId3" Type="http://schemas.openxmlformats.org/officeDocument/2006/relationships/hyperlink" Target="https://dl.acm.org/doi/abs/10.1145/3136014.3136017?casa_toke%E2%80%A6Y1xMHRA-1BLRAcjjjnbGeLsrSHP7HnddXEhGautGIwwehMRnDjl8H3ddAYfw" TargetMode="External"/><Relationship Id="rId7" Type="http://schemas.openxmlformats.org/officeDocument/2006/relationships/hyperlink" Target="https://repository.uantwerpen.be/docman/irua/fb6c22/152309.pdf" TargetMode="External"/><Relationship Id="rId2" Type="http://schemas.openxmlformats.org/officeDocument/2006/relationships/hyperlink" Target="https://madoc.bib.uni-mannheim.de/42010/" TargetMode="External"/><Relationship Id="rId1" Type="http://schemas.openxmlformats.org/officeDocument/2006/relationships/hyperlink" Target="http://gsd.uwaterloo.ca/projectional-workbenches" TargetMode="External"/><Relationship Id="rId6" Type="http://schemas.openxmlformats.org/officeDocument/2006/relationships/hyperlink" Target="https://www.cnki.com.cn/Article/CJFDTotal-JCYY201115033.ht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researchgate.net/profile/Ruslan_Smeliansky/publication/329651763_Hierarchical_Edge_Computing/links/5c388fc5299bf12be3bfaa22/Hierarchical-Edge-Computing.pdf" TargetMode="External"/><Relationship Id="rId10" Type="http://schemas.openxmlformats.org/officeDocument/2006/relationships/hyperlink" Target="https://www.cnki.com.cn/Article/CJFDTotal-JCYY201115033.htm" TargetMode="External"/><Relationship Id="rId4" Type="http://schemas.openxmlformats.org/officeDocument/2006/relationships/hyperlink" Target="https://doi.org/10.1109/wetice.2018.00031" TargetMode="External"/><Relationship Id="rId9" Type="http://schemas.openxmlformats.org/officeDocument/2006/relationships/hyperlink" Target="https://www.cnki.com.cn/Article/CJFDTotal-JCYY20111503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56"/>
  <sheetViews>
    <sheetView tabSelected="1" workbookViewId="0">
      <pane xSplit="6" ySplit="1" topLeftCell="G128" activePane="bottomRight" state="frozen"/>
      <selection pane="topRight" activeCell="G1" sqref="G1"/>
      <selection pane="bottomLeft" activeCell="A2" sqref="A2"/>
      <selection pane="bottomRight" activeCell="B155" sqref="B155"/>
    </sheetView>
  </sheetViews>
  <sheetFormatPr defaultColWidth="14.42578125" defaultRowHeight="15.75" customHeight="1" x14ac:dyDescent="0.2"/>
  <cols>
    <col min="1" max="1" width="5.5703125" customWidth="1"/>
    <col min="2" max="2" width="22.140625" customWidth="1"/>
    <col min="3" max="3" width="77" customWidth="1"/>
    <col min="4" max="4" width="5.42578125" customWidth="1"/>
    <col min="5" max="5" width="5.5703125" customWidth="1"/>
    <col min="6" max="6" width="12.28515625" customWidth="1"/>
    <col min="7" max="7" width="25.85546875" customWidth="1"/>
    <col min="8" max="8" width="9" customWidth="1"/>
    <col min="9" max="9" width="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313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2" t="s">
        <v>314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HYPERLINK("https://doi.org/10.1007/978-3-319-11245-9_3")</f>
        <v>https://doi.org/10.1007/978-3-319-11245-9_3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/>
      <c r="D9" s="8"/>
      <c r="E9" s="8"/>
      <c r="F9" s="22" t="s">
        <v>20</v>
      </c>
      <c r="G9" s="10"/>
      <c r="H9" s="19" t="str">
        <f t="shared" ref="H9:H39" si="0">IF(I9=R9,I9,IF(AND(I9="YES",R9="MAYBE"),"YES",IF(AND(I9="MAYBE",R9="YES"),"YES",IF(OR(AND(I9="NO",R9="YES"),AND(I9="YES",R9="NO")),"MAYBE","NO"))))</f>
        <v>NO</v>
      </c>
      <c r="I9" s="23" t="s">
        <v>21</v>
      </c>
      <c r="J9" s="12"/>
      <c r="K9" s="12"/>
      <c r="L9" s="13"/>
      <c r="M9" s="13"/>
      <c r="N9" s="13"/>
      <c r="O9" s="13"/>
      <c r="P9" s="14"/>
      <c r="Q9" s="24" t="b">
        <v>1</v>
      </c>
      <c r="R9" s="23" t="s">
        <v>21</v>
      </c>
      <c r="S9" s="15"/>
      <c r="T9" s="15"/>
      <c r="U9" s="25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22</v>
      </c>
      <c r="C10" s="8" t="s">
        <v>23</v>
      </c>
      <c r="D10" s="8">
        <v>1932</v>
      </c>
      <c r="E10" s="8"/>
      <c r="F10" s="10"/>
      <c r="G10" s="10"/>
      <c r="H10" s="19" t="str">
        <f t="shared" si="0"/>
        <v>NO</v>
      </c>
      <c r="I10" s="23" t="s">
        <v>21</v>
      </c>
      <c r="J10" s="12"/>
      <c r="K10" s="12"/>
      <c r="L10" s="24" t="b">
        <v>1</v>
      </c>
      <c r="M10" s="13"/>
      <c r="N10" s="13"/>
      <c r="O10" s="13"/>
      <c r="P10" s="14"/>
      <c r="Q10" s="14"/>
      <c r="R10" s="23" t="s">
        <v>21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24</v>
      </c>
      <c r="C11" s="8" t="s">
        <v>25</v>
      </c>
      <c r="D11" s="8">
        <v>1981</v>
      </c>
      <c r="E11" s="8"/>
      <c r="F11" s="9" t="str">
        <f>HYPERLINK("https://doi.org/10.1109/tse.1981.231109")</f>
        <v>https://doi.org/10.1109/tse.1981.231109</v>
      </c>
      <c r="G11" s="10" t="s">
        <v>26</v>
      </c>
      <c r="H11" s="19" t="str">
        <f t="shared" si="0"/>
        <v>NO</v>
      </c>
      <c r="I11" s="23" t="s">
        <v>21</v>
      </c>
      <c r="J11" s="12"/>
      <c r="K11" s="12"/>
      <c r="L11" s="24" t="b">
        <v>1</v>
      </c>
      <c r="M11" s="13"/>
      <c r="N11" s="13"/>
      <c r="O11" s="13"/>
      <c r="P11" s="14"/>
      <c r="Q11" s="14"/>
      <c r="R11" s="23" t="s">
        <v>21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27</v>
      </c>
      <c r="C12" s="8" t="s">
        <v>28</v>
      </c>
      <c r="D12" s="8">
        <v>1995</v>
      </c>
      <c r="E12" s="8"/>
      <c r="F12" s="26" t="str">
        <f>HYPERLINK("https://doi.org/10.1002/spe.4380250705")</f>
        <v>https://doi.org/10.1002/spe.4380250705</v>
      </c>
      <c r="G12" s="10" t="s">
        <v>29</v>
      </c>
      <c r="H12" s="19" t="str">
        <f t="shared" si="0"/>
        <v>NO</v>
      </c>
      <c r="I12" s="23" t="s">
        <v>21</v>
      </c>
      <c r="J12" s="12"/>
      <c r="K12" s="12"/>
      <c r="L12" s="24" t="b">
        <v>1</v>
      </c>
      <c r="M12" s="13"/>
      <c r="N12" s="13"/>
      <c r="O12" s="13"/>
      <c r="P12" s="14"/>
      <c r="Q12" s="14"/>
      <c r="R12" s="23" t="s">
        <v>21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30</v>
      </c>
      <c r="C13" s="8" t="s">
        <v>31</v>
      </c>
      <c r="D13" s="8">
        <v>1991</v>
      </c>
      <c r="E13" s="8"/>
      <c r="F13" s="26" t="str">
        <f>HYPERLINK("https://doi.org/10.1145/108844.108860")</f>
        <v>https://doi.org/10.1145/108844.108860</v>
      </c>
      <c r="G13" s="10" t="s">
        <v>32</v>
      </c>
      <c r="H13" s="19" t="str">
        <f t="shared" si="0"/>
        <v>NO</v>
      </c>
      <c r="I13" s="23" t="s">
        <v>21</v>
      </c>
      <c r="J13" s="12"/>
      <c r="K13" s="12"/>
      <c r="L13" s="24" t="b">
        <v>1</v>
      </c>
      <c r="M13" s="13"/>
      <c r="N13" s="13"/>
      <c r="O13" s="13"/>
      <c r="P13" s="14"/>
      <c r="Q13" s="14"/>
      <c r="R13" s="23" t="s">
        <v>21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33</v>
      </c>
      <c r="C14" s="8" t="s">
        <v>34</v>
      </c>
      <c r="D14" s="8">
        <v>1990</v>
      </c>
      <c r="E14" s="8"/>
      <c r="F14" s="9"/>
      <c r="G14" s="10"/>
      <c r="H14" s="19" t="str">
        <f t="shared" si="0"/>
        <v>NO</v>
      </c>
      <c r="I14" s="23" t="s">
        <v>21</v>
      </c>
      <c r="J14" s="12"/>
      <c r="K14" s="12"/>
      <c r="L14" s="24" t="b">
        <v>1</v>
      </c>
      <c r="M14" s="13"/>
      <c r="N14" s="13"/>
      <c r="O14" s="13"/>
      <c r="P14" s="14"/>
      <c r="Q14" s="14"/>
      <c r="R14" s="27" t="s">
        <v>21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35</v>
      </c>
      <c r="C15" s="8" t="s">
        <v>36</v>
      </c>
      <c r="D15" s="8">
        <v>2014</v>
      </c>
      <c r="E15" s="8"/>
      <c r="F15" s="26" t="str">
        <f>HYPERLINK("https://doi.org/10.7717/peerj.241")</f>
        <v>https://doi.org/10.7717/peerj.241</v>
      </c>
      <c r="G15" s="10" t="s">
        <v>37</v>
      </c>
      <c r="H15" s="19" t="str">
        <f t="shared" si="0"/>
        <v>NO</v>
      </c>
      <c r="I15" s="23" t="s">
        <v>21</v>
      </c>
      <c r="J15" s="12"/>
      <c r="K15" s="12"/>
      <c r="L15" s="24" t="b">
        <v>1</v>
      </c>
      <c r="M15" s="13"/>
      <c r="N15" s="13"/>
      <c r="O15" s="13"/>
      <c r="P15" s="14"/>
      <c r="Q15" s="14"/>
      <c r="R15" s="23" t="s">
        <v>21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38</v>
      </c>
      <c r="C16" s="8" t="s">
        <v>39</v>
      </c>
      <c r="D16" s="8">
        <v>1988</v>
      </c>
      <c r="E16" s="8"/>
      <c r="F16" s="10"/>
      <c r="G16" s="10"/>
      <c r="H16" s="19" t="str">
        <f t="shared" si="0"/>
        <v>NO</v>
      </c>
      <c r="I16" s="23" t="s">
        <v>21</v>
      </c>
      <c r="J16" s="12"/>
      <c r="K16" s="12"/>
      <c r="L16" s="13"/>
      <c r="M16" s="13"/>
      <c r="N16" s="13"/>
      <c r="O16" s="13"/>
      <c r="P16" s="24" t="b">
        <v>0</v>
      </c>
      <c r="Q16" s="24" t="b">
        <v>1</v>
      </c>
      <c r="R16" s="23" t="s">
        <v>21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40</v>
      </c>
      <c r="C17" s="8" t="s">
        <v>41</v>
      </c>
      <c r="D17" s="8">
        <v>2009</v>
      </c>
      <c r="E17" s="8" t="s">
        <v>42</v>
      </c>
      <c r="F17" s="10"/>
      <c r="G17" s="10"/>
      <c r="H17" s="19" t="str">
        <f t="shared" si="0"/>
        <v>NO</v>
      </c>
      <c r="I17" s="23" t="s">
        <v>21</v>
      </c>
      <c r="J17" s="12"/>
      <c r="K17" s="12"/>
      <c r="L17" s="13"/>
      <c r="M17" s="13"/>
      <c r="N17" s="13"/>
      <c r="O17" s="13"/>
      <c r="P17" s="14"/>
      <c r="Q17" s="24" t="b">
        <v>1</v>
      </c>
      <c r="R17" s="23" t="s">
        <v>21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43</v>
      </c>
      <c r="C18" s="8" t="s">
        <v>44</v>
      </c>
      <c r="D18" s="8">
        <v>2009</v>
      </c>
      <c r="E18" s="8"/>
      <c r="F18" s="10"/>
      <c r="G18" s="10"/>
      <c r="H18" s="19" t="str">
        <f t="shared" si="0"/>
        <v>NO</v>
      </c>
      <c r="I18" s="23" t="s">
        <v>21</v>
      </c>
      <c r="J18" s="12"/>
      <c r="K18" s="12"/>
      <c r="L18" s="24" t="b">
        <v>1</v>
      </c>
      <c r="M18" s="13"/>
      <c r="N18" s="13"/>
      <c r="O18" s="13"/>
      <c r="P18" s="14"/>
      <c r="Q18" s="14"/>
      <c r="R18" s="23" t="s">
        <v>21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45</v>
      </c>
      <c r="C19" s="8" t="s">
        <v>46</v>
      </c>
      <c r="D19" s="8">
        <v>2013</v>
      </c>
      <c r="E19" s="8"/>
      <c r="F19" s="10"/>
      <c r="G19" s="10"/>
      <c r="H19" s="19" t="str">
        <f t="shared" si="0"/>
        <v>NO</v>
      </c>
      <c r="I19" s="23" t="s">
        <v>21</v>
      </c>
      <c r="J19" s="12"/>
      <c r="K19" s="12"/>
      <c r="L19" s="24" t="b">
        <v>1</v>
      </c>
      <c r="M19" s="13"/>
      <c r="N19" s="13"/>
      <c r="O19" s="13"/>
      <c r="P19" s="14"/>
      <c r="Q19" s="14"/>
      <c r="R19" s="23" t="s">
        <v>21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47</v>
      </c>
      <c r="C20" s="8" t="s">
        <v>48</v>
      </c>
      <c r="D20" s="8">
        <v>2006</v>
      </c>
      <c r="E20" s="8"/>
      <c r="F20" s="26" t="str">
        <f>HYPERLINK("https://doi.org/10.1145/1167473.1167511")</f>
        <v>https://doi.org/10.1145/1167473.1167511</v>
      </c>
      <c r="G20" s="10" t="s">
        <v>49</v>
      </c>
      <c r="H20" s="19" t="str">
        <f t="shared" si="0"/>
        <v>NO</v>
      </c>
      <c r="I20" s="27" t="s">
        <v>21</v>
      </c>
      <c r="J20" s="12"/>
      <c r="K20" s="12"/>
      <c r="L20" s="24" t="b">
        <v>1</v>
      </c>
      <c r="M20" s="13"/>
      <c r="N20" s="13"/>
      <c r="O20" s="13"/>
      <c r="P20" s="14"/>
      <c r="Q20" s="14"/>
      <c r="R20" s="27" t="s">
        <v>21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50</v>
      </c>
      <c r="C21" s="8" t="s">
        <v>51</v>
      </c>
      <c r="D21" s="8">
        <v>2013</v>
      </c>
      <c r="E21" s="8"/>
      <c r="F21" s="26" t="str">
        <f>HYPERLINK("https://doi.org/10.1007/978-3-642-35992-7_11")</f>
        <v>https://doi.org/10.1007/978-3-642-35992-7_11</v>
      </c>
      <c r="G21" s="10" t="s">
        <v>52</v>
      </c>
      <c r="H21" s="19" t="str">
        <f t="shared" si="0"/>
        <v>NO</v>
      </c>
      <c r="I21" s="23" t="s">
        <v>21</v>
      </c>
      <c r="J21" s="12"/>
      <c r="K21" s="12"/>
      <c r="L21" s="24" t="b">
        <v>1</v>
      </c>
      <c r="M21" s="13"/>
      <c r="N21" s="13"/>
      <c r="O21" s="13"/>
      <c r="P21" s="14"/>
      <c r="Q21" s="14"/>
      <c r="R21" s="23" t="s">
        <v>21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53</v>
      </c>
      <c r="C22" s="8" t="s">
        <v>54</v>
      </c>
      <c r="D22" s="8">
        <v>2013</v>
      </c>
      <c r="E22" s="8"/>
      <c r="F22" s="26" t="str">
        <f>HYPERLINK("https://doi.org/10.1007/s10515-013-0120-4")</f>
        <v>https://doi.org/10.1007/s10515-013-0120-4</v>
      </c>
      <c r="G22" s="10" t="s">
        <v>55</v>
      </c>
      <c r="H22" s="19" t="str">
        <f t="shared" si="0"/>
        <v>YES</v>
      </c>
      <c r="I22" s="23" t="s">
        <v>56</v>
      </c>
      <c r="J22" s="28" t="b">
        <v>1</v>
      </c>
      <c r="K22" s="28" t="b">
        <v>1</v>
      </c>
      <c r="L22" s="13"/>
      <c r="M22" s="13"/>
      <c r="N22" s="13"/>
      <c r="O22" s="13"/>
      <c r="P22" s="14"/>
      <c r="Q22" s="14"/>
      <c r="R22" s="23" t="s">
        <v>57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58</v>
      </c>
      <c r="C23" s="8" t="s">
        <v>59</v>
      </c>
      <c r="D23" s="8">
        <v>1998</v>
      </c>
      <c r="E23" s="8" t="s">
        <v>60</v>
      </c>
      <c r="F23" s="10"/>
      <c r="G23" s="10"/>
      <c r="H23" s="19" t="str">
        <f t="shared" si="0"/>
        <v>NO</v>
      </c>
      <c r="I23" s="23" t="s">
        <v>21</v>
      </c>
      <c r="J23" s="12"/>
      <c r="K23" s="12"/>
      <c r="L23" s="13"/>
      <c r="M23" s="13"/>
      <c r="N23" s="13"/>
      <c r="O23" s="13"/>
      <c r="P23" s="24" t="b">
        <v>1</v>
      </c>
      <c r="Q23" s="14"/>
      <c r="R23" s="23" t="s">
        <v>21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61</v>
      </c>
      <c r="C24" s="8" t="s">
        <v>62</v>
      </c>
      <c r="D24" s="8">
        <v>2013</v>
      </c>
      <c r="E24" s="8"/>
      <c r="F24" s="10"/>
      <c r="G24" s="10"/>
      <c r="H24" s="19" t="str">
        <f t="shared" si="0"/>
        <v>NO</v>
      </c>
      <c r="I24" s="23" t="s">
        <v>21</v>
      </c>
      <c r="J24" s="12"/>
      <c r="K24" s="12"/>
      <c r="L24" s="24" t="b">
        <v>1</v>
      </c>
      <c r="M24" s="13"/>
      <c r="N24" s="13"/>
      <c r="O24" s="13"/>
      <c r="P24" s="14"/>
      <c r="Q24" s="14"/>
      <c r="R24" s="23" t="s">
        <v>21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63</v>
      </c>
      <c r="C25" s="8" t="s">
        <v>64</v>
      </c>
      <c r="D25" s="8"/>
      <c r="E25" s="8"/>
      <c r="F25" s="10"/>
      <c r="G25" s="10"/>
      <c r="H25" s="19" t="str">
        <f t="shared" si="0"/>
        <v>MAYBE</v>
      </c>
      <c r="I25" s="23" t="s">
        <v>56</v>
      </c>
      <c r="J25" s="28" t="b">
        <v>1</v>
      </c>
      <c r="K25" s="28" t="b">
        <v>1</v>
      </c>
      <c r="L25" s="13"/>
      <c r="M25" s="13"/>
      <c r="N25" s="13"/>
      <c r="O25" s="13"/>
      <c r="P25" s="14"/>
      <c r="Q25" s="14"/>
      <c r="R25" s="23" t="s">
        <v>21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65</v>
      </c>
      <c r="C26" s="8" t="s">
        <v>66</v>
      </c>
      <c r="D26" s="8">
        <v>2007</v>
      </c>
      <c r="E26" s="8"/>
      <c r="F26" s="26" t="str">
        <f>HYPERLINK("https://doi.org/10.1145/1289971.1289975")</f>
        <v>https://doi.org/10.1145/1289971.1289975</v>
      </c>
      <c r="G26" s="10" t="s">
        <v>67</v>
      </c>
      <c r="H26" s="19" t="str">
        <f t="shared" si="0"/>
        <v>NO</v>
      </c>
      <c r="I26" s="23" t="s">
        <v>21</v>
      </c>
      <c r="J26" s="12"/>
      <c r="K26" s="12"/>
      <c r="L26" s="24" t="b">
        <v>1</v>
      </c>
      <c r="M26" s="13"/>
      <c r="N26" s="13"/>
      <c r="O26" s="13"/>
      <c r="P26" s="14"/>
      <c r="Q26" s="14"/>
      <c r="R26" s="23" t="s">
        <v>21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 t="s">
        <v>68</v>
      </c>
      <c r="C27" s="8" t="s">
        <v>69</v>
      </c>
      <c r="D27" s="8">
        <v>2010</v>
      </c>
      <c r="E27" s="8"/>
      <c r="F27" s="26" t="str">
        <f>HYPERLINK("https://doi.org/10.1145/1869459.1869535")</f>
        <v>https://doi.org/10.1145/1869459.1869535</v>
      </c>
      <c r="G27" s="10" t="s">
        <v>70</v>
      </c>
      <c r="H27" s="19" t="str">
        <f t="shared" si="0"/>
        <v>NO</v>
      </c>
      <c r="I27" s="23" t="s">
        <v>21</v>
      </c>
      <c r="J27" s="28" t="b">
        <v>0</v>
      </c>
      <c r="K27" s="28" t="b">
        <v>0</v>
      </c>
      <c r="L27" s="24" t="b">
        <v>1</v>
      </c>
      <c r="M27" s="13"/>
      <c r="N27" s="13"/>
      <c r="O27" s="13"/>
      <c r="P27" s="14"/>
      <c r="Q27" s="14"/>
      <c r="R27" s="23" t="s">
        <v>21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 t="s">
        <v>71</v>
      </c>
      <c r="C28" s="8" t="s">
        <v>72</v>
      </c>
      <c r="D28" s="8">
        <v>2013</v>
      </c>
      <c r="E28" s="8"/>
      <c r="F28" s="10"/>
      <c r="G28" s="10"/>
      <c r="H28" s="19" t="str">
        <f t="shared" si="0"/>
        <v>NO</v>
      </c>
      <c r="I28" s="23" t="s">
        <v>57</v>
      </c>
      <c r="J28" s="28" t="b">
        <v>1</v>
      </c>
      <c r="K28" s="28" t="b">
        <v>1</v>
      </c>
      <c r="L28" s="13"/>
      <c r="M28" s="13"/>
      <c r="N28" s="13"/>
      <c r="O28" s="13"/>
      <c r="P28" s="14"/>
      <c r="Q28" s="14"/>
      <c r="R28" s="27" t="s">
        <v>21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73</v>
      </c>
      <c r="C29" s="8" t="s">
        <v>74</v>
      </c>
      <c r="D29" s="8">
        <v>2013</v>
      </c>
      <c r="E29" s="8"/>
      <c r="F29" s="26" t="str">
        <f>HYPERLINK("https://doi.org/10.1007/978-3-642-38883-5_11")</f>
        <v>https://doi.org/10.1007/978-3-642-38883-5_11</v>
      </c>
      <c r="G29" s="10" t="s">
        <v>75</v>
      </c>
      <c r="H29" s="19" t="str">
        <f t="shared" si="0"/>
        <v>MAYBE</v>
      </c>
      <c r="I29" s="23" t="s">
        <v>21</v>
      </c>
      <c r="J29" s="12"/>
      <c r="K29" s="12"/>
      <c r="L29" s="24" t="b">
        <v>1</v>
      </c>
      <c r="M29" s="13"/>
      <c r="N29" s="13"/>
      <c r="O29" s="13"/>
      <c r="P29" s="14"/>
      <c r="Q29" s="14"/>
      <c r="R29" s="23" t="s">
        <v>56</v>
      </c>
      <c r="S29" s="29" t="b">
        <v>1</v>
      </c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 t="s">
        <v>76</v>
      </c>
      <c r="C30" s="8" t="s">
        <v>77</v>
      </c>
      <c r="D30" s="8">
        <v>2008</v>
      </c>
      <c r="E30" s="8"/>
      <c r="F30" s="26" t="str">
        <f>HYPERLINK("https://doi.org/10.1016/j.entcs.2008.03.047")</f>
        <v>https://doi.org/10.1016/j.entcs.2008.03.047</v>
      </c>
      <c r="G30" s="10" t="s">
        <v>78</v>
      </c>
      <c r="H30" s="19" t="str">
        <f t="shared" si="0"/>
        <v>NO</v>
      </c>
      <c r="I30" s="23" t="s">
        <v>21</v>
      </c>
      <c r="J30" s="12"/>
      <c r="K30" s="12"/>
      <c r="L30" s="24" t="b">
        <v>1</v>
      </c>
      <c r="M30" s="13"/>
      <c r="N30" s="13"/>
      <c r="O30" s="13"/>
      <c r="P30" s="14"/>
      <c r="Q30" s="14"/>
      <c r="R30" s="23" t="s">
        <v>21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79</v>
      </c>
      <c r="C31" s="8" t="s">
        <v>80</v>
      </c>
      <c r="D31" s="8">
        <v>1995</v>
      </c>
      <c r="E31" s="8"/>
      <c r="F31" s="10"/>
      <c r="G31" s="10"/>
      <c r="H31" s="19" t="str">
        <f t="shared" si="0"/>
        <v>NO</v>
      </c>
      <c r="I31" s="23" t="s">
        <v>21</v>
      </c>
      <c r="J31" s="12"/>
      <c r="K31" s="12"/>
      <c r="L31" s="24" t="b">
        <v>1</v>
      </c>
      <c r="M31" s="13"/>
      <c r="N31" s="13"/>
      <c r="O31" s="13"/>
      <c r="P31" s="24" t="b">
        <v>0</v>
      </c>
      <c r="Q31" s="24" t="b">
        <v>1</v>
      </c>
      <c r="R31" s="23" t="s">
        <v>21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 t="s">
        <v>81</v>
      </c>
      <c r="C32" s="8" t="s">
        <v>82</v>
      </c>
      <c r="D32" s="8">
        <v>1985</v>
      </c>
      <c r="E32" s="8"/>
      <c r="F32" s="26" t="str">
        <f>HYPERLINK("https://doi.org/10.1016/0164-1212(85)90011-1")</f>
        <v>https://doi.org/10.1016/0164-1212(85)90011-1</v>
      </c>
      <c r="G32" s="10" t="s">
        <v>83</v>
      </c>
      <c r="H32" s="19" t="str">
        <f t="shared" si="0"/>
        <v>NO</v>
      </c>
      <c r="I32" s="23" t="s">
        <v>21</v>
      </c>
      <c r="J32" s="12"/>
      <c r="K32" s="12"/>
      <c r="L32" s="24" t="b">
        <v>1</v>
      </c>
      <c r="M32" s="13"/>
      <c r="N32" s="13"/>
      <c r="O32" s="13"/>
      <c r="P32" s="14"/>
      <c r="Q32" s="14"/>
      <c r="R32" s="23" t="s">
        <v>21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 x14ac:dyDescent="0.2">
      <c r="A33" s="8"/>
      <c r="B33" s="8" t="s">
        <v>84</v>
      </c>
      <c r="C33" s="8" t="s">
        <v>85</v>
      </c>
      <c r="D33" s="8">
        <v>1989</v>
      </c>
      <c r="E33" s="8"/>
      <c r="F33" s="26" t="str">
        <f>HYPERLINK("https://doi.org/10.1145/71605.71607")</f>
        <v>https://doi.org/10.1145/71605.71607</v>
      </c>
      <c r="G33" s="10" t="s">
        <v>86</v>
      </c>
      <c r="H33" s="19" t="str">
        <f t="shared" si="0"/>
        <v>NO</v>
      </c>
      <c r="I33" s="23" t="s">
        <v>21</v>
      </c>
      <c r="J33" s="12"/>
      <c r="K33" s="12"/>
      <c r="L33" s="24" t="b">
        <v>0</v>
      </c>
      <c r="M33" s="13"/>
      <c r="N33" s="13"/>
      <c r="O33" s="13"/>
      <c r="P33" s="24" t="b">
        <v>0</v>
      </c>
      <c r="Q33" s="24" t="b">
        <v>1</v>
      </c>
      <c r="R33" s="23" t="s">
        <v>21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 t="s">
        <v>87</v>
      </c>
      <c r="C34" s="8" t="s">
        <v>88</v>
      </c>
      <c r="D34" s="8">
        <v>1984</v>
      </c>
      <c r="E34" s="8"/>
      <c r="F34" s="26" t="str">
        <f>HYPERLINK("https://doi.org/10.1145/800020.808247")</f>
        <v>https://doi.org/10.1145/800020.808247</v>
      </c>
      <c r="G34" s="10" t="s">
        <v>89</v>
      </c>
      <c r="H34" s="19" t="str">
        <f t="shared" si="0"/>
        <v>NO</v>
      </c>
      <c r="I34" s="23" t="s">
        <v>21</v>
      </c>
      <c r="J34" s="12"/>
      <c r="K34" s="12"/>
      <c r="L34" s="24" t="b">
        <v>1</v>
      </c>
      <c r="M34" s="13"/>
      <c r="N34" s="13"/>
      <c r="O34" s="13"/>
      <c r="P34" s="14"/>
      <c r="Q34" s="14"/>
      <c r="R34" s="23" t="s">
        <v>21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 t="s">
        <v>90</v>
      </c>
      <c r="C35" s="8" t="s">
        <v>91</v>
      </c>
      <c r="D35" s="8">
        <v>2001</v>
      </c>
      <c r="E35" s="8"/>
      <c r="F35" s="26" t="str">
        <f>HYPERLINK("https://doi.org/10.1016/s1571-0661(04)80918-6")</f>
        <v>https://doi.org/10.1016/s1571-0661(04)80918-6</v>
      </c>
      <c r="G35" s="10" t="s">
        <v>92</v>
      </c>
      <c r="H35" s="19" t="str">
        <f t="shared" si="0"/>
        <v>NO</v>
      </c>
      <c r="I35" s="23" t="s">
        <v>21</v>
      </c>
      <c r="J35" s="12"/>
      <c r="K35" s="12"/>
      <c r="L35" s="24" t="b">
        <v>1</v>
      </c>
      <c r="M35" s="13"/>
      <c r="N35" s="13"/>
      <c r="O35" s="13"/>
      <c r="P35" s="14"/>
      <c r="Q35" s="14"/>
      <c r="R35" s="23" t="s">
        <v>21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 t="s">
        <v>93</v>
      </c>
      <c r="C36" s="8" t="s">
        <v>94</v>
      </c>
      <c r="D36" s="8">
        <v>2006</v>
      </c>
      <c r="E36" s="8"/>
      <c r="F36" s="10"/>
      <c r="G36" s="10"/>
      <c r="H36" s="19" t="str">
        <f t="shared" si="0"/>
        <v>NO</v>
      </c>
      <c r="I36" s="23" t="s">
        <v>21</v>
      </c>
      <c r="J36" s="12"/>
      <c r="K36" s="12"/>
      <c r="L36" s="24" t="b">
        <v>1</v>
      </c>
      <c r="M36" s="13"/>
      <c r="N36" s="13"/>
      <c r="O36" s="13"/>
      <c r="P36" s="14"/>
      <c r="Q36" s="14"/>
      <c r="R36" s="23" t="s">
        <v>21</v>
      </c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 x14ac:dyDescent="0.2">
      <c r="A37" s="8"/>
      <c r="B37" s="8" t="s">
        <v>95</v>
      </c>
      <c r="C37" s="8" t="s">
        <v>96</v>
      </c>
      <c r="D37" s="8">
        <v>1997</v>
      </c>
      <c r="E37" s="8"/>
      <c r="F37" s="26" t="str">
        <f>HYPERLINK("https://doi.org/10.1007/978-3-642-59126-6_4")</f>
        <v>https://doi.org/10.1007/978-3-642-59126-6_4</v>
      </c>
      <c r="G37" s="10" t="s">
        <v>97</v>
      </c>
      <c r="H37" s="19" t="str">
        <f t="shared" si="0"/>
        <v>NO</v>
      </c>
      <c r="I37" s="23" t="s">
        <v>21</v>
      </c>
      <c r="J37" s="12"/>
      <c r="K37" s="12"/>
      <c r="L37" s="24" t="b">
        <v>1</v>
      </c>
      <c r="M37" s="13"/>
      <c r="N37" s="13"/>
      <c r="O37" s="13"/>
      <c r="P37" s="14"/>
      <c r="Q37" s="14"/>
      <c r="R37" s="23" t="s">
        <v>21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 t="s">
        <v>98</v>
      </c>
      <c r="C38" s="8" t="s">
        <v>99</v>
      </c>
      <c r="D38" s="8">
        <v>1977</v>
      </c>
      <c r="E38" s="8"/>
      <c r="F38" s="26" t="str">
        <f>HYPERLINK("https://doi.org/10.1007/978-3-642-66438-0_7")</f>
        <v>https://doi.org/10.1007/978-3-642-66438-0_7</v>
      </c>
      <c r="G38" s="10" t="s">
        <v>100</v>
      </c>
      <c r="H38" s="19" t="str">
        <f t="shared" si="0"/>
        <v>NO</v>
      </c>
      <c r="I38" s="23" t="s">
        <v>21</v>
      </c>
      <c r="J38" s="12"/>
      <c r="K38" s="12"/>
      <c r="L38" s="24" t="b">
        <v>1</v>
      </c>
      <c r="M38" s="13"/>
      <c r="N38" s="13"/>
      <c r="O38" s="13"/>
      <c r="P38" s="14"/>
      <c r="Q38" s="14"/>
      <c r="R38" s="23" t="s">
        <v>21</v>
      </c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 t="s">
        <v>101</v>
      </c>
      <c r="C39" s="8" t="s">
        <v>102</v>
      </c>
      <c r="D39" s="8">
        <v>1997</v>
      </c>
      <c r="E39" s="8"/>
      <c r="F39" s="26" t="str">
        <f>HYPERLINK("https://doi.org/10.1007/1-4020-4653-7_4")</f>
        <v>https://doi.org/10.1007/1-4020-4653-7_4</v>
      </c>
      <c r="G39" s="10" t="s">
        <v>103</v>
      </c>
      <c r="H39" s="19" t="str">
        <f t="shared" si="0"/>
        <v>NO</v>
      </c>
      <c r="I39" s="30" t="s">
        <v>21</v>
      </c>
      <c r="J39" s="12"/>
      <c r="K39" s="12"/>
      <c r="L39" s="13"/>
      <c r="M39" s="13"/>
      <c r="N39" s="13"/>
      <c r="O39" s="13"/>
      <c r="P39" s="24" t="b">
        <v>1</v>
      </c>
      <c r="Q39" s="14"/>
      <c r="R39" s="23" t="s">
        <v>21</v>
      </c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/>
      <c r="C40" s="8"/>
      <c r="D40" s="8"/>
      <c r="E40" s="8"/>
      <c r="F40" s="10"/>
      <c r="G40" s="10"/>
      <c r="H40" s="19"/>
      <c r="I40" s="11"/>
      <c r="J40" s="12"/>
      <c r="K40" s="12"/>
      <c r="L40" s="13"/>
      <c r="M40" s="13"/>
      <c r="N40" s="13"/>
      <c r="O40" s="13"/>
      <c r="P40" s="14"/>
      <c r="Q40" s="14"/>
      <c r="R40" s="11"/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104</v>
      </c>
      <c r="C41" s="8"/>
      <c r="D41" s="8"/>
      <c r="E41" s="8"/>
      <c r="F41" s="10"/>
      <c r="G41" s="10"/>
      <c r="H41" s="19"/>
      <c r="I41" s="11"/>
      <c r="J41" s="12"/>
      <c r="K41" s="12"/>
      <c r="L41" s="13"/>
      <c r="M41" s="13"/>
      <c r="N41" s="13"/>
      <c r="O41" s="13"/>
      <c r="P41" s="14"/>
      <c r="Q41" s="14"/>
      <c r="R41" s="11"/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/>
      <c r="C42" s="8"/>
      <c r="D42" s="8"/>
      <c r="E42" s="8"/>
      <c r="F42" s="17"/>
      <c r="G42" s="10"/>
      <c r="H42" s="19"/>
      <c r="I42" s="21"/>
      <c r="J42" s="12"/>
      <c r="K42" s="12"/>
      <c r="L42" s="13"/>
      <c r="M42" s="13"/>
      <c r="N42" s="13"/>
      <c r="O42" s="13"/>
      <c r="P42" s="14"/>
      <c r="Q42" s="14"/>
      <c r="R42" s="18"/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>
        <v>3</v>
      </c>
      <c r="B43" s="8" t="s">
        <v>105</v>
      </c>
      <c r="C43" s="8" t="s">
        <v>106</v>
      </c>
      <c r="D43" s="8">
        <v>2000</v>
      </c>
      <c r="E43" s="8"/>
      <c r="F43" s="10"/>
      <c r="G43" s="10"/>
      <c r="H43" s="19" t="str">
        <f>IF(I43=R43,I43,IF(AND(I43="YES",R43="MAYBE"),"YES",IF(AND(I43="MAYBE",R43="YES"),"YES",IF(OR(AND(I43="NO",R43="YES"),AND(I43="YES",R43="NO")),"MAYBE","NO"))))</f>
        <v>NO</v>
      </c>
      <c r="I43" s="23" t="s">
        <v>21</v>
      </c>
      <c r="J43" s="12"/>
      <c r="K43" s="12"/>
      <c r="L43" s="13"/>
      <c r="M43" s="13"/>
      <c r="N43" s="13"/>
      <c r="O43" s="13"/>
      <c r="P43" s="14"/>
      <c r="Q43" s="14"/>
      <c r="R43" s="23" t="s">
        <v>21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/>
      <c r="C44" s="8"/>
      <c r="D44" s="8"/>
      <c r="E44" s="8"/>
      <c r="F44" s="10"/>
      <c r="G44" s="10"/>
      <c r="H44" s="19"/>
      <c r="I44" s="11"/>
      <c r="J44" s="12"/>
      <c r="K44" s="12"/>
      <c r="L44" s="13"/>
      <c r="M44" s="13"/>
      <c r="N44" s="13"/>
      <c r="O44" s="13"/>
      <c r="P44" s="14"/>
      <c r="Q44" s="14"/>
      <c r="R44" s="11"/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/>
      <c r="C45" s="8"/>
      <c r="D45" s="8"/>
      <c r="E45" s="8"/>
      <c r="F45" s="10"/>
      <c r="G45" s="10"/>
      <c r="H45" s="19"/>
      <c r="I45" s="11"/>
      <c r="J45" s="12"/>
      <c r="K45" s="12"/>
      <c r="L45" s="13"/>
      <c r="M45" s="13"/>
      <c r="N45" s="13"/>
      <c r="O45" s="13"/>
      <c r="P45" s="14"/>
      <c r="Q45" s="14"/>
      <c r="R45" s="11"/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107</v>
      </c>
      <c r="C46" s="8"/>
      <c r="D46" s="8"/>
      <c r="E46" s="8"/>
      <c r="F46" s="10"/>
      <c r="G46" s="10"/>
      <c r="H46" s="19"/>
      <c r="I46" s="21"/>
      <c r="J46" s="12"/>
      <c r="K46" s="12"/>
      <c r="L46" s="13"/>
      <c r="M46" s="13"/>
      <c r="N46" s="13"/>
      <c r="O46" s="13"/>
      <c r="P46" s="14"/>
      <c r="Q46" s="14"/>
      <c r="R46" s="21"/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/>
      <c r="C47" s="8"/>
      <c r="D47" s="8"/>
      <c r="E47" s="8"/>
      <c r="F47" s="10"/>
      <c r="G47" s="10"/>
      <c r="H47" s="19"/>
      <c r="I47" s="11"/>
      <c r="J47" s="12"/>
      <c r="K47" s="12"/>
      <c r="L47" s="13"/>
      <c r="M47" s="13"/>
      <c r="N47" s="13"/>
      <c r="O47" s="13"/>
      <c r="P47" s="14"/>
      <c r="Q47" s="14"/>
      <c r="R47" s="11"/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 t="s">
        <v>108</v>
      </c>
      <c r="C48" s="8"/>
      <c r="D48" s="8"/>
      <c r="E48" s="8"/>
      <c r="F48" s="10"/>
      <c r="G48" s="10"/>
      <c r="H48" s="19"/>
      <c r="I48" s="11"/>
      <c r="J48" s="12"/>
      <c r="K48" s="12"/>
      <c r="L48" s="13"/>
      <c r="M48" s="13"/>
      <c r="N48" s="13"/>
      <c r="O48" s="13"/>
      <c r="P48" s="14"/>
      <c r="Q48" s="14"/>
      <c r="R48" s="11"/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/>
      <c r="C49" s="8"/>
      <c r="D49" s="8"/>
      <c r="E49" s="8"/>
      <c r="F49" s="10"/>
      <c r="G49" s="10"/>
      <c r="H49" s="19"/>
      <c r="I49" s="11"/>
      <c r="J49" s="12"/>
      <c r="K49" s="12"/>
      <c r="L49" s="13"/>
      <c r="M49" s="13"/>
      <c r="N49" s="13"/>
      <c r="O49" s="13"/>
      <c r="P49" s="14"/>
      <c r="Q49" s="14"/>
      <c r="R49" s="11"/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 t="s">
        <v>109</v>
      </c>
      <c r="C50" s="8" t="s">
        <v>110</v>
      </c>
      <c r="D50" s="8">
        <v>2015</v>
      </c>
      <c r="E50" s="8"/>
      <c r="F50" s="26" t="str">
        <f>HYPERLINK("https://www.sciencedirect.com/science/article/pii/S1477842415000573")</f>
        <v>https://www.sciencedirect.com/science/article/pii/S1477842415000573</v>
      </c>
      <c r="G50" s="10"/>
      <c r="H50" s="19" t="str">
        <f t="shared" ref="H50:H81" si="1">IF(I50=R50,I50,IF(AND(I50="YES",R50="MAYBE"),"YES",IF(AND(I50="MAYBE",R50="YES"),"YES",IF(OR(AND(I50="NO",R50="YES"),AND(I50="YES",R50="NO")),"MAYBE","NO"))))</f>
        <v>NO</v>
      </c>
      <c r="I50" s="23" t="s">
        <v>21</v>
      </c>
      <c r="J50" s="12"/>
      <c r="K50" s="12"/>
      <c r="L50" s="24" t="b">
        <v>1</v>
      </c>
      <c r="M50" s="13"/>
      <c r="N50" s="13"/>
      <c r="O50" s="13"/>
      <c r="P50" s="14"/>
      <c r="Q50" s="14"/>
      <c r="R50" s="23" t="s">
        <v>21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111</v>
      </c>
      <c r="C51" s="8" t="s">
        <v>112</v>
      </c>
      <c r="D51" s="8">
        <v>2015</v>
      </c>
      <c r="E51" s="8"/>
      <c r="F51" s="26" t="str">
        <f>HYPERLINK("https://www.sciencedirect.com/science/article/pii/S1477842415000056")</f>
        <v>https://www.sciencedirect.com/science/article/pii/S1477842415000056</v>
      </c>
      <c r="G51" s="10"/>
      <c r="H51" s="19" t="str">
        <f t="shared" si="1"/>
        <v>NO</v>
      </c>
      <c r="I51" s="23" t="s">
        <v>21</v>
      </c>
      <c r="J51" s="12"/>
      <c r="K51" s="12"/>
      <c r="L51" s="24" t="b">
        <v>1</v>
      </c>
      <c r="M51" s="13"/>
      <c r="N51" s="13"/>
      <c r="O51" s="13"/>
      <c r="P51" s="14"/>
      <c r="Q51" s="14"/>
      <c r="R51" s="23" t="s">
        <v>21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 x14ac:dyDescent="0.2">
      <c r="A52" s="8"/>
      <c r="B52" s="8" t="s">
        <v>113</v>
      </c>
      <c r="C52" s="8" t="s">
        <v>114</v>
      </c>
      <c r="D52" s="8">
        <v>2016</v>
      </c>
      <c r="E52" s="8"/>
      <c r="F52" s="26" t="str">
        <f>HYPERLINK("https://dl.acm.org/doi/abs/10.1145/2950290.2950315")</f>
        <v>https://dl.acm.org/doi/abs/10.1145/2950290.2950315</v>
      </c>
      <c r="G52" s="10"/>
      <c r="H52" s="19" t="str">
        <f t="shared" si="1"/>
        <v>NO</v>
      </c>
      <c r="I52" s="23" t="s">
        <v>21</v>
      </c>
      <c r="J52" s="12"/>
      <c r="K52" s="12"/>
      <c r="L52" s="24" t="b">
        <v>1</v>
      </c>
      <c r="M52" s="13"/>
      <c r="N52" s="13"/>
      <c r="O52" s="13"/>
      <c r="P52" s="14"/>
      <c r="Q52" s="14"/>
      <c r="R52" s="23" t="s">
        <v>21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 x14ac:dyDescent="0.2">
      <c r="A53" s="8"/>
      <c r="B53" s="8" t="s">
        <v>115</v>
      </c>
      <c r="C53" s="8" t="s">
        <v>116</v>
      </c>
      <c r="D53" s="8">
        <v>2016</v>
      </c>
      <c r="E53" s="8"/>
      <c r="F53" s="26" t="str">
        <f>HYPERLINK("https://dl.acm.org/doi/abs/10.1145/2970276.2970298")</f>
        <v>https://dl.acm.org/doi/abs/10.1145/2970276.2970298</v>
      </c>
      <c r="G53" s="10"/>
      <c r="H53" s="19" t="str">
        <f t="shared" si="1"/>
        <v>NO</v>
      </c>
      <c r="I53" s="23" t="s">
        <v>21</v>
      </c>
      <c r="J53" s="12"/>
      <c r="K53" s="12"/>
      <c r="L53" s="24" t="b">
        <v>1</v>
      </c>
      <c r="M53" s="13"/>
      <c r="N53" s="13"/>
      <c r="O53" s="13"/>
      <c r="P53" s="14"/>
      <c r="Q53" s="14"/>
      <c r="R53" s="23" t="s">
        <v>21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8"/>
      <c r="B54" s="8" t="s">
        <v>117</v>
      </c>
      <c r="C54" s="8" t="s">
        <v>118</v>
      </c>
      <c r="D54" s="8">
        <v>2014</v>
      </c>
      <c r="E54" s="22"/>
      <c r="F54" s="17" t="str">
        <f>HYPERLINK("https://hal.inria.fr/hal-01074602/file/GEMOC2014-complete.pdf#page=13")</f>
        <v>https://hal.inria.fr/hal-01074602/file/GEMOC2014-complete.pdf#page=13</v>
      </c>
      <c r="G54" s="10"/>
      <c r="H54" s="19" t="str">
        <f t="shared" si="1"/>
        <v>MAYBE</v>
      </c>
      <c r="I54" s="30" t="s">
        <v>21</v>
      </c>
      <c r="J54" s="12"/>
      <c r="K54" s="12"/>
      <c r="L54" s="24" t="b">
        <v>1</v>
      </c>
      <c r="M54" s="13"/>
      <c r="N54" s="13"/>
      <c r="O54" s="13"/>
      <c r="P54" s="14"/>
      <c r="Q54" s="14"/>
      <c r="R54" s="30" t="s">
        <v>56</v>
      </c>
      <c r="S54" s="29" t="b">
        <v>1</v>
      </c>
      <c r="T54" s="29" t="b">
        <v>1</v>
      </c>
      <c r="U54" s="16"/>
      <c r="V54" s="16"/>
      <c r="W54" s="16"/>
      <c r="X54" s="16"/>
      <c r="Y54" s="16"/>
      <c r="Z54" s="16"/>
      <c r="AA54" s="7"/>
    </row>
    <row r="55" spans="1:27" ht="14.25" x14ac:dyDescent="0.2">
      <c r="A55" s="8"/>
      <c r="B55" s="8" t="s">
        <v>119</v>
      </c>
      <c r="C55" s="8" t="s">
        <v>120</v>
      </c>
      <c r="D55" s="8">
        <v>2017</v>
      </c>
      <c r="E55" s="8"/>
      <c r="F55" s="26" t="str">
        <f>HYPERLINK("https://dl.acm.org/doi/abs/10.1145/3093333.3009900")</f>
        <v>https://dl.acm.org/doi/abs/10.1145/3093333.3009900</v>
      </c>
      <c r="G55" s="10"/>
      <c r="H55" s="19" t="str">
        <f t="shared" si="1"/>
        <v>NO</v>
      </c>
      <c r="I55" s="23" t="s">
        <v>21</v>
      </c>
      <c r="J55" s="12"/>
      <c r="K55" s="12"/>
      <c r="L55" s="24" t="b">
        <v>1</v>
      </c>
      <c r="M55" s="13"/>
      <c r="N55" s="13"/>
      <c r="O55" s="13"/>
      <c r="P55" s="14"/>
      <c r="Q55" s="14"/>
      <c r="R55" s="27" t="s">
        <v>21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 t="s">
        <v>121</v>
      </c>
      <c r="C56" s="8" t="s">
        <v>122</v>
      </c>
      <c r="D56" s="8">
        <v>2016</v>
      </c>
      <c r="E56" s="8"/>
      <c r="F56" s="26" t="str">
        <f>HYPERLINK("https://ieeexplore.ieee.org/abstract/document/7816478/")</f>
        <v>https://ieeexplore.ieee.org/abstract/document/7816478/</v>
      </c>
      <c r="G56" s="10"/>
      <c r="H56" s="19" t="str">
        <f t="shared" si="1"/>
        <v>NO</v>
      </c>
      <c r="I56" s="23" t="s">
        <v>21</v>
      </c>
      <c r="J56" s="12"/>
      <c r="K56" s="12"/>
      <c r="L56" s="24" t="b">
        <v>1</v>
      </c>
      <c r="M56" s="13"/>
      <c r="N56" s="13"/>
      <c r="O56" s="13"/>
      <c r="P56" s="14"/>
      <c r="Q56" s="14"/>
      <c r="R56" s="23" t="s">
        <v>21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 x14ac:dyDescent="0.2">
      <c r="A57" s="8"/>
      <c r="B57" s="8" t="s">
        <v>123</v>
      </c>
      <c r="C57" s="8" t="s">
        <v>124</v>
      </c>
      <c r="D57" s="8">
        <v>2019</v>
      </c>
      <c r="E57" s="8"/>
      <c r="F57" s="26" t="str">
        <f>HYPERLINK("https://link.springer.com/article/10.1007/s10270-016-0575-4")</f>
        <v>https://link.springer.com/article/10.1007/s10270-016-0575-4</v>
      </c>
      <c r="G57" s="10"/>
      <c r="H57" s="19" t="str">
        <f t="shared" si="1"/>
        <v>NO</v>
      </c>
      <c r="I57" s="23" t="s">
        <v>21</v>
      </c>
      <c r="J57" s="12"/>
      <c r="K57" s="12"/>
      <c r="L57" s="24" t="b">
        <v>1</v>
      </c>
      <c r="M57" s="13"/>
      <c r="N57" s="13"/>
      <c r="O57" s="13"/>
      <c r="P57" s="14"/>
      <c r="Q57" s="14"/>
      <c r="R57" s="23" t="s">
        <v>21</v>
      </c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 x14ac:dyDescent="0.2">
      <c r="A58" s="8"/>
      <c r="B58" s="8" t="s">
        <v>125</v>
      </c>
      <c r="C58" s="8" t="s">
        <v>126</v>
      </c>
      <c r="D58" s="8">
        <v>2015</v>
      </c>
      <c r="E58" s="8"/>
      <c r="F58" s="26" t="str">
        <f>HYPERLINK("https://dl.acm.org/doi/abs/10.1145/2814270.2814276")</f>
        <v>https://dl.acm.org/doi/abs/10.1145/2814270.2814276</v>
      </c>
      <c r="G58" s="10"/>
      <c r="H58" s="19" t="str">
        <f t="shared" si="1"/>
        <v>NO</v>
      </c>
      <c r="I58" s="23" t="s">
        <v>21</v>
      </c>
      <c r="J58" s="12"/>
      <c r="K58" s="12"/>
      <c r="L58" s="24" t="b">
        <v>1</v>
      </c>
      <c r="M58" s="13"/>
      <c r="N58" s="13"/>
      <c r="O58" s="13"/>
      <c r="P58" s="14"/>
      <c r="Q58" s="14"/>
      <c r="R58" s="23" t="s">
        <v>21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 t="s">
        <v>127</v>
      </c>
      <c r="C59" s="8" t="s">
        <v>128</v>
      </c>
      <c r="D59" s="8">
        <v>2019</v>
      </c>
      <c r="E59" s="8"/>
      <c r="F59" s="26" t="str">
        <f>HYPERLINK("https://dl.acm.org/doi/abs/10.1145/3290327")</f>
        <v>https://dl.acm.org/doi/abs/10.1145/3290327</v>
      </c>
      <c r="G59" s="10"/>
      <c r="H59" s="19" t="str">
        <f t="shared" si="1"/>
        <v>NO</v>
      </c>
      <c r="I59" s="23" t="s">
        <v>21</v>
      </c>
      <c r="J59" s="12"/>
      <c r="K59" s="12"/>
      <c r="L59" s="24" t="b">
        <v>1</v>
      </c>
      <c r="M59" s="13"/>
      <c r="N59" s="13"/>
      <c r="O59" s="13"/>
      <c r="P59" s="14"/>
      <c r="Q59" s="14"/>
      <c r="R59" s="23" t="s">
        <v>21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 x14ac:dyDescent="0.2">
      <c r="A60" s="8"/>
      <c r="B60" s="8" t="s">
        <v>129</v>
      </c>
      <c r="C60" s="8" t="s">
        <v>130</v>
      </c>
      <c r="D60" s="8">
        <v>2010</v>
      </c>
      <c r="E60" s="8"/>
      <c r="F60" s="26" t="str">
        <f>HYPERLINK("https://ieeexplore.ieee.org/abstract/document/5591956/")</f>
        <v>https://ieeexplore.ieee.org/abstract/document/5591956/</v>
      </c>
      <c r="G60" s="10"/>
      <c r="H60" s="19" t="str">
        <f t="shared" si="1"/>
        <v>NO</v>
      </c>
      <c r="I60" s="23" t="s">
        <v>21</v>
      </c>
      <c r="J60" s="12"/>
      <c r="K60" s="12"/>
      <c r="L60" s="24" t="b">
        <v>1</v>
      </c>
      <c r="M60" s="13"/>
      <c r="N60" s="13"/>
      <c r="O60" s="13"/>
      <c r="P60" s="14"/>
      <c r="Q60" s="14"/>
      <c r="R60" s="23" t="s">
        <v>21</v>
      </c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 t="s">
        <v>131</v>
      </c>
      <c r="C61" s="8" t="s">
        <v>132</v>
      </c>
      <c r="D61" s="8">
        <v>2017</v>
      </c>
      <c r="E61" s="8"/>
      <c r="F61" s="26" t="str">
        <f>HYPERLINK("https://ieeexplore.ieee.org/abstract/document/7985694/")</f>
        <v>https://ieeexplore.ieee.org/abstract/document/7985694/</v>
      </c>
      <c r="G61" s="10"/>
      <c r="H61" s="19" t="str">
        <f t="shared" si="1"/>
        <v>MAYBE</v>
      </c>
      <c r="I61" s="23" t="s">
        <v>56</v>
      </c>
      <c r="J61" s="28" t="b">
        <v>1</v>
      </c>
      <c r="K61" s="28" t="b">
        <v>1</v>
      </c>
      <c r="L61" s="13"/>
      <c r="M61" s="13"/>
      <c r="N61" s="13"/>
      <c r="O61" s="13"/>
      <c r="P61" s="14"/>
      <c r="Q61" s="14"/>
      <c r="R61" s="23" t="s">
        <v>21</v>
      </c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 x14ac:dyDescent="0.2">
      <c r="A62" s="8"/>
      <c r="B62" s="8" t="s">
        <v>133</v>
      </c>
      <c r="C62" s="8" t="s">
        <v>134</v>
      </c>
      <c r="D62" s="8">
        <v>2017</v>
      </c>
      <c r="E62" s="8"/>
      <c r="F62" s="26" t="str">
        <f>HYPERLINK("https://arxiv.org/abs/1703.08694")</f>
        <v>https://arxiv.org/abs/1703.08694</v>
      </c>
      <c r="G62" s="10"/>
      <c r="H62" s="19" t="str">
        <f t="shared" si="1"/>
        <v>NO</v>
      </c>
      <c r="I62" s="23" t="s">
        <v>21</v>
      </c>
      <c r="J62" s="12"/>
      <c r="K62" s="12"/>
      <c r="L62" s="24" t="b">
        <v>1</v>
      </c>
      <c r="M62" s="13"/>
      <c r="N62" s="13"/>
      <c r="O62" s="13"/>
      <c r="P62" s="14"/>
      <c r="Q62" s="14"/>
      <c r="R62" s="23" t="s">
        <v>21</v>
      </c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 x14ac:dyDescent="0.2">
      <c r="A63" s="8"/>
      <c r="B63" s="8" t="s">
        <v>135</v>
      </c>
      <c r="C63" s="8" t="s">
        <v>136</v>
      </c>
      <c r="D63" s="8">
        <v>2018</v>
      </c>
      <c r="E63" s="8"/>
      <c r="F63" s="26" t="str">
        <f>HYPERLINK("https://ieeexplore.ieee.org/abstract/document/8418647/")</f>
        <v>https://ieeexplore.ieee.org/abstract/document/8418647/</v>
      </c>
      <c r="G63" s="10"/>
      <c r="H63" s="19" t="str">
        <f t="shared" si="1"/>
        <v>NO</v>
      </c>
      <c r="I63" s="23" t="s">
        <v>21</v>
      </c>
      <c r="J63" s="12"/>
      <c r="K63" s="12"/>
      <c r="L63" s="24" t="b">
        <v>1</v>
      </c>
      <c r="M63" s="13"/>
      <c r="N63" s="13"/>
      <c r="O63" s="13"/>
      <c r="P63" s="14"/>
      <c r="Q63" s="14"/>
      <c r="R63" s="27" t="s">
        <v>21</v>
      </c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4.25" x14ac:dyDescent="0.2">
      <c r="A64" s="8"/>
      <c r="B64" s="8" t="s">
        <v>137</v>
      </c>
      <c r="C64" s="8" t="s">
        <v>138</v>
      </c>
      <c r="D64" s="8">
        <v>2016</v>
      </c>
      <c r="E64" s="8"/>
      <c r="F64" s="26" t="str">
        <f>HYPERLINK("https://dl.acm.org/doi/abs/10.1145/2997364.2997365")</f>
        <v>https://dl.acm.org/doi/abs/10.1145/2997364.2997365</v>
      </c>
      <c r="G64" s="10"/>
      <c r="H64" s="19" t="str">
        <f t="shared" si="1"/>
        <v>NO</v>
      </c>
      <c r="I64" s="23" t="s">
        <v>21</v>
      </c>
      <c r="J64" s="12"/>
      <c r="K64" s="12"/>
      <c r="L64" s="24" t="b">
        <v>1</v>
      </c>
      <c r="M64" s="13"/>
      <c r="N64" s="13"/>
      <c r="O64" s="13"/>
      <c r="P64" s="14"/>
      <c r="Q64" s="14"/>
      <c r="R64" s="23" t="s">
        <v>21</v>
      </c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4.25" x14ac:dyDescent="0.2">
      <c r="A65" s="8"/>
      <c r="B65" s="8" t="s">
        <v>139</v>
      </c>
      <c r="C65" s="8" t="s">
        <v>140</v>
      </c>
      <c r="D65" s="8">
        <v>2019</v>
      </c>
      <c r="E65" s="8"/>
      <c r="F65" s="26" t="str">
        <f>HYPERLINK("https://link.springer.com/chapter/10.1007/978-3-319-91908-9_17")</f>
        <v>https://link.springer.com/chapter/10.1007/978-3-319-91908-9_17</v>
      </c>
      <c r="G65" s="10"/>
      <c r="H65" s="19" t="str">
        <f t="shared" si="1"/>
        <v>NO</v>
      </c>
      <c r="I65" s="27" t="s">
        <v>21</v>
      </c>
      <c r="J65" s="12"/>
      <c r="K65" s="12"/>
      <c r="L65" s="24" t="b">
        <v>1</v>
      </c>
      <c r="M65" s="13"/>
      <c r="N65" s="13"/>
      <c r="O65" s="13"/>
      <c r="P65" s="14"/>
      <c r="Q65" s="14"/>
      <c r="R65" s="27" t="s">
        <v>21</v>
      </c>
      <c r="S65" s="15"/>
      <c r="T65" s="15"/>
      <c r="U65" s="16"/>
      <c r="V65" s="16"/>
      <c r="W65" s="16"/>
      <c r="X65" s="16"/>
      <c r="Y65" s="16"/>
      <c r="Z65" s="16"/>
      <c r="AA65" s="7"/>
    </row>
    <row r="66" spans="1:27" ht="14.25" x14ac:dyDescent="0.2">
      <c r="A66" s="8"/>
      <c r="B66" s="8" t="s">
        <v>141</v>
      </c>
      <c r="C66" s="8" t="s">
        <v>142</v>
      </c>
      <c r="D66" s="8">
        <v>2017</v>
      </c>
      <c r="E66" s="8"/>
      <c r="F66" s="26" t="str">
        <f>HYPERLINK("https://www.researchgate.net/profile/Amjad_Altadmri/publication/320446262_Frame-Based_Editing/links/59eb23bb4585151983c81890/Frame-Based-Editing.pdf")</f>
        <v>https://www.researchgate.net/profile/Amjad_Altadmri/publication/320446262_Frame-Based_Editing/links/59eb23bb4585151983c81890/Frame-Based-Editing.pdf</v>
      </c>
      <c r="G66" s="10"/>
      <c r="H66" s="19" t="str">
        <f t="shared" si="1"/>
        <v>NO</v>
      </c>
      <c r="I66" s="23" t="s">
        <v>57</v>
      </c>
      <c r="J66" s="28" t="b">
        <v>1</v>
      </c>
      <c r="K66" s="28" t="b">
        <v>1</v>
      </c>
      <c r="L66" s="13"/>
      <c r="M66" s="13"/>
      <c r="N66" s="13"/>
      <c r="O66" s="13"/>
      <c r="P66" s="14"/>
      <c r="Q66" s="14"/>
      <c r="R66" s="23" t="s">
        <v>21</v>
      </c>
      <c r="S66" s="15"/>
      <c r="T66" s="15"/>
      <c r="U66" s="16"/>
      <c r="V66" s="16"/>
      <c r="W66" s="16"/>
      <c r="X66" s="16"/>
      <c r="Y66" s="16"/>
      <c r="Z66" s="16"/>
      <c r="AA66" s="7"/>
    </row>
    <row r="67" spans="1:27" ht="14.25" x14ac:dyDescent="0.2">
      <c r="A67" s="8"/>
      <c r="B67" s="8" t="s">
        <v>143</v>
      </c>
      <c r="C67" s="8" t="s">
        <v>144</v>
      </c>
      <c r="D67" s="8">
        <v>2017</v>
      </c>
      <c r="E67" s="8"/>
      <c r="F67" s="26" t="str">
        <f>HYPERLINK("https://link.springer.com/chapter/10.1007/978-3-662-54494-5_9")</f>
        <v>https://link.springer.com/chapter/10.1007/978-3-662-54494-5_9</v>
      </c>
      <c r="G67" s="10"/>
      <c r="H67" s="19" t="str">
        <f t="shared" si="1"/>
        <v>NO</v>
      </c>
      <c r="I67" s="23" t="s">
        <v>21</v>
      </c>
      <c r="J67" s="12"/>
      <c r="K67" s="12"/>
      <c r="L67" s="24" t="b">
        <v>1</v>
      </c>
      <c r="M67" s="13"/>
      <c r="N67" s="13"/>
      <c r="O67" s="13"/>
      <c r="P67" s="14"/>
      <c r="Q67" s="14"/>
      <c r="R67" s="23" t="s">
        <v>21</v>
      </c>
      <c r="S67" s="15"/>
      <c r="T67" s="15"/>
      <c r="U67" s="16"/>
      <c r="V67" s="16"/>
      <c r="W67" s="16"/>
      <c r="X67" s="16"/>
      <c r="Y67" s="16"/>
      <c r="Z67" s="16"/>
      <c r="AA67" s="7"/>
    </row>
    <row r="68" spans="1:27" ht="14.25" x14ac:dyDescent="0.2">
      <c r="A68" s="8"/>
      <c r="B68" s="8" t="s">
        <v>145</v>
      </c>
      <c r="C68" s="8" t="s">
        <v>146</v>
      </c>
      <c r="D68" s="8">
        <v>2015</v>
      </c>
      <c r="E68" s="8"/>
      <c r="F68" s="26" t="str">
        <f>HYPERLINK("https://dl.acm.org/doi/abs/10.1145/2814251.2814253")</f>
        <v>https://dl.acm.org/doi/abs/10.1145/2814251.2814253</v>
      </c>
      <c r="G68" s="10"/>
      <c r="H68" s="19" t="str">
        <f t="shared" si="1"/>
        <v>MAYBE</v>
      </c>
      <c r="I68" s="23" t="s">
        <v>56</v>
      </c>
      <c r="J68" s="28" t="b">
        <v>1</v>
      </c>
      <c r="K68" s="28" t="b">
        <v>1</v>
      </c>
      <c r="L68" s="13"/>
      <c r="M68" s="13"/>
      <c r="N68" s="13"/>
      <c r="O68" s="13"/>
      <c r="P68" s="14"/>
      <c r="Q68" s="14"/>
      <c r="R68" s="23" t="s">
        <v>21</v>
      </c>
      <c r="S68" s="29" t="b">
        <v>1</v>
      </c>
      <c r="T68" s="29" t="b">
        <v>1</v>
      </c>
      <c r="U68" s="16"/>
      <c r="V68" s="16"/>
      <c r="W68" s="16"/>
      <c r="X68" s="16"/>
      <c r="Y68" s="16"/>
      <c r="Z68" s="16"/>
      <c r="AA68" s="7"/>
    </row>
    <row r="69" spans="1:27" ht="14.25" x14ac:dyDescent="0.2">
      <c r="A69" s="8"/>
      <c r="B69" s="8" t="s">
        <v>147</v>
      </c>
      <c r="C69" s="8" t="s">
        <v>148</v>
      </c>
      <c r="D69" s="8">
        <v>2016</v>
      </c>
      <c r="E69" s="8"/>
      <c r="F69" s="26" t="str">
        <f>HYPERLINK("https://dl.acm.org/doi/abs/10.1145/2997364.2997374")</f>
        <v>https://dl.acm.org/doi/abs/10.1145/2997364.2997374</v>
      </c>
      <c r="G69" s="10"/>
      <c r="H69" s="19" t="str">
        <f t="shared" si="1"/>
        <v>NO</v>
      </c>
      <c r="I69" s="30" t="s">
        <v>21</v>
      </c>
      <c r="J69" s="12"/>
      <c r="K69" s="12"/>
      <c r="L69" s="24" t="b">
        <v>1</v>
      </c>
      <c r="M69" s="13"/>
      <c r="N69" s="13"/>
      <c r="O69" s="13"/>
      <c r="P69" s="14"/>
      <c r="Q69" s="14"/>
      <c r="R69" s="27" t="s">
        <v>21</v>
      </c>
      <c r="S69" s="15"/>
      <c r="T69" s="15"/>
      <c r="U69" s="16"/>
      <c r="V69" s="16"/>
      <c r="W69" s="16"/>
      <c r="X69" s="16"/>
      <c r="Y69" s="16"/>
      <c r="Z69" s="16"/>
      <c r="AA69" s="7"/>
    </row>
    <row r="70" spans="1:27" ht="14.25" x14ac:dyDescent="0.2">
      <c r="A70" s="8"/>
      <c r="B70" s="8" t="s">
        <v>149</v>
      </c>
      <c r="C70" s="8" t="s">
        <v>150</v>
      </c>
      <c r="D70" s="8">
        <v>2006</v>
      </c>
      <c r="E70" s="8"/>
      <c r="F70" s="26" t="str">
        <f>HYPERLINK("https://ieeexplore.ieee.org/abstract/document/1699923/")</f>
        <v>https://ieeexplore.ieee.org/abstract/document/1699923/</v>
      </c>
      <c r="G70" s="10"/>
      <c r="H70" s="19" t="str">
        <f t="shared" si="1"/>
        <v>NO</v>
      </c>
      <c r="I70" s="23" t="s">
        <v>21</v>
      </c>
      <c r="J70" s="12"/>
      <c r="K70" s="12"/>
      <c r="L70" s="13"/>
      <c r="M70" s="13"/>
      <c r="N70" s="13"/>
      <c r="O70" s="13"/>
      <c r="P70" s="14"/>
      <c r="Q70" s="14"/>
      <c r="R70" s="23" t="s">
        <v>21</v>
      </c>
      <c r="S70" s="15"/>
      <c r="T70" s="15"/>
      <c r="U70" s="16"/>
      <c r="V70" s="16"/>
      <c r="W70" s="16"/>
      <c r="X70" s="16"/>
      <c r="Y70" s="16"/>
      <c r="Z70" s="16"/>
      <c r="AA70" s="7"/>
    </row>
    <row r="71" spans="1:27" ht="14.25" x14ac:dyDescent="0.2">
      <c r="A71" s="8"/>
      <c r="B71" s="8" t="s">
        <v>151</v>
      </c>
      <c r="C71" s="8" t="s">
        <v>152</v>
      </c>
      <c r="D71" s="8">
        <v>2018</v>
      </c>
      <c r="E71" s="8"/>
      <c r="F71" s="26" t="str">
        <f>HYPERLINK("https://www.sciencedirect.com/science/article/pii/S1045926X18301861")</f>
        <v>https://www.sciencedirect.com/science/article/pii/S1045926X18301861</v>
      </c>
      <c r="G71" s="10"/>
      <c r="H71" s="19" t="str">
        <f t="shared" si="1"/>
        <v>NO</v>
      </c>
      <c r="I71" s="23" t="s">
        <v>57</v>
      </c>
      <c r="J71" s="28" t="b">
        <v>1</v>
      </c>
      <c r="K71" s="28" t="b">
        <v>1</v>
      </c>
      <c r="L71" s="13"/>
      <c r="M71" s="13"/>
      <c r="N71" s="13"/>
      <c r="O71" s="13"/>
      <c r="P71" s="14"/>
      <c r="Q71" s="14"/>
      <c r="R71" s="23" t="s">
        <v>21</v>
      </c>
      <c r="S71" s="15"/>
      <c r="T71" s="15"/>
      <c r="U71" s="16"/>
      <c r="V71" s="16"/>
      <c r="W71" s="16"/>
      <c r="X71" s="16"/>
      <c r="Y71" s="16"/>
      <c r="Z71" s="16"/>
      <c r="AA71" s="7"/>
    </row>
    <row r="72" spans="1:27" ht="14.25" x14ac:dyDescent="0.2">
      <c r="A72" s="8"/>
      <c r="B72" s="8" t="s">
        <v>153</v>
      </c>
      <c r="C72" s="8" t="s">
        <v>154</v>
      </c>
      <c r="D72" s="8">
        <v>2019</v>
      </c>
      <c r="E72" s="8"/>
      <c r="F72" s="26" t="str">
        <f>HYPERLINK("https://ieeexplore.ieee.org/abstract/document/8811913/")</f>
        <v>https://ieeexplore.ieee.org/abstract/document/8811913/</v>
      </c>
      <c r="G72" s="10"/>
      <c r="H72" s="19" t="str">
        <f t="shared" si="1"/>
        <v>NO</v>
      </c>
      <c r="I72" s="23" t="s">
        <v>21</v>
      </c>
      <c r="J72" s="12"/>
      <c r="K72" s="12"/>
      <c r="L72" s="13"/>
      <c r="M72" s="13"/>
      <c r="N72" s="13"/>
      <c r="O72" s="13"/>
      <c r="P72" s="14"/>
      <c r="Q72" s="14"/>
      <c r="R72" s="23" t="s">
        <v>21</v>
      </c>
      <c r="S72" s="15"/>
      <c r="T72" s="15"/>
      <c r="U72" s="16"/>
      <c r="V72" s="16"/>
      <c r="W72" s="16"/>
      <c r="X72" s="16"/>
      <c r="Y72" s="16"/>
      <c r="Z72" s="16"/>
      <c r="AA72" s="7"/>
    </row>
    <row r="73" spans="1:27" ht="14.25" x14ac:dyDescent="0.2">
      <c r="A73" s="8"/>
      <c r="B73" s="8" t="s">
        <v>155</v>
      </c>
      <c r="C73" s="8" t="s">
        <v>156</v>
      </c>
      <c r="D73" s="8">
        <v>2017</v>
      </c>
      <c r="E73" s="8"/>
      <c r="F73" s="26" t="str">
        <f>HYPERLINK("https://www.sciencedirect.com/science/article/pii/S1477842416301269")</f>
        <v>https://www.sciencedirect.com/science/article/pii/S1477842416301269</v>
      </c>
      <c r="G73" s="10"/>
      <c r="H73" s="19" t="str">
        <f t="shared" si="1"/>
        <v>NO</v>
      </c>
      <c r="I73" s="23" t="s">
        <v>21</v>
      </c>
      <c r="J73" s="12"/>
      <c r="K73" s="12"/>
      <c r="L73" s="13"/>
      <c r="M73" s="13"/>
      <c r="N73" s="13"/>
      <c r="O73" s="13"/>
      <c r="P73" s="14"/>
      <c r="Q73" s="14"/>
      <c r="R73" s="23" t="s">
        <v>21</v>
      </c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4.25" x14ac:dyDescent="0.2">
      <c r="A74" s="8"/>
      <c r="B74" s="8" t="s">
        <v>157</v>
      </c>
      <c r="C74" s="8" t="s">
        <v>158</v>
      </c>
      <c r="D74" s="8">
        <v>2017</v>
      </c>
      <c r="E74" s="8"/>
      <c r="F74" s="26" t="str">
        <f>HYPERLINK("https://dl.acm.org/doi/abs/10.1145/3136014.3136034")</f>
        <v>https://dl.acm.org/doi/abs/10.1145/3136014.3136034</v>
      </c>
      <c r="G74" s="10"/>
      <c r="H74" s="19" t="str">
        <f t="shared" si="1"/>
        <v>NO</v>
      </c>
      <c r="I74" s="23" t="s">
        <v>21</v>
      </c>
      <c r="J74" s="12"/>
      <c r="K74" s="12"/>
      <c r="L74" s="24" t="b">
        <v>1</v>
      </c>
      <c r="M74" s="13"/>
      <c r="N74" s="13"/>
      <c r="O74" s="13"/>
      <c r="P74" s="14"/>
      <c r="Q74" s="14"/>
      <c r="R74" s="23" t="s">
        <v>21</v>
      </c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4.25" x14ac:dyDescent="0.2">
      <c r="A75" s="8"/>
      <c r="B75" s="8" t="s">
        <v>159</v>
      </c>
      <c r="C75" s="8" t="s">
        <v>160</v>
      </c>
      <c r="D75" s="8">
        <v>2018</v>
      </c>
      <c r="E75" s="8"/>
      <c r="F75" s="26" t="str">
        <f>HYPERLINK("https://dl.acm.org/doi/abs/10.1145/3276509")</f>
        <v>https://dl.acm.org/doi/abs/10.1145/3276509</v>
      </c>
      <c r="G75" s="10"/>
      <c r="H75" s="19" t="str">
        <f t="shared" si="1"/>
        <v>NO</v>
      </c>
      <c r="I75" s="30" t="s">
        <v>21</v>
      </c>
      <c r="J75" s="12"/>
      <c r="K75" s="12"/>
      <c r="L75" s="24" t="b">
        <v>1</v>
      </c>
      <c r="M75" s="13"/>
      <c r="N75" s="13"/>
      <c r="O75" s="13"/>
      <c r="P75" s="14"/>
      <c r="Q75" s="14"/>
      <c r="R75" s="23" t="s">
        <v>21</v>
      </c>
      <c r="S75" s="15"/>
      <c r="T75" s="15"/>
      <c r="U75" s="16"/>
      <c r="V75" s="16"/>
      <c r="W75" s="16"/>
      <c r="X75" s="16"/>
      <c r="Y75" s="16"/>
      <c r="Z75" s="16"/>
      <c r="AA75" s="7"/>
    </row>
    <row r="76" spans="1:27" ht="14.25" x14ac:dyDescent="0.2">
      <c r="A76" s="8"/>
      <c r="B76" s="8" t="s">
        <v>161</v>
      </c>
      <c r="C76" s="8" t="s">
        <v>162</v>
      </c>
      <c r="D76" s="8">
        <v>2017</v>
      </c>
      <c r="E76" s="8"/>
      <c r="F76" s="26" t="str">
        <f>HYPERLINK("https://ieeexplore.ieee.org/abstract/document/8101253/")</f>
        <v>https://ieeexplore.ieee.org/abstract/document/8101253/</v>
      </c>
      <c r="G76" s="10"/>
      <c r="H76" s="19" t="str">
        <f t="shared" si="1"/>
        <v>NO</v>
      </c>
      <c r="I76" s="23" t="s">
        <v>21</v>
      </c>
      <c r="J76" s="12"/>
      <c r="K76" s="12"/>
      <c r="L76" s="24" t="b">
        <v>1</v>
      </c>
      <c r="M76" s="13"/>
      <c r="N76" s="13"/>
      <c r="O76" s="13"/>
      <c r="P76" s="14"/>
      <c r="Q76" s="14"/>
      <c r="R76" s="23" t="s">
        <v>21</v>
      </c>
      <c r="S76" s="15"/>
      <c r="T76" s="15"/>
      <c r="U76" s="16"/>
      <c r="V76" s="16"/>
      <c r="W76" s="16"/>
      <c r="X76" s="16"/>
      <c r="Y76" s="16"/>
      <c r="Z76" s="16"/>
      <c r="AA76" s="7"/>
    </row>
    <row r="77" spans="1:27" ht="14.25" x14ac:dyDescent="0.2">
      <c r="A77" s="8"/>
      <c r="B77" s="8" t="s">
        <v>163</v>
      </c>
      <c r="C77" s="8" t="s">
        <v>164</v>
      </c>
      <c r="D77" s="8">
        <v>2016</v>
      </c>
      <c r="E77" s="8"/>
      <c r="F77" s="26" t="str">
        <f>HYPERLINK("https://dl.acm.org/doi/abs/10.1145/2851613.2851791")</f>
        <v>https://dl.acm.org/doi/abs/10.1145/2851613.2851791</v>
      </c>
      <c r="G77" s="10"/>
      <c r="H77" s="19" t="str">
        <f t="shared" si="1"/>
        <v>NO</v>
      </c>
      <c r="I77" s="23" t="s">
        <v>21</v>
      </c>
      <c r="J77" s="12"/>
      <c r="K77" s="12"/>
      <c r="L77" s="24" t="b">
        <v>1</v>
      </c>
      <c r="M77" s="13"/>
      <c r="N77" s="13"/>
      <c r="O77" s="13"/>
      <c r="P77" s="14"/>
      <c r="Q77" s="14"/>
      <c r="R77" s="23" t="s">
        <v>21</v>
      </c>
      <c r="S77" s="15"/>
      <c r="T77" s="15"/>
      <c r="U77" s="16"/>
      <c r="V77" s="16"/>
      <c r="W77" s="16"/>
      <c r="X77" s="16"/>
      <c r="Y77" s="16"/>
      <c r="Z77" s="16"/>
      <c r="AA77" s="7"/>
    </row>
    <row r="78" spans="1:27" ht="14.25" x14ac:dyDescent="0.2">
      <c r="A78" s="8"/>
      <c r="B78" s="8" t="s">
        <v>165</v>
      </c>
      <c r="C78" s="8" t="s">
        <v>166</v>
      </c>
      <c r="D78" s="8">
        <v>2014</v>
      </c>
      <c r="E78" s="8"/>
      <c r="F78" s="26" t="str">
        <f>HYPERLINK("https://dl.acm.org/doi/abs/10.1145/2635868.2666605")</f>
        <v>https://dl.acm.org/doi/abs/10.1145/2635868.2666605</v>
      </c>
      <c r="G78" s="10"/>
      <c r="H78" s="19" t="str">
        <f t="shared" si="1"/>
        <v>NO</v>
      </c>
      <c r="I78" s="23" t="s">
        <v>21</v>
      </c>
      <c r="J78" s="12"/>
      <c r="K78" s="12"/>
      <c r="L78" s="24" t="b">
        <v>1</v>
      </c>
      <c r="M78" s="13"/>
      <c r="N78" s="13"/>
      <c r="O78" s="13"/>
      <c r="P78" s="14"/>
      <c r="Q78" s="14"/>
      <c r="R78" s="23" t="s">
        <v>21</v>
      </c>
      <c r="S78" s="15"/>
      <c r="T78" s="15"/>
      <c r="U78" s="16"/>
      <c r="V78" s="16"/>
      <c r="W78" s="16"/>
      <c r="X78" s="16"/>
      <c r="Y78" s="16"/>
      <c r="Z78" s="16"/>
      <c r="AA78" s="7"/>
    </row>
    <row r="79" spans="1:27" ht="14.25" x14ac:dyDescent="0.2">
      <c r="A79" s="8"/>
      <c r="B79" s="8" t="s">
        <v>167</v>
      </c>
      <c r="C79" s="8" t="s">
        <v>168</v>
      </c>
      <c r="D79" s="8">
        <v>2015</v>
      </c>
      <c r="E79" s="8"/>
      <c r="F79" s="26" t="str">
        <f>HYPERLINK("https://dl.acm.org/doi/abs/10.1145/2814204.2814215")</f>
        <v>https://dl.acm.org/doi/abs/10.1145/2814204.2814215</v>
      </c>
      <c r="G79" s="10"/>
      <c r="H79" s="19" t="str">
        <f t="shared" si="1"/>
        <v>NO</v>
      </c>
      <c r="I79" s="23" t="s">
        <v>21</v>
      </c>
      <c r="J79" s="28" t="b">
        <v>1</v>
      </c>
      <c r="K79" s="12"/>
      <c r="L79" s="13"/>
      <c r="M79" s="13"/>
      <c r="N79" s="13"/>
      <c r="O79" s="13"/>
      <c r="P79" s="14"/>
      <c r="Q79" s="14"/>
      <c r="R79" s="23" t="s">
        <v>21</v>
      </c>
      <c r="S79" s="15"/>
      <c r="T79" s="15"/>
      <c r="U79" s="16"/>
      <c r="V79" s="16"/>
      <c r="W79" s="16"/>
      <c r="X79" s="16"/>
      <c r="Y79" s="16"/>
      <c r="Z79" s="16"/>
      <c r="AA79" s="7"/>
    </row>
    <row r="80" spans="1:27" ht="14.25" x14ac:dyDescent="0.2">
      <c r="A80" s="8"/>
      <c r="B80" s="8" t="s">
        <v>169</v>
      </c>
      <c r="C80" s="8" t="s">
        <v>170</v>
      </c>
      <c r="D80" s="8">
        <v>2007</v>
      </c>
      <c r="E80" s="8"/>
      <c r="F80" s="26" t="str">
        <f>HYPERLINK("https://ieeexplore.ieee.org/abstract/document/4211829/")</f>
        <v>https://ieeexplore.ieee.org/abstract/document/4211829/</v>
      </c>
      <c r="G80" s="10"/>
      <c r="H80" s="19" t="str">
        <f t="shared" si="1"/>
        <v>NO</v>
      </c>
      <c r="I80" s="23" t="s">
        <v>21</v>
      </c>
      <c r="J80" s="12"/>
      <c r="K80" s="12"/>
      <c r="L80" s="24" t="b">
        <v>1</v>
      </c>
      <c r="M80" s="13"/>
      <c r="N80" s="13"/>
      <c r="O80" s="13"/>
      <c r="P80" s="14"/>
      <c r="Q80" s="14"/>
      <c r="R80" s="23" t="s">
        <v>21</v>
      </c>
      <c r="S80" s="15"/>
      <c r="T80" s="15"/>
      <c r="U80" s="16"/>
      <c r="V80" s="16"/>
      <c r="W80" s="16"/>
      <c r="X80" s="16"/>
      <c r="Y80" s="16"/>
      <c r="Z80" s="16"/>
      <c r="AA80" s="7"/>
    </row>
    <row r="81" spans="1:27" ht="14.25" x14ac:dyDescent="0.2">
      <c r="A81" s="8"/>
      <c r="B81" s="8" t="s">
        <v>171</v>
      </c>
      <c r="C81" s="8" t="s">
        <v>172</v>
      </c>
      <c r="D81" s="8">
        <v>2018</v>
      </c>
      <c r="E81" s="8"/>
      <c r="F81" s="26" t="str">
        <f>HYPERLINK("https://repository.lib.ncsu.edu/bitstream/handle/1840.20/35439/etd.pdf?sequence=1")</f>
        <v>https://repository.lib.ncsu.edu/bitstream/handle/1840.20/35439/etd.pdf?sequence=1</v>
      </c>
      <c r="G81" s="10"/>
      <c r="H81" s="19" t="str">
        <f t="shared" si="1"/>
        <v>NO</v>
      </c>
      <c r="I81" s="23" t="s">
        <v>21</v>
      </c>
      <c r="J81" s="12"/>
      <c r="K81" s="12"/>
      <c r="L81" s="24" t="b">
        <v>1</v>
      </c>
      <c r="M81" s="13"/>
      <c r="N81" s="13"/>
      <c r="O81" s="13"/>
      <c r="P81" s="14"/>
      <c r="Q81" s="24" t="b">
        <v>1</v>
      </c>
      <c r="R81" s="23" t="s">
        <v>21</v>
      </c>
      <c r="S81" s="15"/>
      <c r="T81" s="15"/>
      <c r="U81" s="16"/>
      <c r="V81" s="16"/>
      <c r="W81" s="16"/>
      <c r="X81" s="16"/>
      <c r="Y81" s="16"/>
      <c r="Z81" s="16"/>
      <c r="AA81" s="7"/>
    </row>
    <row r="82" spans="1:27" ht="14.25" x14ac:dyDescent="0.2">
      <c r="A82" s="8"/>
      <c r="B82" s="8" t="s">
        <v>173</v>
      </c>
      <c r="C82" s="8" t="s">
        <v>174</v>
      </c>
      <c r="D82" s="8">
        <v>2015</v>
      </c>
      <c r="E82" s="8"/>
      <c r="F82" s="26" t="str">
        <f>HYPERLINK("https://www.researchgate.net/profile/Michal_Bystricky2/publication/286875300_Challenges_in_preserving_intent_comprehensibility_in_software/links/569a54cd08aea147694a4691/Challenges-in-preserving-intent-comprehensibility-in-software.pdf")</f>
        <v>https://www.researchgate.net/profile/Michal_Bystricky2/publication/286875300_Challenges_in_preserving_intent_comprehensibility_in_software/links/569a54cd08aea147694a4691/Challenges-in-preserving-intent-comprehensibility-in-software.pdf</v>
      </c>
      <c r="G82" s="10"/>
      <c r="H82" s="19" t="str">
        <f t="shared" ref="H82:H113" si="2">IF(I82=R82,I82,IF(AND(I82="YES",R82="MAYBE"),"YES",IF(AND(I82="MAYBE",R82="YES"),"YES",IF(OR(AND(I82="NO",R82="YES"),AND(I82="YES",R82="NO")),"MAYBE","NO"))))</f>
        <v>NO</v>
      </c>
      <c r="I82" s="23" t="s">
        <v>21</v>
      </c>
      <c r="J82" s="12"/>
      <c r="K82" s="12"/>
      <c r="L82" s="24" t="b">
        <v>1</v>
      </c>
      <c r="M82" s="13"/>
      <c r="N82" s="13"/>
      <c r="O82" s="13"/>
      <c r="P82" s="14"/>
      <c r="Q82" s="14"/>
      <c r="R82" s="23" t="s">
        <v>21</v>
      </c>
      <c r="S82" s="15"/>
      <c r="T82" s="15"/>
      <c r="U82" s="16"/>
      <c r="V82" s="16"/>
      <c r="W82" s="16"/>
      <c r="X82" s="16"/>
      <c r="Y82" s="16"/>
      <c r="Z82" s="16"/>
      <c r="AA82" s="7"/>
    </row>
    <row r="83" spans="1:27" ht="14.25" x14ac:dyDescent="0.2">
      <c r="A83" s="8"/>
      <c r="B83" s="8" t="s">
        <v>175</v>
      </c>
      <c r="C83" s="8" t="s">
        <v>176</v>
      </c>
      <c r="D83" s="8">
        <v>2018</v>
      </c>
      <c r="E83" s="8"/>
      <c r="F83" s="26" t="str">
        <f>HYPERLINK("https://arxiv.org/abs/1805.05125")</f>
        <v>https://arxiv.org/abs/1805.05125</v>
      </c>
      <c r="G83" s="10"/>
      <c r="H83" s="19" t="str">
        <f t="shared" si="2"/>
        <v>NO</v>
      </c>
      <c r="I83" s="27" t="s">
        <v>57</v>
      </c>
      <c r="J83" s="28" t="b">
        <v>0</v>
      </c>
      <c r="K83" s="28" t="b">
        <v>1</v>
      </c>
      <c r="L83" s="13"/>
      <c r="M83" s="13"/>
      <c r="N83" s="13"/>
      <c r="O83" s="13"/>
      <c r="P83" s="14"/>
      <c r="Q83" s="14"/>
      <c r="R83" s="23" t="s">
        <v>21</v>
      </c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4.25" x14ac:dyDescent="0.2">
      <c r="A84" s="8"/>
      <c r="B84" s="8" t="s">
        <v>177</v>
      </c>
      <c r="C84" s="8" t="s">
        <v>178</v>
      </c>
      <c r="D84" s="8">
        <v>2016</v>
      </c>
      <c r="E84" s="22"/>
      <c r="F84" s="26" t="str">
        <f>HYPERLINK("https://conf.researchr.org/getImage/live-2016/orig/LIVE_2016_paper_1.pdf")</f>
        <v>https://conf.researchr.org/getImage/live-2016/orig/LIVE_2016_paper_1.pdf</v>
      </c>
      <c r="G84" s="10"/>
      <c r="H84" s="19" t="str">
        <f t="shared" si="2"/>
        <v>NO</v>
      </c>
      <c r="I84" s="23" t="s">
        <v>21</v>
      </c>
      <c r="J84" s="12"/>
      <c r="K84" s="12"/>
      <c r="L84" s="24" t="b">
        <v>1</v>
      </c>
      <c r="M84" s="13"/>
      <c r="N84" s="13"/>
      <c r="O84" s="13"/>
      <c r="P84" s="14"/>
      <c r="Q84" s="14"/>
      <c r="R84" s="23" t="s">
        <v>21</v>
      </c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4.25" x14ac:dyDescent="0.2">
      <c r="A85" s="8"/>
      <c r="B85" s="8" t="s">
        <v>179</v>
      </c>
      <c r="C85" s="8" t="s">
        <v>180</v>
      </c>
      <c r="D85" s="8">
        <v>2017</v>
      </c>
      <c r="E85" s="8"/>
      <c r="F85" s="26" t="str">
        <f>HYPERLINK("https://iclc.toplap.org/2017/cameraReady/ICLC_2017_paper_78.pdf")</f>
        <v>https://iclc.toplap.org/2017/cameraReady/ICLC_2017_paper_78.pdf</v>
      </c>
      <c r="G85" s="10"/>
      <c r="H85" s="19" t="str">
        <f t="shared" si="2"/>
        <v>NO</v>
      </c>
      <c r="I85" s="23" t="s">
        <v>21</v>
      </c>
      <c r="J85" s="12"/>
      <c r="K85" s="12"/>
      <c r="L85" s="13"/>
      <c r="M85" s="13"/>
      <c r="N85" s="13"/>
      <c r="O85" s="13"/>
      <c r="P85" s="14"/>
      <c r="Q85" s="14"/>
      <c r="R85" s="23" t="s">
        <v>21</v>
      </c>
      <c r="S85" s="15"/>
      <c r="T85" s="15"/>
      <c r="U85" s="16"/>
      <c r="V85" s="16"/>
      <c r="W85" s="16"/>
      <c r="X85" s="16"/>
      <c r="Y85" s="16"/>
      <c r="Z85" s="16"/>
      <c r="AA85" s="7"/>
    </row>
    <row r="86" spans="1:27" ht="14.25" x14ac:dyDescent="0.2">
      <c r="A86" s="8"/>
      <c r="B86" s="8" t="s">
        <v>181</v>
      </c>
      <c r="C86" s="8" t="s">
        <v>182</v>
      </c>
      <c r="D86" s="8">
        <v>2019</v>
      </c>
      <c r="E86" s="8"/>
      <c r="F86" s="26" t="str">
        <f>HYPERLINK("https://arxiv.org/abs/1902.00549")</f>
        <v>https://arxiv.org/abs/1902.00549</v>
      </c>
      <c r="G86" s="10"/>
      <c r="H86" s="19" t="str">
        <f t="shared" si="2"/>
        <v>NO</v>
      </c>
      <c r="I86" s="23" t="s">
        <v>21</v>
      </c>
      <c r="J86" s="12"/>
      <c r="K86" s="12"/>
      <c r="L86" s="24" t="b">
        <v>1</v>
      </c>
      <c r="M86" s="13"/>
      <c r="N86" s="13"/>
      <c r="O86" s="13"/>
      <c r="P86" s="14"/>
      <c r="Q86" s="14"/>
      <c r="R86" s="23" t="s">
        <v>21</v>
      </c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4.25" x14ac:dyDescent="0.2">
      <c r="A87" s="8"/>
      <c r="B87" s="8" t="s">
        <v>183</v>
      </c>
      <c r="C87" s="8" t="s">
        <v>184</v>
      </c>
      <c r="D87" s="8">
        <v>2017</v>
      </c>
      <c r="E87" s="8"/>
      <c r="F87" s="26" t="str">
        <f>HYPERLINK("https://www.cs.cmu.edu/~comar/omar-thesis.pdf")</f>
        <v>https://www.cs.cmu.edu/~comar/omar-thesis.pdf</v>
      </c>
      <c r="G87" s="10"/>
      <c r="H87" s="19" t="str">
        <f t="shared" si="2"/>
        <v>NO</v>
      </c>
      <c r="I87" s="23" t="s">
        <v>21</v>
      </c>
      <c r="J87" s="12"/>
      <c r="K87" s="12"/>
      <c r="L87" s="24" t="b">
        <v>1</v>
      </c>
      <c r="M87" s="13"/>
      <c r="N87" s="13"/>
      <c r="O87" s="13"/>
      <c r="P87" s="14"/>
      <c r="Q87" s="14"/>
      <c r="R87" s="27" t="s">
        <v>21</v>
      </c>
      <c r="S87" s="15"/>
      <c r="T87" s="15"/>
      <c r="U87" s="16"/>
      <c r="V87" s="16"/>
      <c r="W87" s="16"/>
      <c r="X87" s="16"/>
      <c r="Y87" s="16"/>
      <c r="Z87" s="16"/>
      <c r="AA87" s="7"/>
    </row>
    <row r="88" spans="1:27" ht="14.25" x14ac:dyDescent="0.2">
      <c r="A88" s="8"/>
      <c r="B88" s="8" t="s">
        <v>185</v>
      </c>
      <c r="C88" s="8" t="s">
        <v>186</v>
      </c>
      <c r="D88" s="8">
        <v>2016</v>
      </c>
      <c r="E88" s="8"/>
      <c r="F88" s="26" t="str">
        <f>HYPERLINK("https://dl.acm.org/doi/abs/10.1145/3093335.2993242")</f>
        <v>https://dl.acm.org/doi/abs/10.1145/3093335.2993242</v>
      </c>
      <c r="G88" s="10"/>
      <c r="H88" s="19" t="str">
        <f t="shared" si="2"/>
        <v>NO</v>
      </c>
      <c r="I88" s="23" t="s">
        <v>21</v>
      </c>
      <c r="J88" s="12"/>
      <c r="K88" s="12"/>
      <c r="L88" s="24" t="b">
        <v>1</v>
      </c>
      <c r="M88" s="13"/>
      <c r="N88" s="13"/>
      <c r="O88" s="13"/>
      <c r="P88" s="14"/>
      <c r="Q88" s="14"/>
      <c r="R88" s="23" t="s">
        <v>21</v>
      </c>
      <c r="S88" s="15"/>
      <c r="T88" s="15"/>
      <c r="U88" s="16"/>
      <c r="V88" s="16"/>
      <c r="W88" s="16"/>
      <c r="X88" s="16"/>
      <c r="Y88" s="16"/>
      <c r="Z88" s="16"/>
      <c r="AA88" s="7"/>
    </row>
    <row r="89" spans="1:27" ht="14.25" x14ac:dyDescent="0.2">
      <c r="A89" s="8"/>
      <c r="B89" s="8" t="s">
        <v>187</v>
      </c>
      <c r="C89" s="8" t="s">
        <v>188</v>
      </c>
      <c r="D89" s="8">
        <v>2017</v>
      </c>
      <c r="E89" s="8"/>
      <c r="F89" s="26" t="str">
        <f>HYPERLINK("https://www.research-collection.ethz.ch/bitstream/handle/20.500.11850/214522/eth-50652-02.pdf")</f>
        <v>https://www.research-collection.ethz.ch/bitstream/handle/20.500.11850/214522/eth-50652-02.pdf</v>
      </c>
      <c r="G89" s="10"/>
      <c r="H89" s="19" t="str">
        <f t="shared" si="2"/>
        <v>NO</v>
      </c>
      <c r="I89" s="23" t="s">
        <v>21</v>
      </c>
      <c r="J89" s="12"/>
      <c r="K89" s="12"/>
      <c r="L89" s="13"/>
      <c r="M89" s="13"/>
      <c r="N89" s="13"/>
      <c r="O89" s="13"/>
      <c r="P89" s="14"/>
      <c r="Q89" s="24" t="b">
        <v>1</v>
      </c>
      <c r="R89" s="23" t="s">
        <v>21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4.25" x14ac:dyDescent="0.2">
      <c r="A90" s="8"/>
      <c r="B90" s="8" t="s">
        <v>189</v>
      </c>
      <c r="C90" s="8" t="s">
        <v>190</v>
      </c>
      <c r="D90" s="8">
        <v>2019</v>
      </c>
      <c r="E90" s="8"/>
      <c r="F90" s="26" t="str">
        <f>HYPERLINK("https://ieeexplore.ieee.org/abstract/document/8804427/")</f>
        <v>https://ieeexplore.ieee.org/abstract/document/8804427/</v>
      </c>
      <c r="G90" s="10"/>
      <c r="H90" s="19" t="str">
        <f t="shared" si="2"/>
        <v>NO</v>
      </c>
      <c r="I90" s="23" t="s">
        <v>21</v>
      </c>
      <c r="J90" s="12"/>
      <c r="K90" s="12"/>
      <c r="L90" s="24" t="b">
        <v>1</v>
      </c>
      <c r="M90" s="13"/>
      <c r="N90" s="13"/>
      <c r="O90" s="13"/>
      <c r="P90" s="14"/>
      <c r="Q90" s="14"/>
      <c r="R90" s="23" t="s">
        <v>21</v>
      </c>
      <c r="S90" s="15"/>
      <c r="T90" s="15"/>
      <c r="U90" s="16"/>
      <c r="V90" s="16"/>
      <c r="W90" s="16"/>
      <c r="X90" s="16"/>
      <c r="Y90" s="16"/>
      <c r="Z90" s="16"/>
      <c r="AA90" s="7"/>
    </row>
    <row r="91" spans="1:27" ht="14.25" x14ac:dyDescent="0.2">
      <c r="A91" s="8"/>
      <c r="B91" s="8" t="s">
        <v>191</v>
      </c>
      <c r="C91" s="8" t="s">
        <v>192</v>
      </c>
      <c r="D91" s="8">
        <v>2017</v>
      </c>
      <c r="E91" s="8"/>
      <c r="F91" s="26" t="str">
        <f>HYPERLINK("https://orbilu.uni.lu/bitstream/10993/31982/1/DissertationBehringerOnePage.pdf")</f>
        <v>https://orbilu.uni.lu/bitstream/10993/31982/1/DissertationBehringerOnePage.pdf</v>
      </c>
      <c r="G91" s="10"/>
      <c r="H91" s="19" t="str">
        <f t="shared" si="2"/>
        <v>NO</v>
      </c>
      <c r="I91" s="23" t="s">
        <v>21</v>
      </c>
      <c r="J91" s="12"/>
      <c r="K91" s="12"/>
      <c r="L91" s="13"/>
      <c r="M91" s="13"/>
      <c r="N91" s="13"/>
      <c r="O91" s="13"/>
      <c r="P91" s="14"/>
      <c r="Q91" s="24" t="b">
        <v>1</v>
      </c>
      <c r="R91" s="23" t="s">
        <v>21</v>
      </c>
      <c r="S91" s="15"/>
      <c r="T91" s="15"/>
      <c r="U91" s="16"/>
      <c r="V91" s="16"/>
      <c r="W91" s="16"/>
      <c r="X91" s="16"/>
      <c r="Y91" s="16"/>
      <c r="Z91" s="16"/>
      <c r="AA91" s="7"/>
    </row>
    <row r="92" spans="1:27" ht="14.25" x14ac:dyDescent="0.2">
      <c r="A92" s="8"/>
      <c r="B92" s="8" t="s">
        <v>193</v>
      </c>
      <c r="C92" s="8" t="s">
        <v>194</v>
      </c>
      <c r="D92" s="8">
        <v>2015</v>
      </c>
      <c r="E92" s="8"/>
      <c r="F92" s="26" t="str">
        <f>HYPERLINK("https://link.springer.com/chapter/10.1007/978-3-319-18425-8_18")</f>
        <v>https://link.springer.com/chapter/10.1007/978-3-319-18425-8_18</v>
      </c>
      <c r="G92" s="10"/>
      <c r="H92" s="19" t="str">
        <f t="shared" si="2"/>
        <v>MAYBE</v>
      </c>
      <c r="I92" s="23" t="s">
        <v>56</v>
      </c>
      <c r="J92" s="28" t="b">
        <v>1</v>
      </c>
      <c r="K92" s="28" t="b">
        <v>1</v>
      </c>
      <c r="L92" s="13"/>
      <c r="M92" s="13"/>
      <c r="N92" s="13"/>
      <c r="O92" s="13"/>
      <c r="P92" s="14"/>
      <c r="Q92" s="14"/>
      <c r="R92" s="23" t="s">
        <v>21</v>
      </c>
      <c r="S92" s="15"/>
      <c r="T92" s="15"/>
      <c r="U92" s="16"/>
      <c r="V92" s="16"/>
      <c r="W92" s="16"/>
      <c r="X92" s="16"/>
      <c r="Y92" s="16"/>
      <c r="Z92" s="16"/>
      <c r="AA92" s="7"/>
    </row>
    <row r="93" spans="1:27" ht="14.25" x14ac:dyDescent="0.2">
      <c r="A93" s="8"/>
      <c r="B93" s="8" t="s">
        <v>195</v>
      </c>
      <c r="C93" s="8" t="s">
        <v>196</v>
      </c>
      <c r="D93" s="8">
        <v>2017</v>
      </c>
      <c r="E93" s="8"/>
      <c r="F93" s="26" t="str">
        <f>HYPERLINK("https://www.scitepress.org/Papers/2017/62645/62645.pdf")</f>
        <v>https://www.scitepress.org/Papers/2017/62645/62645.pdf</v>
      </c>
      <c r="G93" s="10"/>
      <c r="H93" s="19" t="str">
        <f t="shared" si="2"/>
        <v>NO</v>
      </c>
      <c r="I93" s="23" t="s">
        <v>21</v>
      </c>
      <c r="J93" s="12"/>
      <c r="K93" s="12"/>
      <c r="L93" s="24" t="b">
        <v>1</v>
      </c>
      <c r="M93" s="13"/>
      <c r="N93" s="13"/>
      <c r="O93" s="13"/>
      <c r="P93" s="14"/>
      <c r="Q93" s="14"/>
      <c r="R93" s="23" t="s">
        <v>21</v>
      </c>
      <c r="S93" s="15"/>
      <c r="T93" s="15"/>
      <c r="U93" s="16"/>
      <c r="V93" s="16"/>
      <c r="W93" s="16"/>
      <c r="X93" s="16"/>
      <c r="Y93" s="16"/>
      <c r="Z93" s="16"/>
      <c r="AA93" s="7"/>
    </row>
    <row r="94" spans="1:27" ht="14.25" x14ac:dyDescent="0.2">
      <c r="A94" s="8"/>
      <c r="B94" s="8" t="s">
        <v>197</v>
      </c>
      <c r="C94" s="8" t="s">
        <v>198</v>
      </c>
      <c r="D94" s="8">
        <v>2018</v>
      </c>
      <c r="E94" s="8"/>
      <c r="F94" s="26" t="str">
        <f>HYPERLINK("https://link.springer.com/chapter/10.1007/978-3-030-03418-4_1")</f>
        <v>https://link.springer.com/chapter/10.1007/978-3-030-03418-4_1</v>
      </c>
      <c r="G94" s="10"/>
      <c r="H94" s="19" t="str">
        <f t="shared" si="2"/>
        <v>NO</v>
      </c>
      <c r="I94" s="23" t="s">
        <v>21</v>
      </c>
      <c r="J94" s="12"/>
      <c r="K94" s="12"/>
      <c r="L94" s="13"/>
      <c r="M94" s="13"/>
      <c r="N94" s="13"/>
      <c r="O94" s="13"/>
      <c r="P94" s="14"/>
      <c r="Q94" s="14"/>
      <c r="R94" s="23" t="s">
        <v>21</v>
      </c>
      <c r="S94" s="15"/>
      <c r="T94" s="15"/>
      <c r="U94" s="16"/>
      <c r="V94" s="16"/>
      <c r="W94" s="16"/>
      <c r="X94" s="16"/>
      <c r="Y94" s="16"/>
      <c r="Z94" s="16"/>
      <c r="AA94" s="7"/>
    </row>
    <row r="95" spans="1:27" ht="14.25" x14ac:dyDescent="0.2">
      <c r="A95" s="8"/>
      <c r="B95" s="8" t="s">
        <v>199</v>
      </c>
      <c r="C95" s="8" t="s">
        <v>200</v>
      </c>
      <c r="D95" s="8">
        <v>2015</v>
      </c>
      <c r="E95" s="8"/>
      <c r="F95" s="26" t="str">
        <f>HYPERLINK("https://ieeexplore.ieee.org/abstract/document/7158422/")</f>
        <v>https://ieeexplore.ieee.org/abstract/document/7158422/</v>
      </c>
      <c r="G95" s="10"/>
      <c r="H95" s="19" t="str">
        <f t="shared" si="2"/>
        <v>NO</v>
      </c>
      <c r="I95" s="23" t="s">
        <v>57</v>
      </c>
      <c r="J95" s="28" t="b">
        <v>1</v>
      </c>
      <c r="K95" s="28" t="b">
        <v>1</v>
      </c>
      <c r="L95" s="13"/>
      <c r="M95" s="13"/>
      <c r="N95" s="13"/>
      <c r="O95" s="13"/>
      <c r="P95" s="14"/>
      <c r="Q95" s="14"/>
      <c r="R95" s="23" t="s">
        <v>21</v>
      </c>
      <c r="S95" s="15"/>
      <c r="T95" s="15"/>
      <c r="U95" s="16"/>
      <c r="V95" s="16"/>
      <c r="W95" s="16"/>
      <c r="X95" s="16"/>
      <c r="Y95" s="16"/>
      <c r="Z95" s="16"/>
      <c r="AA95" s="7"/>
    </row>
    <row r="96" spans="1:27" ht="14.25" x14ac:dyDescent="0.2">
      <c r="A96" s="8"/>
      <c r="B96" s="8" t="s">
        <v>201</v>
      </c>
      <c r="C96" s="8" t="s">
        <v>202</v>
      </c>
      <c r="D96" s="8">
        <v>2016</v>
      </c>
      <c r="E96" s="8"/>
      <c r="F96" s="26" t="str">
        <f>HYPERLINK("https://dl.acm.org/doi/abs/10.1145/2934466.2962733")</f>
        <v>https://dl.acm.org/doi/abs/10.1145/2934466.2962733</v>
      </c>
      <c r="G96" s="10"/>
      <c r="H96" s="19" t="str">
        <f t="shared" si="2"/>
        <v>NO</v>
      </c>
      <c r="I96" s="27" t="s">
        <v>21</v>
      </c>
      <c r="J96" s="12"/>
      <c r="K96" s="12"/>
      <c r="L96" s="13"/>
      <c r="M96" s="13"/>
      <c r="N96" s="13"/>
      <c r="O96" s="13"/>
      <c r="P96" s="14"/>
      <c r="Q96" s="14"/>
      <c r="R96" s="27" t="s">
        <v>21</v>
      </c>
      <c r="S96" s="15"/>
      <c r="T96" s="15"/>
      <c r="U96" s="16"/>
      <c r="V96" s="16"/>
      <c r="W96" s="16"/>
      <c r="X96" s="16"/>
      <c r="Y96" s="16"/>
      <c r="Z96" s="16"/>
      <c r="AA96" s="7"/>
    </row>
    <row r="97" spans="1:27" ht="14.25" x14ac:dyDescent="0.2">
      <c r="A97" s="8"/>
      <c r="B97" s="8" t="s">
        <v>203</v>
      </c>
      <c r="C97" s="8" t="s">
        <v>204</v>
      </c>
      <c r="D97" s="8">
        <v>2018</v>
      </c>
      <c r="E97" s="8"/>
      <c r="F97" s="26" t="str">
        <f>HYPERLINK("https://ieeexplore.ieee.org/abstract/document/8530072/")</f>
        <v>https://ieeexplore.ieee.org/abstract/document/8530072/</v>
      </c>
      <c r="G97" s="10"/>
      <c r="H97" s="19" t="str">
        <f t="shared" si="2"/>
        <v>NO</v>
      </c>
      <c r="I97" s="23" t="s">
        <v>21</v>
      </c>
      <c r="J97" s="12"/>
      <c r="K97" s="12"/>
      <c r="L97" s="24" t="b">
        <v>1</v>
      </c>
      <c r="M97" s="13"/>
      <c r="N97" s="13"/>
      <c r="O97" s="13"/>
      <c r="P97" s="14"/>
      <c r="Q97" s="14"/>
      <c r="R97" s="23" t="s">
        <v>21</v>
      </c>
      <c r="S97" s="15"/>
      <c r="T97" s="15"/>
      <c r="U97" s="16"/>
      <c r="V97" s="16"/>
      <c r="W97" s="16"/>
      <c r="X97" s="16"/>
      <c r="Y97" s="16"/>
      <c r="Z97" s="16"/>
      <c r="AA97" s="7"/>
    </row>
    <row r="98" spans="1:27" ht="14.25" x14ac:dyDescent="0.2">
      <c r="A98" s="8"/>
      <c r="B98" s="8" t="s">
        <v>199</v>
      </c>
      <c r="C98" s="8" t="s">
        <v>205</v>
      </c>
      <c r="D98" s="8">
        <v>2015</v>
      </c>
      <c r="E98" s="8"/>
      <c r="F98" s="26" t="str">
        <f>HYPERLINK("https://ieeexplore.ieee.org/abstract/document/7321542/")</f>
        <v>https://ieeexplore.ieee.org/abstract/document/7321542/</v>
      </c>
      <c r="G98" s="10"/>
      <c r="H98" s="19" t="str">
        <f t="shared" si="2"/>
        <v>NO</v>
      </c>
      <c r="I98" s="23" t="s">
        <v>21</v>
      </c>
      <c r="J98" s="12"/>
      <c r="K98" s="12"/>
      <c r="L98" s="24" t="b">
        <v>1</v>
      </c>
      <c r="M98" s="13"/>
      <c r="N98" s="13"/>
      <c r="O98" s="13"/>
      <c r="P98" s="14"/>
      <c r="Q98" s="14"/>
      <c r="R98" s="23" t="s">
        <v>21</v>
      </c>
      <c r="S98" s="15"/>
      <c r="T98" s="15"/>
      <c r="U98" s="16"/>
      <c r="V98" s="16"/>
      <c r="W98" s="16"/>
      <c r="X98" s="16"/>
      <c r="Y98" s="16"/>
      <c r="Z98" s="16"/>
      <c r="AA98" s="7"/>
    </row>
    <row r="99" spans="1:27" ht="14.25" x14ac:dyDescent="0.2">
      <c r="A99" s="8"/>
      <c r="B99" s="8" t="s">
        <v>206</v>
      </c>
      <c r="C99" s="8" t="s">
        <v>207</v>
      </c>
      <c r="D99" s="8">
        <v>2013</v>
      </c>
      <c r="E99" s="8"/>
      <c r="F99" s="26" t="str">
        <f>HYPERLINK("https://citeseerx.ist.psu.edu/viewdoc/download?doi=10.1.1.674.3528&amp;rep=rep1&amp;type=pdf")</f>
        <v>https://citeseerx.ist.psu.edu/viewdoc/download?doi=10.1.1.674.3528&amp;rep=rep1&amp;type=pdf</v>
      </c>
      <c r="G99" s="10"/>
      <c r="H99" s="19" t="str">
        <f t="shared" si="2"/>
        <v>NO</v>
      </c>
      <c r="I99" s="23" t="s">
        <v>21</v>
      </c>
      <c r="J99" s="12"/>
      <c r="K99" s="12"/>
      <c r="L99" s="13"/>
      <c r="M99" s="13"/>
      <c r="N99" s="13"/>
      <c r="O99" s="13"/>
      <c r="P99" s="14"/>
      <c r="Q99" s="24" t="b">
        <v>1</v>
      </c>
      <c r="R99" s="23" t="s">
        <v>21</v>
      </c>
      <c r="S99" s="15"/>
      <c r="T99" s="15"/>
      <c r="U99" s="16"/>
      <c r="V99" s="16"/>
      <c r="W99" s="16"/>
      <c r="X99" s="16"/>
      <c r="Y99" s="16"/>
      <c r="Z99" s="16"/>
      <c r="AA99" s="7"/>
    </row>
    <row r="100" spans="1:27" ht="14.25" x14ac:dyDescent="0.2">
      <c r="A100" s="8"/>
      <c r="B100" s="8" t="s">
        <v>208</v>
      </c>
      <c r="C100" s="8" t="s">
        <v>209</v>
      </c>
      <c r="D100" s="8">
        <v>2020</v>
      </c>
      <c r="E100" s="8"/>
      <c r="F100" s="26" t="str">
        <f>HYPERLINK("https://www.researchgate.net/profile/Johannes_Schroepfer/publication/339906901_A_Generic_Projectional_Editor_for_EMF_Models/links/5fae7c3c299bf18c5b70930d/A-Generic-Projectional-Editor-for-EMF-Models.pdf")</f>
        <v>https://www.researchgate.net/profile/Johannes_Schroepfer/publication/339906901_A_Generic_Projectional_Editor_for_EMF_Models/links/5fae7c3c299bf18c5b70930d/A-Generic-Projectional-Editor-for-EMF-Models.pdf</v>
      </c>
      <c r="G100" s="10"/>
      <c r="H100" s="19" t="str">
        <f t="shared" si="2"/>
        <v>NO</v>
      </c>
      <c r="I100" s="23" t="s">
        <v>57</v>
      </c>
      <c r="J100" s="28" t="b">
        <v>1</v>
      </c>
      <c r="K100" s="12"/>
      <c r="L100" s="13"/>
      <c r="M100" s="13"/>
      <c r="N100" s="13"/>
      <c r="O100" s="13"/>
      <c r="P100" s="14"/>
      <c r="Q100" s="14"/>
      <c r="R100" s="23" t="s">
        <v>21</v>
      </c>
      <c r="S100" s="15"/>
      <c r="T100" s="15"/>
      <c r="U100" s="16"/>
      <c r="V100" s="16"/>
      <c r="W100" s="16"/>
      <c r="X100" s="16"/>
      <c r="Y100" s="16"/>
      <c r="Z100" s="16"/>
      <c r="AA100" s="7"/>
    </row>
    <row r="101" spans="1:27" ht="14.25" x14ac:dyDescent="0.2">
      <c r="A101" s="8"/>
      <c r="B101" s="8" t="s">
        <v>210</v>
      </c>
      <c r="C101" s="8" t="s">
        <v>211</v>
      </c>
      <c r="D101" s="8">
        <v>2018</v>
      </c>
      <c r="E101" s="8"/>
      <c r="F101" s="26" t="str">
        <f>HYPERLINK("https://www.researchgate.net/profile/Michaela_Bacikova/publication/324328928_Visual_augmentation_of_source_code_editors_A_systematic_review/links/5b7c4c34a6fdcc5f8b5940c1/Visual-augmentation-of-source-code-editors-A-systematic-review.pdf")</f>
        <v>https://www.researchgate.net/profile/Michaela_Bacikova/publication/324328928_Visual_augmentation_of_source_code_editors_A_systematic_review/links/5b7c4c34a6fdcc5f8b5940c1/Visual-augmentation-of-source-code-editors-A-systematic-review.pdf</v>
      </c>
      <c r="G101" s="10"/>
      <c r="H101" s="19" t="str">
        <f t="shared" si="2"/>
        <v>NO</v>
      </c>
      <c r="I101" s="23" t="s">
        <v>21</v>
      </c>
      <c r="J101" s="12"/>
      <c r="K101" s="12"/>
      <c r="L101" s="24" t="b">
        <v>1</v>
      </c>
      <c r="M101" s="13"/>
      <c r="N101" s="13"/>
      <c r="O101" s="13"/>
      <c r="P101" s="14"/>
      <c r="Q101" s="14"/>
      <c r="R101" s="23" t="s">
        <v>21</v>
      </c>
      <c r="S101" s="15"/>
      <c r="T101" s="15"/>
      <c r="U101" s="16"/>
      <c r="V101" s="16"/>
      <c r="W101" s="16"/>
      <c r="X101" s="16"/>
      <c r="Y101" s="16"/>
      <c r="Z101" s="16"/>
      <c r="AA101" s="7"/>
    </row>
    <row r="102" spans="1:27" ht="14.25" x14ac:dyDescent="0.2">
      <c r="A102" s="8"/>
      <c r="B102" s="8" t="s">
        <v>212</v>
      </c>
      <c r="C102" s="8" t="s">
        <v>213</v>
      </c>
      <c r="D102" s="8">
        <v>2015</v>
      </c>
      <c r="E102" s="8"/>
      <c r="F102" s="26" t="str">
        <f>HYPERLINK("https://dl.acm.org/doi/abs/10.1145/2846696.2846698")</f>
        <v>https://dl.acm.org/doi/abs/10.1145/2846696.2846698</v>
      </c>
      <c r="G102" s="10"/>
      <c r="H102" s="19" t="str">
        <f t="shared" si="2"/>
        <v>NO</v>
      </c>
      <c r="I102" s="30" t="s">
        <v>21</v>
      </c>
      <c r="J102" s="12"/>
      <c r="K102" s="12"/>
      <c r="L102" s="24" t="b">
        <v>1</v>
      </c>
      <c r="M102" s="13"/>
      <c r="N102" s="13"/>
      <c r="O102" s="13"/>
      <c r="P102" s="14"/>
      <c r="Q102" s="14"/>
      <c r="R102" s="23" t="s">
        <v>21</v>
      </c>
      <c r="S102" s="15"/>
      <c r="T102" s="15"/>
      <c r="U102" s="16"/>
      <c r="V102" s="16"/>
      <c r="W102" s="16"/>
      <c r="X102" s="16"/>
      <c r="Y102" s="16"/>
      <c r="Z102" s="16"/>
      <c r="AA102" s="7"/>
    </row>
    <row r="103" spans="1:27" ht="14.25" x14ac:dyDescent="0.2">
      <c r="A103" s="8"/>
      <c r="B103" s="8" t="s">
        <v>214</v>
      </c>
      <c r="C103" s="8" t="s">
        <v>215</v>
      </c>
      <c r="D103" s="8">
        <v>2020</v>
      </c>
      <c r="E103" s="8"/>
      <c r="F103" s="26" t="str">
        <f>HYPERLINK("https://dl.acm.org/doi/abs/10.1145/3426425.3426945")</f>
        <v>https://dl.acm.org/doi/abs/10.1145/3426425.3426945</v>
      </c>
      <c r="G103" s="10"/>
      <c r="H103" s="19" t="str">
        <f t="shared" si="2"/>
        <v>NO</v>
      </c>
      <c r="I103" s="23" t="s">
        <v>21</v>
      </c>
      <c r="J103" s="12"/>
      <c r="K103" s="12"/>
      <c r="L103" s="24" t="b">
        <v>1</v>
      </c>
      <c r="M103" s="13"/>
      <c r="N103" s="13"/>
      <c r="O103" s="13"/>
      <c r="P103" s="14"/>
      <c r="Q103" s="14"/>
      <c r="R103" s="23" t="s">
        <v>21</v>
      </c>
      <c r="S103" s="15"/>
      <c r="T103" s="15"/>
      <c r="U103" s="16"/>
      <c r="V103" s="16"/>
      <c r="W103" s="16"/>
      <c r="X103" s="16"/>
      <c r="Y103" s="16"/>
      <c r="Z103" s="16"/>
      <c r="AA103" s="7"/>
    </row>
    <row r="104" spans="1:27" ht="14.25" x14ac:dyDescent="0.2">
      <c r="A104" s="8"/>
      <c r="B104" s="8" t="s">
        <v>216</v>
      </c>
      <c r="C104" s="8" t="s">
        <v>217</v>
      </c>
      <c r="D104" s="8">
        <v>2019</v>
      </c>
      <c r="E104" s="8"/>
      <c r="F104" s="26" t="str">
        <f>HYPERLINK("https://uia.brage.unit.no/uia-xmlui/bitstream/handle/11250/2656154/prinz%20shatalin.pdf?sequence=5")</f>
        <v>https://uia.brage.unit.no/uia-xmlui/bitstream/handle/11250/2656154/prinz%20shatalin.pdf?sequence=5</v>
      </c>
      <c r="G104" s="10"/>
      <c r="H104" s="19" t="str">
        <f t="shared" si="2"/>
        <v>NO</v>
      </c>
      <c r="I104" s="23" t="s">
        <v>21</v>
      </c>
      <c r="J104" s="12"/>
      <c r="K104" s="12"/>
      <c r="L104" s="24" t="b">
        <v>1</v>
      </c>
      <c r="M104" s="13"/>
      <c r="N104" s="13"/>
      <c r="O104" s="13"/>
      <c r="P104" s="14"/>
      <c r="Q104" s="14"/>
      <c r="R104" s="23" t="s">
        <v>21</v>
      </c>
      <c r="S104" s="15"/>
      <c r="T104" s="15"/>
      <c r="U104" s="16"/>
      <c r="V104" s="16"/>
      <c r="W104" s="16"/>
      <c r="X104" s="16"/>
      <c r="Y104" s="16"/>
      <c r="Z104" s="16"/>
      <c r="AA104" s="7"/>
    </row>
    <row r="105" spans="1:27" ht="14.25" x14ac:dyDescent="0.2">
      <c r="A105" s="8"/>
      <c r="B105" s="8" t="s">
        <v>218</v>
      </c>
      <c r="C105" s="8" t="s">
        <v>219</v>
      </c>
      <c r="D105" s="8">
        <v>2018</v>
      </c>
      <c r="E105" s="8"/>
      <c r="F105" s="26" t="str">
        <f>HYPERLINK("http://tesis.pucp.edu.pe/repositorio/handle/20.500.12404/9903")</f>
        <v>http://tesis.pucp.edu.pe/repositorio/handle/20.500.12404/9903</v>
      </c>
      <c r="G105" s="10"/>
      <c r="H105" s="19" t="str">
        <f t="shared" si="2"/>
        <v>NO</v>
      </c>
      <c r="I105" s="23" t="s">
        <v>21</v>
      </c>
      <c r="J105" s="12"/>
      <c r="K105" s="12"/>
      <c r="L105" s="13"/>
      <c r="M105" s="24" t="b">
        <v>1</v>
      </c>
      <c r="N105" s="13"/>
      <c r="O105" s="13"/>
      <c r="P105" s="14"/>
      <c r="Q105" s="14"/>
      <c r="R105" s="23" t="s">
        <v>21</v>
      </c>
      <c r="S105" s="15"/>
      <c r="T105" s="15"/>
      <c r="U105" s="16"/>
      <c r="V105" s="16"/>
      <c r="W105" s="16"/>
      <c r="X105" s="16"/>
      <c r="Y105" s="16"/>
      <c r="Z105" s="16"/>
      <c r="AA105" s="7"/>
    </row>
    <row r="106" spans="1:27" ht="14.25" x14ac:dyDescent="0.2">
      <c r="A106" s="8"/>
      <c r="B106" s="8" t="s">
        <v>220</v>
      </c>
      <c r="C106" s="8" t="s">
        <v>221</v>
      </c>
      <c r="D106" s="8">
        <v>2020</v>
      </c>
      <c r="E106" s="8"/>
      <c r="F106" s="26" t="str">
        <f>HYPERLINK("https://cyberleninka.ru/article/n/integrirovannaya-sreda-razrabotki-s-podderzhkoy-strukturnogo-redaktirovaniya-dlya-yazyka-programmirovaniya-go")</f>
        <v>https://cyberleninka.ru/article/n/integrirovannaya-sreda-razrabotki-s-podderzhkoy-strukturnogo-redaktirovaniya-dlya-yazyka-programmirovaniya-go</v>
      </c>
      <c r="G106" s="10"/>
      <c r="H106" s="19" t="str">
        <f t="shared" si="2"/>
        <v>NO</v>
      </c>
      <c r="I106" s="23" t="s">
        <v>21</v>
      </c>
      <c r="J106" s="12"/>
      <c r="K106" s="12"/>
      <c r="L106" s="13"/>
      <c r="M106" s="24" t="b">
        <v>1</v>
      </c>
      <c r="N106" s="13"/>
      <c r="O106" s="13"/>
      <c r="P106" s="14"/>
      <c r="Q106" s="14"/>
      <c r="R106" s="23" t="s">
        <v>21</v>
      </c>
      <c r="S106" s="15"/>
      <c r="T106" s="15"/>
      <c r="U106" s="16"/>
      <c r="V106" s="16"/>
      <c r="W106" s="16"/>
      <c r="X106" s="16"/>
      <c r="Y106" s="16"/>
      <c r="Z106" s="16"/>
      <c r="AA106" s="7"/>
    </row>
    <row r="107" spans="1:27" ht="14.25" x14ac:dyDescent="0.2">
      <c r="A107" s="8"/>
      <c r="B107" s="8" t="s">
        <v>222</v>
      </c>
      <c r="C107" s="8" t="s">
        <v>223</v>
      </c>
      <c r="D107" s="8">
        <v>2020</v>
      </c>
      <c r="E107" s="8"/>
      <c r="F107" s="26" t="str">
        <f>HYPERLINK("https://dl.acm.org/doi/abs/10.1145/3397537.3398477")</f>
        <v>https://dl.acm.org/doi/abs/10.1145/3397537.3398477</v>
      </c>
      <c r="G107" s="10"/>
      <c r="H107" s="19" t="str">
        <f t="shared" si="2"/>
        <v>NO</v>
      </c>
      <c r="I107" s="23" t="s">
        <v>21</v>
      </c>
      <c r="J107" s="28" t="b">
        <v>0</v>
      </c>
      <c r="K107" s="12"/>
      <c r="L107" s="13"/>
      <c r="M107" s="13"/>
      <c r="N107" s="13"/>
      <c r="O107" s="13"/>
      <c r="P107" s="14"/>
      <c r="Q107" s="14"/>
      <c r="R107" s="23" t="s">
        <v>21</v>
      </c>
      <c r="S107" s="15"/>
      <c r="T107" s="15"/>
      <c r="U107" s="16"/>
      <c r="V107" s="16"/>
      <c r="W107" s="16"/>
      <c r="X107" s="16"/>
      <c r="Y107" s="16"/>
      <c r="Z107" s="16"/>
      <c r="AA107" s="7"/>
    </row>
    <row r="108" spans="1:27" ht="14.25" x14ac:dyDescent="0.2">
      <c r="A108" s="8"/>
      <c r="B108" s="8" t="s">
        <v>224</v>
      </c>
      <c r="C108" s="8" t="s">
        <v>225</v>
      </c>
      <c r="D108" s="8"/>
      <c r="E108" s="8"/>
      <c r="F108" s="26" t="str">
        <f>HYPERLINK("https://conf.researchr.org/getImage/live-2016/orig/LIVE_2016_paper_4.pdf")</f>
        <v>https://conf.researchr.org/getImage/live-2016/orig/LIVE_2016_paper_4.pdf</v>
      </c>
      <c r="G108" s="10"/>
      <c r="H108" s="19" t="str">
        <f t="shared" si="2"/>
        <v>NO</v>
      </c>
      <c r="I108" s="23" t="s">
        <v>57</v>
      </c>
      <c r="J108" s="12"/>
      <c r="K108" s="12"/>
      <c r="L108" s="13"/>
      <c r="M108" s="13"/>
      <c r="N108" s="13"/>
      <c r="O108" s="13"/>
      <c r="P108" s="14"/>
      <c r="Q108" s="14"/>
      <c r="R108" s="23" t="s">
        <v>21</v>
      </c>
      <c r="S108" s="15"/>
      <c r="T108" s="15"/>
      <c r="U108" s="16"/>
      <c r="V108" s="16"/>
      <c r="W108" s="16"/>
      <c r="X108" s="16"/>
      <c r="Y108" s="16"/>
      <c r="Z108" s="16"/>
      <c r="AA108" s="7"/>
    </row>
    <row r="109" spans="1:27" ht="14.25" x14ac:dyDescent="0.2">
      <c r="A109" s="8"/>
      <c r="B109" s="8" t="s">
        <v>226</v>
      </c>
      <c r="C109" s="8" t="s">
        <v>227</v>
      </c>
      <c r="D109" s="8"/>
      <c r="E109" s="22"/>
      <c r="F109" s="26" t="str">
        <f>HYPERLINK("https://research.tudelft.nl/files/54059131/Luis_Eduardo_de_Souza_Amorim_main_thesis_vfinal.pdf")</f>
        <v>https://research.tudelft.nl/files/54059131/Luis_Eduardo_de_Souza_Amorim_main_thesis_vfinal.pdf</v>
      </c>
      <c r="G109" s="10"/>
      <c r="H109" s="19" t="str">
        <f t="shared" si="2"/>
        <v>NO</v>
      </c>
      <c r="I109" s="30" t="s">
        <v>21</v>
      </c>
      <c r="J109" s="12"/>
      <c r="K109" s="12"/>
      <c r="L109" s="13"/>
      <c r="M109" s="13"/>
      <c r="N109" s="13"/>
      <c r="O109" s="13"/>
      <c r="P109" s="14"/>
      <c r="Q109" s="24" t="b">
        <v>1</v>
      </c>
      <c r="R109" s="30" t="s">
        <v>21</v>
      </c>
      <c r="S109" s="15"/>
      <c r="T109" s="15"/>
      <c r="U109" s="16"/>
      <c r="V109" s="16"/>
      <c r="W109" s="16"/>
      <c r="X109" s="16"/>
      <c r="Y109" s="16"/>
      <c r="Z109" s="16"/>
      <c r="AA109" s="7"/>
    </row>
    <row r="110" spans="1:27" ht="14.25" x14ac:dyDescent="0.2">
      <c r="A110" s="8"/>
      <c r="B110" s="8" t="s">
        <v>228</v>
      </c>
      <c r="C110" s="8" t="s">
        <v>229</v>
      </c>
      <c r="D110" s="8"/>
      <c r="E110" s="8"/>
      <c r="F110" s="17" t="str">
        <f>HYPERLINK("http://grammarware.org/text/2016/two-faced.pdf")</f>
        <v>http://grammarware.org/text/2016/two-faced.pdf</v>
      </c>
      <c r="G110" s="10"/>
      <c r="H110" s="19" t="str">
        <f t="shared" si="2"/>
        <v>NO</v>
      </c>
      <c r="I110" s="27" t="s">
        <v>21</v>
      </c>
      <c r="J110" s="12"/>
      <c r="K110" s="12"/>
      <c r="L110" s="24" t="b">
        <v>1</v>
      </c>
      <c r="M110" s="13"/>
      <c r="N110" s="13"/>
      <c r="O110" s="13"/>
      <c r="P110" s="14"/>
      <c r="Q110" s="14"/>
      <c r="R110" s="30" t="s">
        <v>21</v>
      </c>
      <c r="S110" s="15"/>
      <c r="T110" s="15"/>
      <c r="U110" s="16"/>
      <c r="V110" s="16"/>
      <c r="W110" s="16"/>
      <c r="X110" s="16"/>
      <c r="Y110" s="16"/>
      <c r="Z110" s="16"/>
      <c r="AA110" s="7"/>
    </row>
    <row r="111" spans="1:27" ht="14.25" x14ac:dyDescent="0.2">
      <c r="A111" s="8"/>
      <c r="B111" s="8" t="s">
        <v>230</v>
      </c>
      <c r="C111" s="8" t="s">
        <v>231</v>
      </c>
      <c r="D111" s="8">
        <v>2020</v>
      </c>
      <c r="E111" s="8"/>
      <c r="F111" s="26" t="str">
        <f>HYPERLINK("https://dl.acm.org/doi/abs/10.1145/3417990.3422011")</f>
        <v>https://dl.acm.org/doi/abs/10.1145/3417990.3422011</v>
      </c>
      <c r="G111" s="10"/>
      <c r="H111" s="19" t="str">
        <f t="shared" si="2"/>
        <v>MAYBE</v>
      </c>
      <c r="I111" s="23" t="s">
        <v>56</v>
      </c>
      <c r="J111" s="28" t="b">
        <v>1</v>
      </c>
      <c r="K111" s="28" t="b">
        <v>1</v>
      </c>
      <c r="L111" s="13"/>
      <c r="M111" s="13"/>
      <c r="N111" s="13"/>
      <c r="O111" s="13"/>
      <c r="P111" s="14"/>
      <c r="Q111" s="14"/>
      <c r="R111" s="23" t="s">
        <v>21</v>
      </c>
      <c r="S111" s="15"/>
      <c r="T111" s="15"/>
      <c r="U111" s="16"/>
      <c r="V111" s="16"/>
      <c r="W111" s="16"/>
      <c r="X111" s="16"/>
      <c r="Y111" s="16"/>
      <c r="Z111" s="16"/>
      <c r="AA111" s="7"/>
    </row>
    <row r="112" spans="1:27" ht="14.25" x14ac:dyDescent="0.2">
      <c r="A112" s="8"/>
      <c r="B112" s="8" t="s">
        <v>232</v>
      </c>
      <c r="C112" s="8" t="s">
        <v>233</v>
      </c>
      <c r="D112" s="8">
        <v>2016</v>
      </c>
      <c r="E112" s="8"/>
      <c r="F112" s="26" t="str">
        <f>HYPERLINK("https://tomassetti.me/wp-content/uploads/2016/11/LWCSLE16_paper_4.pdf")</f>
        <v>https://tomassetti.me/wp-content/uploads/2016/11/LWCSLE16_paper_4.pdf</v>
      </c>
      <c r="G112" s="10"/>
      <c r="H112" s="19" t="str">
        <f t="shared" si="2"/>
        <v>NO</v>
      </c>
      <c r="I112" s="23" t="s">
        <v>21</v>
      </c>
      <c r="J112" s="12"/>
      <c r="K112" s="12"/>
      <c r="L112" s="24" t="b">
        <v>1</v>
      </c>
      <c r="M112" s="13"/>
      <c r="N112" s="13"/>
      <c r="O112" s="13"/>
      <c r="P112" s="14"/>
      <c r="Q112" s="14"/>
      <c r="R112" s="23" t="s">
        <v>21</v>
      </c>
      <c r="S112" s="15"/>
      <c r="T112" s="15"/>
      <c r="U112" s="16"/>
      <c r="V112" s="16"/>
      <c r="W112" s="16"/>
      <c r="X112" s="16"/>
      <c r="Y112" s="16"/>
      <c r="Z112" s="16"/>
      <c r="AA112" s="7"/>
    </row>
    <row r="113" spans="1:27" ht="14.25" x14ac:dyDescent="0.2">
      <c r="A113" s="8"/>
      <c r="B113" s="8" t="s">
        <v>234</v>
      </c>
      <c r="C113" s="8" t="s">
        <v>235</v>
      </c>
      <c r="D113" s="8">
        <v>2016</v>
      </c>
      <c r="E113" s="8"/>
      <c r="F113" s="26" t="str">
        <f>HYPERLINK("https://research.tue.nl/files/51888876/Duwaer_2016.pdf")</f>
        <v>https://research.tue.nl/files/51888876/Duwaer_2016.pdf</v>
      </c>
      <c r="G113" s="10"/>
      <c r="H113" s="19" t="str">
        <f t="shared" si="2"/>
        <v>NO</v>
      </c>
      <c r="I113" s="23" t="s">
        <v>21</v>
      </c>
      <c r="J113" s="12"/>
      <c r="K113" s="12"/>
      <c r="L113" s="13"/>
      <c r="M113" s="13"/>
      <c r="N113" s="13"/>
      <c r="O113" s="13"/>
      <c r="P113" s="14"/>
      <c r="Q113" s="24" t="b">
        <v>1</v>
      </c>
      <c r="R113" s="23" t="s">
        <v>21</v>
      </c>
      <c r="S113" s="15"/>
      <c r="T113" s="15"/>
      <c r="U113" s="16"/>
      <c r="V113" s="16"/>
      <c r="W113" s="16"/>
      <c r="X113" s="16"/>
      <c r="Y113" s="16"/>
      <c r="Z113" s="16"/>
      <c r="AA113" s="7"/>
    </row>
    <row r="114" spans="1:27" ht="14.25" x14ac:dyDescent="0.2">
      <c r="A114" s="8"/>
      <c r="B114" s="8" t="s">
        <v>206</v>
      </c>
      <c r="C114" s="8" t="s">
        <v>236</v>
      </c>
      <c r="D114" s="8"/>
      <c r="E114" s="8"/>
      <c r="F114" s="26" t="str">
        <f>HYPERLINK("https://link.springer.com/content/pdf/10.1007/978-3-319-90800-7.pdf")</f>
        <v>https://link.springer.com/content/pdf/10.1007/978-3-319-90800-7.pdf</v>
      </c>
      <c r="G114" s="10"/>
      <c r="H114" s="19" t="str">
        <f t="shared" ref="H114:H145" si="3">IF(I114=R114,I114,IF(AND(I114="YES",R114="MAYBE"),"YES",IF(AND(I114="MAYBE",R114="YES"),"YES",IF(OR(AND(I114="NO",R114="YES"),AND(I114="YES",R114="NO")),"MAYBE","NO"))))</f>
        <v>NO</v>
      </c>
      <c r="I114" s="23" t="s">
        <v>21</v>
      </c>
      <c r="J114" s="12"/>
      <c r="K114" s="12"/>
      <c r="L114" s="13"/>
      <c r="M114" s="13"/>
      <c r="N114" s="13"/>
      <c r="O114" s="13"/>
      <c r="P114" s="24" t="b">
        <v>1</v>
      </c>
      <c r="Q114" s="14"/>
      <c r="R114" s="23" t="s">
        <v>21</v>
      </c>
      <c r="S114" s="15"/>
      <c r="T114" s="15"/>
      <c r="U114" s="16"/>
      <c r="V114" s="16"/>
      <c r="W114" s="16"/>
      <c r="X114" s="16"/>
      <c r="Y114" s="16"/>
      <c r="Z114" s="16"/>
      <c r="AA114" s="7"/>
    </row>
    <row r="115" spans="1:27" ht="14.25" x14ac:dyDescent="0.2">
      <c r="A115" s="8"/>
      <c r="B115" s="8" t="s">
        <v>237</v>
      </c>
      <c r="C115" s="8" t="s">
        <v>238</v>
      </c>
      <c r="D115" s="8">
        <v>2017</v>
      </c>
      <c r="E115" s="8"/>
      <c r="F115" s="26" t="str">
        <f>HYPERLINK("https://odr.chalmers.se/handle/20.500.12380/250518")</f>
        <v>https://odr.chalmers.se/handle/20.500.12380/250518</v>
      </c>
      <c r="G115" s="10"/>
      <c r="H115" s="19" t="str">
        <f t="shared" si="3"/>
        <v>NO</v>
      </c>
      <c r="I115" s="23" t="s">
        <v>21</v>
      </c>
      <c r="J115" s="12"/>
      <c r="K115" s="12"/>
      <c r="L115" s="13"/>
      <c r="M115" s="13"/>
      <c r="N115" s="13"/>
      <c r="O115" s="13"/>
      <c r="P115" s="14"/>
      <c r="Q115" s="24" t="b">
        <v>1</v>
      </c>
      <c r="R115" s="23" t="s">
        <v>21</v>
      </c>
      <c r="S115" s="15"/>
      <c r="T115" s="15"/>
      <c r="U115" s="16"/>
      <c r="V115" s="16"/>
      <c r="W115" s="16"/>
      <c r="X115" s="16"/>
      <c r="Y115" s="16"/>
      <c r="Z115" s="16"/>
      <c r="AA115" s="7"/>
    </row>
    <row r="116" spans="1:27" ht="14.25" x14ac:dyDescent="0.2">
      <c r="A116" s="8"/>
      <c r="B116" s="8" t="s">
        <v>239</v>
      </c>
      <c r="C116" s="8" t="s">
        <v>240</v>
      </c>
      <c r="D116" s="8">
        <v>2020</v>
      </c>
      <c r="E116" s="8"/>
      <c r="F116" s="26" t="str">
        <f>HYPERLINK("https://dl.acm.org/doi/abs/10.1145/3397537.3397561")</f>
        <v>https://dl.acm.org/doi/abs/10.1145/3397537.3397561</v>
      </c>
      <c r="G116" s="10"/>
      <c r="H116" s="19" t="str">
        <f t="shared" si="3"/>
        <v>NO</v>
      </c>
      <c r="I116" s="23" t="s">
        <v>21</v>
      </c>
      <c r="J116" s="12"/>
      <c r="K116" s="12"/>
      <c r="L116" s="24" t="b">
        <v>1</v>
      </c>
      <c r="M116" s="13"/>
      <c r="N116" s="13"/>
      <c r="O116" s="13"/>
      <c r="P116" s="14"/>
      <c r="Q116" s="14"/>
      <c r="R116" s="23" t="s">
        <v>21</v>
      </c>
      <c r="S116" s="15"/>
      <c r="T116" s="15"/>
      <c r="U116" s="16"/>
      <c r="V116" s="16"/>
      <c r="W116" s="16"/>
      <c r="X116" s="16"/>
      <c r="Y116" s="16"/>
      <c r="Z116" s="16"/>
      <c r="AA116" s="7"/>
    </row>
    <row r="117" spans="1:27" ht="14.25" x14ac:dyDescent="0.2">
      <c r="A117" s="8"/>
      <c r="B117" s="8" t="s">
        <v>241</v>
      </c>
      <c r="C117" s="8" t="s">
        <v>242</v>
      </c>
      <c r="D117" s="8">
        <v>2018</v>
      </c>
      <c r="E117" s="8"/>
      <c r="F117" s="26" t="str">
        <f>HYPERLINK("https://drum.lib.umd.edu/handle/1903/21573")</f>
        <v>https://drum.lib.umd.edu/handle/1903/21573</v>
      </c>
      <c r="G117" s="10"/>
      <c r="H117" s="19" t="str">
        <f t="shared" si="3"/>
        <v>NO</v>
      </c>
      <c r="I117" s="23" t="s">
        <v>21</v>
      </c>
      <c r="J117" s="12"/>
      <c r="K117" s="12"/>
      <c r="L117" s="13"/>
      <c r="M117" s="13"/>
      <c r="N117" s="13"/>
      <c r="O117" s="13"/>
      <c r="P117" s="14"/>
      <c r="Q117" s="24" t="b">
        <v>1</v>
      </c>
      <c r="R117" s="23" t="s">
        <v>21</v>
      </c>
      <c r="S117" s="15"/>
      <c r="T117" s="15"/>
      <c r="U117" s="16"/>
      <c r="V117" s="16"/>
      <c r="W117" s="16"/>
      <c r="X117" s="16"/>
      <c r="Y117" s="16"/>
      <c r="Z117" s="16"/>
      <c r="AA117" s="7"/>
    </row>
    <row r="118" spans="1:27" ht="14.25" x14ac:dyDescent="0.2">
      <c r="A118" s="8"/>
      <c r="B118" s="8" t="s">
        <v>243</v>
      </c>
      <c r="C118" s="8" t="s">
        <v>244</v>
      </c>
      <c r="D118" s="8">
        <v>2017</v>
      </c>
      <c r="E118" s="8"/>
      <c r="F118" s="26" t="str">
        <f>HYPERLINK("https://pure.itu.dk/portal/files/83177812/PhD_Thesis_Final_Version_Stephan_Stanciulescu.pdf")</f>
        <v>https://pure.itu.dk/portal/files/83177812/PhD_Thesis_Final_Version_Stephan_Stanciulescu.pdf</v>
      </c>
      <c r="G118" s="10"/>
      <c r="H118" s="19" t="str">
        <f t="shared" si="3"/>
        <v>NO</v>
      </c>
      <c r="I118" s="23" t="s">
        <v>21</v>
      </c>
      <c r="J118" s="12"/>
      <c r="K118" s="12"/>
      <c r="L118" s="13"/>
      <c r="M118" s="13"/>
      <c r="N118" s="13"/>
      <c r="O118" s="13"/>
      <c r="P118" s="14"/>
      <c r="Q118" s="24" t="b">
        <v>1</v>
      </c>
      <c r="R118" s="23" t="s">
        <v>21</v>
      </c>
      <c r="S118" s="15"/>
      <c r="T118" s="15"/>
      <c r="U118" s="16"/>
      <c r="V118" s="16"/>
      <c r="W118" s="16"/>
      <c r="X118" s="16"/>
      <c r="Y118" s="16"/>
      <c r="Z118" s="16"/>
      <c r="AA118" s="7"/>
    </row>
    <row r="119" spans="1:27" ht="14.25" x14ac:dyDescent="0.2">
      <c r="A119" s="8"/>
      <c r="B119" s="8" t="s">
        <v>245</v>
      </c>
      <c r="C119" s="8" t="s">
        <v>246</v>
      </c>
      <c r="D119" s="8">
        <v>2021</v>
      </c>
      <c r="E119" s="8"/>
      <c r="F119" s="26" t="str">
        <f>HYPERLINK("https://www.scitepress.org/Papers/2021/103101/103101.pdf")</f>
        <v>https://www.scitepress.org/Papers/2021/103101/103101.pdf</v>
      </c>
      <c r="G119" s="10"/>
      <c r="H119" s="19" t="str">
        <f t="shared" si="3"/>
        <v>NO</v>
      </c>
      <c r="I119" s="23" t="s">
        <v>21</v>
      </c>
      <c r="J119" s="12"/>
      <c r="K119" s="12"/>
      <c r="L119" s="13"/>
      <c r="M119" s="13"/>
      <c r="N119" s="13"/>
      <c r="O119" s="13"/>
      <c r="P119" s="14"/>
      <c r="Q119" s="14"/>
      <c r="R119" s="23" t="s">
        <v>21</v>
      </c>
      <c r="S119" s="15"/>
      <c r="T119" s="15"/>
      <c r="U119" s="16"/>
      <c r="V119" s="16"/>
      <c r="W119" s="16"/>
      <c r="X119" s="16"/>
      <c r="Y119" s="16"/>
      <c r="Z119" s="16"/>
      <c r="AA119" s="7"/>
    </row>
    <row r="120" spans="1:27" ht="14.25" x14ac:dyDescent="0.2">
      <c r="A120" s="8"/>
      <c r="B120" s="8" t="s">
        <v>247</v>
      </c>
      <c r="C120" s="8" t="s">
        <v>248</v>
      </c>
      <c r="D120" s="8">
        <v>2017</v>
      </c>
      <c r="E120" s="8"/>
      <c r="F120" s="26" t="str">
        <f>HYPERLINK("https://gupea.ub.gu.se/handle/2077/52196")</f>
        <v>https://gupea.ub.gu.se/handle/2077/52196</v>
      </c>
      <c r="G120" s="10"/>
      <c r="H120" s="19" t="str">
        <f t="shared" si="3"/>
        <v>NO</v>
      </c>
      <c r="I120" s="23" t="s">
        <v>21</v>
      </c>
      <c r="J120" s="12"/>
      <c r="K120" s="12"/>
      <c r="L120" s="13"/>
      <c r="M120" s="13"/>
      <c r="N120" s="13"/>
      <c r="O120" s="13"/>
      <c r="P120" s="14"/>
      <c r="Q120" s="24" t="b">
        <v>1</v>
      </c>
      <c r="R120" s="23" t="s">
        <v>21</v>
      </c>
      <c r="S120" s="15"/>
      <c r="T120" s="15"/>
      <c r="U120" s="16"/>
      <c r="V120" s="16"/>
      <c r="W120" s="16"/>
      <c r="X120" s="16"/>
      <c r="Y120" s="16"/>
      <c r="Z120" s="16"/>
      <c r="AA120" s="7"/>
    </row>
    <row r="121" spans="1:27" ht="14.25" x14ac:dyDescent="0.2">
      <c r="A121" s="8"/>
      <c r="B121" s="8" t="s">
        <v>249</v>
      </c>
      <c r="C121" s="8" t="s">
        <v>250</v>
      </c>
      <c r="D121" s="8">
        <v>2020</v>
      </c>
      <c r="E121" s="8"/>
      <c r="F121" s="26" t="str">
        <f>HYPERLINK("https://papyrus.bib.umontreal.ca/xmlui/handle/1866/24310")</f>
        <v>https://papyrus.bib.umontreal.ca/xmlui/handle/1866/24310</v>
      </c>
      <c r="G121" s="10"/>
      <c r="H121" s="19" t="str">
        <f t="shared" si="3"/>
        <v>NO</v>
      </c>
      <c r="I121" s="30" t="s">
        <v>21</v>
      </c>
      <c r="J121" s="12"/>
      <c r="K121" s="12"/>
      <c r="L121" s="13"/>
      <c r="M121" s="13"/>
      <c r="N121" s="13"/>
      <c r="O121" s="13"/>
      <c r="P121" s="14"/>
      <c r="Q121" s="24" t="b">
        <v>1</v>
      </c>
      <c r="R121" s="30" t="s">
        <v>21</v>
      </c>
      <c r="S121" s="15"/>
      <c r="T121" s="15"/>
      <c r="U121" s="16"/>
      <c r="V121" s="16"/>
      <c r="W121" s="16"/>
      <c r="X121" s="16"/>
      <c r="Y121" s="16"/>
      <c r="Z121" s="16"/>
      <c r="AA121" s="7"/>
    </row>
    <row r="122" spans="1:27" ht="14.25" x14ac:dyDescent="0.2">
      <c r="A122" s="8"/>
      <c r="B122" s="8" t="s">
        <v>251</v>
      </c>
      <c r="C122" s="8" t="s">
        <v>252</v>
      </c>
      <c r="D122" s="8">
        <v>2021</v>
      </c>
      <c r="E122" s="22"/>
      <c r="F122" s="26" t="str">
        <f>HYPERLINK("https://link.springer.com/article/10.1007/s10270-020-00854-x")</f>
        <v>https://link.springer.com/article/10.1007/s10270-020-00854-x</v>
      </c>
      <c r="G122" s="10"/>
      <c r="H122" s="19" t="str">
        <f t="shared" si="3"/>
        <v>NO</v>
      </c>
      <c r="I122" s="23" t="s">
        <v>21</v>
      </c>
      <c r="J122" s="12"/>
      <c r="K122" s="12"/>
      <c r="L122" s="13"/>
      <c r="M122" s="13"/>
      <c r="N122" s="13"/>
      <c r="O122" s="13"/>
      <c r="P122" s="14"/>
      <c r="Q122" s="14"/>
      <c r="R122" s="23" t="s">
        <v>21</v>
      </c>
      <c r="S122" s="15"/>
      <c r="T122" s="15"/>
      <c r="U122" s="16"/>
      <c r="V122" s="16"/>
      <c r="W122" s="16"/>
      <c r="X122" s="16"/>
      <c r="Y122" s="16"/>
      <c r="Z122" s="16"/>
      <c r="AA122" s="7"/>
    </row>
    <row r="123" spans="1:27" ht="14.25" x14ac:dyDescent="0.2">
      <c r="A123" s="8"/>
      <c r="B123" s="8" t="s">
        <v>253</v>
      </c>
      <c r="C123" s="8" t="s">
        <v>254</v>
      </c>
      <c r="D123" s="8"/>
      <c r="E123" s="8"/>
      <c r="F123" s="26" t="e">
        <f>HYPERLINK("https://soft-dev.org/pubs/pdf/erdweg_van_der_storm_voelter_tratt_bosman_cook_gerritsen_hilshout_kelly_loh_konat_molina_palatnik_pohjonen_schindler_schindler_solmi_vergu_visser_van_der_vlist_wachsmuth_van_der_woning__evaluating_and_comparing_language_workb"&amp;"enches.pdf")</f>
        <v>#VALUE!</v>
      </c>
      <c r="G123" s="10"/>
      <c r="H123" s="19" t="str">
        <f t="shared" si="3"/>
        <v>NO</v>
      </c>
      <c r="I123" s="23" t="s">
        <v>21</v>
      </c>
      <c r="J123" s="12"/>
      <c r="K123" s="12"/>
      <c r="L123" s="24" t="b">
        <v>1</v>
      </c>
      <c r="M123" s="13"/>
      <c r="N123" s="13"/>
      <c r="O123" s="13"/>
      <c r="P123" s="14"/>
      <c r="Q123" s="14"/>
      <c r="R123" s="23" t="s">
        <v>21</v>
      </c>
      <c r="S123" s="15"/>
      <c r="T123" s="15"/>
      <c r="U123" s="16"/>
      <c r="V123" s="16"/>
      <c r="W123" s="16"/>
      <c r="X123" s="16"/>
      <c r="Y123" s="16"/>
      <c r="Z123" s="16"/>
      <c r="AA123" s="7"/>
    </row>
    <row r="124" spans="1:27" ht="14.25" x14ac:dyDescent="0.2">
      <c r="A124" s="8"/>
      <c r="B124" s="8" t="s">
        <v>255</v>
      </c>
      <c r="C124" s="8" t="s">
        <v>256</v>
      </c>
      <c r="D124" s="8">
        <v>2018</v>
      </c>
      <c r="E124" s="22" t="s">
        <v>257</v>
      </c>
      <c r="F124" s="26" t="str">
        <f>HYPERLINK("https://d3s.mff.cuni.cz/files/publications/vysoky_ingrid_report_2018.pdf")</f>
        <v>https://d3s.mff.cuni.cz/files/publications/vysoky_ingrid_report_2018.pdf</v>
      </c>
      <c r="G124" s="10"/>
      <c r="H124" s="19" t="str">
        <f t="shared" si="3"/>
        <v>NO</v>
      </c>
      <c r="I124" s="30" t="s">
        <v>21</v>
      </c>
      <c r="J124" s="12"/>
      <c r="K124" s="12"/>
      <c r="L124" s="13"/>
      <c r="M124" s="13"/>
      <c r="N124" s="13"/>
      <c r="O124" s="13"/>
      <c r="P124" s="14"/>
      <c r="Q124" s="24" t="b">
        <v>1</v>
      </c>
      <c r="R124" s="30" t="s">
        <v>21</v>
      </c>
      <c r="S124" s="15"/>
      <c r="T124" s="15"/>
      <c r="U124" s="16"/>
      <c r="V124" s="16"/>
      <c r="W124" s="16"/>
      <c r="X124" s="16"/>
      <c r="Y124" s="16"/>
      <c r="Z124" s="25" t="b">
        <v>1</v>
      </c>
      <c r="AA124" s="7"/>
    </row>
    <row r="125" spans="1:27" ht="14.25" x14ac:dyDescent="0.2">
      <c r="A125" s="8"/>
      <c r="B125" s="8" t="s">
        <v>258</v>
      </c>
      <c r="C125" s="8" t="s">
        <v>259</v>
      </c>
      <c r="D125" s="8">
        <v>2015</v>
      </c>
      <c r="E125" s="22"/>
      <c r="F125" s="26" t="str">
        <f>HYPERLINK("https://hal.archives-ouvertes.fr/tel-01246035/")</f>
        <v>https://hal.archives-ouvertes.fr/tel-01246035/</v>
      </c>
      <c r="G125" s="10"/>
      <c r="H125" s="19" t="str">
        <f t="shared" si="3"/>
        <v>NO</v>
      </c>
      <c r="I125" s="23" t="s">
        <v>21</v>
      </c>
      <c r="J125" s="12"/>
      <c r="K125" s="12"/>
      <c r="L125" s="24" t="b">
        <v>1</v>
      </c>
      <c r="M125" s="13"/>
      <c r="N125" s="13"/>
      <c r="O125" s="13"/>
      <c r="P125" s="14"/>
      <c r="Q125" s="14"/>
      <c r="R125" s="23" t="s">
        <v>21</v>
      </c>
      <c r="S125" s="15"/>
      <c r="T125" s="15"/>
      <c r="U125" s="16"/>
      <c r="V125" s="16"/>
      <c r="W125" s="16"/>
      <c r="X125" s="16"/>
      <c r="Y125" s="16"/>
      <c r="Z125" s="16"/>
      <c r="AA125" s="7"/>
    </row>
    <row r="126" spans="1:27" ht="14.25" x14ac:dyDescent="0.2">
      <c r="A126" s="8"/>
      <c r="B126" s="8" t="s">
        <v>260</v>
      </c>
      <c r="C126" s="8" t="s">
        <v>261</v>
      </c>
      <c r="D126" s="8">
        <v>2018</v>
      </c>
      <c r="E126" s="8"/>
      <c r="F126" s="26" t="str">
        <f>HYPERLINK("https://ieeexplore.ieee.org/abstract/document/8511869/")</f>
        <v>https://ieeexplore.ieee.org/abstract/document/8511869/</v>
      </c>
      <c r="G126" s="10"/>
      <c r="H126" s="19" t="str">
        <f t="shared" si="3"/>
        <v>NO</v>
      </c>
      <c r="I126" s="23" t="s">
        <v>21</v>
      </c>
      <c r="J126" s="12"/>
      <c r="K126" s="12"/>
      <c r="L126" s="24" t="b">
        <v>1</v>
      </c>
      <c r="M126" s="13"/>
      <c r="N126" s="13"/>
      <c r="O126" s="13"/>
      <c r="P126" s="14"/>
      <c r="Q126" s="14"/>
      <c r="R126" s="23" t="s">
        <v>21</v>
      </c>
      <c r="S126" s="15"/>
      <c r="T126" s="15"/>
      <c r="U126" s="16"/>
      <c r="V126" s="16"/>
      <c r="W126" s="16"/>
      <c r="X126" s="16"/>
      <c r="Y126" s="16"/>
      <c r="Z126" s="16"/>
      <c r="AA126" s="7"/>
    </row>
    <row r="127" spans="1:27" ht="14.25" x14ac:dyDescent="0.2">
      <c r="A127" s="8"/>
      <c r="B127" s="8" t="s">
        <v>262</v>
      </c>
      <c r="C127" s="8" t="s">
        <v>263</v>
      </c>
      <c r="D127" s="8">
        <v>2020</v>
      </c>
      <c r="E127" s="8"/>
      <c r="F127" s="26" t="str">
        <f>HYPERLINK("https://drops.dagstuhl.de/opus/volltexte/2020/11957/")</f>
        <v>https://drops.dagstuhl.de/opus/volltexte/2020/11957/</v>
      </c>
      <c r="G127" s="10"/>
      <c r="H127" s="19" t="str">
        <f t="shared" si="3"/>
        <v>NO</v>
      </c>
      <c r="I127" s="23" t="s">
        <v>21</v>
      </c>
      <c r="J127" s="12"/>
      <c r="K127" s="12"/>
      <c r="L127" s="24" t="b">
        <v>1</v>
      </c>
      <c r="M127" s="13"/>
      <c r="N127" s="13"/>
      <c r="O127" s="13"/>
      <c r="P127" s="14"/>
      <c r="Q127" s="14"/>
      <c r="R127" s="23" t="s">
        <v>21</v>
      </c>
      <c r="S127" s="15"/>
      <c r="T127" s="15"/>
      <c r="U127" s="16"/>
      <c r="V127" s="16"/>
      <c r="W127" s="16"/>
      <c r="X127" s="16"/>
      <c r="Y127" s="16"/>
      <c r="Z127" s="16"/>
      <c r="AA127" s="7"/>
    </row>
    <row r="128" spans="1:27" ht="14.25" x14ac:dyDescent="0.2">
      <c r="A128" s="8"/>
      <c r="B128" s="8" t="s">
        <v>264</v>
      </c>
      <c r="C128" s="8" t="s">
        <v>265</v>
      </c>
      <c r="D128" s="8">
        <v>2017</v>
      </c>
      <c r="E128" s="8"/>
      <c r="F128" s="26" t="str">
        <f>HYPERLINK("https://lib.ugent.be/fulltxt/RUG01/002/376/272/RUG01-002376272_2017_0001_AC.pdf")</f>
        <v>https://lib.ugent.be/fulltxt/RUG01/002/376/272/RUG01-002376272_2017_0001_AC.pdf</v>
      </c>
      <c r="G128" s="10"/>
      <c r="H128" s="19" t="str">
        <f t="shared" si="3"/>
        <v>NO</v>
      </c>
      <c r="I128" s="23" t="s">
        <v>21</v>
      </c>
      <c r="J128" s="12"/>
      <c r="K128" s="12"/>
      <c r="L128" s="24" t="b">
        <v>1</v>
      </c>
      <c r="M128" s="13"/>
      <c r="N128" s="13"/>
      <c r="O128" s="13"/>
      <c r="P128" s="14"/>
      <c r="Q128" s="14"/>
      <c r="R128" s="23" t="s">
        <v>21</v>
      </c>
      <c r="S128" s="15"/>
      <c r="T128" s="15"/>
      <c r="U128" s="16"/>
      <c r="V128" s="16"/>
      <c r="W128" s="16"/>
      <c r="X128" s="16"/>
      <c r="Y128" s="16"/>
      <c r="Z128" s="16"/>
      <c r="AA128" s="7"/>
    </row>
    <row r="129" spans="1:27" ht="14.25" x14ac:dyDescent="0.2">
      <c r="A129" s="8"/>
      <c r="B129" s="8" t="s">
        <v>266</v>
      </c>
      <c r="C129" s="8" t="s">
        <v>267</v>
      </c>
      <c r="D129" s="8">
        <v>2015</v>
      </c>
      <c r="E129" s="8"/>
      <c r="F129" s="26" t="str">
        <f>HYPERLINK("http://voelter.de/data/pub/BuildingMbeddr-Experiences.pdf")</f>
        <v>http://voelter.de/data/pub/BuildingMbeddr-Experiences.pdf</v>
      </c>
      <c r="G129" s="10"/>
      <c r="H129" s="19" t="str">
        <f t="shared" si="3"/>
        <v>NO</v>
      </c>
      <c r="I129" s="23" t="s">
        <v>21</v>
      </c>
      <c r="J129" s="12"/>
      <c r="K129" s="12"/>
      <c r="L129" s="24" t="b">
        <v>1</v>
      </c>
      <c r="M129" s="13"/>
      <c r="N129" s="13"/>
      <c r="O129" s="13"/>
      <c r="P129" s="14"/>
      <c r="Q129" s="14"/>
      <c r="R129" s="23" t="s">
        <v>21</v>
      </c>
      <c r="S129" s="15"/>
      <c r="T129" s="15"/>
      <c r="U129" s="16"/>
      <c r="V129" s="16"/>
      <c r="W129" s="16"/>
      <c r="X129" s="16"/>
      <c r="Y129" s="16"/>
      <c r="Z129" s="16"/>
      <c r="AA129" s="7"/>
    </row>
    <row r="130" spans="1:27" ht="14.25" x14ac:dyDescent="0.2">
      <c r="A130" s="8"/>
      <c r="B130" s="8" t="s">
        <v>268</v>
      </c>
      <c r="C130" s="8" t="s">
        <v>269</v>
      </c>
      <c r="D130" s="8">
        <v>2018</v>
      </c>
      <c r="E130" s="8"/>
      <c r="F130" s="26" t="str">
        <f>HYPERLINK("https://dl.gi.de/handle/20.500.12116/21147")</f>
        <v>https://dl.gi.de/handle/20.500.12116/21147</v>
      </c>
      <c r="G130" s="10"/>
      <c r="H130" s="19" t="str">
        <f t="shared" si="3"/>
        <v>NO</v>
      </c>
      <c r="I130" s="23" t="s">
        <v>21</v>
      </c>
      <c r="J130" s="12"/>
      <c r="K130" s="12"/>
      <c r="L130" s="13"/>
      <c r="M130" s="13"/>
      <c r="N130" s="13"/>
      <c r="O130" s="13"/>
      <c r="P130" s="14"/>
      <c r="Q130" s="14"/>
      <c r="R130" s="23" t="s">
        <v>21</v>
      </c>
      <c r="S130" s="15"/>
      <c r="T130" s="15"/>
      <c r="U130" s="16"/>
      <c r="V130" s="16"/>
      <c r="W130" s="16"/>
      <c r="X130" s="16"/>
      <c r="Y130" s="16"/>
      <c r="Z130" s="16"/>
      <c r="AA130" s="7"/>
    </row>
    <row r="131" spans="1:27" ht="14.25" x14ac:dyDescent="0.2">
      <c r="A131" s="8"/>
      <c r="B131" s="8" t="s">
        <v>270</v>
      </c>
      <c r="C131" s="8" t="s">
        <v>271</v>
      </c>
      <c r="D131" s="8">
        <v>2015</v>
      </c>
      <c r="E131" s="8"/>
      <c r="F131" s="26" t="str">
        <f>HYPERLINK("https://tel.archives-ouvertes.fr/tel-01308660/")</f>
        <v>https://tel.archives-ouvertes.fr/tel-01308660/</v>
      </c>
      <c r="G131" s="10"/>
      <c r="H131" s="19" t="str">
        <f t="shared" si="3"/>
        <v>NO</v>
      </c>
      <c r="I131" s="23" t="s">
        <v>21</v>
      </c>
      <c r="J131" s="12"/>
      <c r="K131" s="12"/>
      <c r="L131" s="24" t="b">
        <v>1</v>
      </c>
      <c r="M131" s="13"/>
      <c r="N131" s="13"/>
      <c r="O131" s="13"/>
      <c r="P131" s="14"/>
      <c r="Q131" s="14"/>
      <c r="R131" s="23" t="s">
        <v>21</v>
      </c>
      <c r="S131" s="15"/>
      <c r="T131" s="15"/>
      <c r="U131" s="16"/>
      <c r="V131" s="16"/>
      <c r="W131" s="16"/>
      <c r="X131" s="16"/>
      <c r="Y131" s="16"/>
      <c r="Z131" s="16"/>
      <c r="AA131" s="7"/>
    </row>
    <row r="132" spans="1:27" ht="14.25" x14ac:dyDescent="0.2">
      <c r="A132" s="8"/>
      <c r="B132" s="8" t="s">
        <v>272</v>
      </c>
      <c r="C132" s="8" t="s">
        <v>273</v>
      </c>
      <c r="D132" s="8">
        <v>2015</v>
      </c>
      <c r="E132" s="8"/>
      <c r="F132" s="26" t="str">
        <f>HYPERLINK("http://othes.univie.ac.at/40092/1/2015-12-04_0730353.pdf")</f>
        <v>http://othes.univie.ac.at/40092/1/2015-12-04_0730353.pdf</v>
      </c>
      <c r="G132" s="10"/>
      <c r="H132" s="19" t="str">
        <f t="shared" si="3"/>
        <v>NO</v>
      </c>
      <c r="I132" s="23" t="s">
        <v>21</v>
      </c>
      <c r="J132" s="12"/>
      <c r="K132" s="12"/>
      <c r="L132" s="24" t="b">
        <v>1</v>
      </c>
      <c r="M132" s="13"/>
      <c r="N132" s="13"/>
      <c r="O132" s="13"/>
      <c r="P132" s="14"/>
      <c r="Q132" s="14"/>
      <c r="R132" s="23" t="s">
        <v>21</v>
      </c>
      <c r="S132" s="15"/>
      <c r="T132" s="15"/>
      <c r="U132" s="16"/>
      <c r="V132" s="16"/>
      <c r="W132" s="16"/>
      <c r="X132" s="16"/>
      <c r="Y132" s="16"/>
      <c r="Z132" s="16"/>
      <c r="AA132" s="7"/>
    </row>
    <row r="133" spans="1:27" ht="14.25" x14ac:dyDescent="0.2">
      <c r="A133" s="8"/>
      <c r="B133" s="8" t="s">
        <v>274</v>
      </c>
      <c r="C133" s="8" t="s">
        <v>275</v>
      </c>
      <c r="D133" s="8"/>
      <c r="E133" s="8"/>
      <c r="F133" s="26" t="str">
        <f>HYPERLINK("https://web.engr.oregonstate.edu/~walkiner/papers/icsme16-variation-control-system.pdf")</f>
        <v>https://web.engr.oregonstate.edu/~walkiner/papers/icsme16-variation-control-system.pdf</v>
      </c>
      <c r="G133" s="10"/>
      <c r="H133" s="19" t="str">
        <f t="shared" si="3"/>
        <v>NO</v>
      </c>
      <c r="I133" s="30" t="s">
        <v>21</v>
      </c>
      <c r="J133" s="12"/>
      <c r="K133" s="12"/>
      <c r="L133" s="13"/>
      <c r="M133" s="13"/>
      <c r="N133" s="13"/>
      <c r="O133" s="13"/>
      <c r="P133" s="14"/>
      <c r="Q133" s="14"/>
      <c r="R133" s="27" t="s">
        <v>21</v>
      </c>
      <c r="S133" s="15"/>
      <c r="T133" s="15"/>
      <c r="U133" s="16"/>
      <c r="V133" s="16"/>
      <c r="W133" s="16"/>
      <c r="X133" s="16"/>
      <c r="Y133" s="16"/>
      <c r="Z133" s="16"/>
      <c r="AA133" s="7"/>
    </row>
    <row r="134" spans="1:27" ht="14.25" x14ac:dyDescent="0.2">
      <c r="A134" s="8"/>
      <c r="B134" s="8" t="s">
        <v>276</v>
      </c>
      <c r="C134" s="8" t="s">
        <v>277</v>
      </c>
      <c r="D134" s="8">
        <v>2019</v>
      </c>
      <c r="E134" s="8"/>
      <c r="F134" s="26" t="str">
        <f>HYPERLINK("https://search.proquest.com/openview/9422a580f09872bd5b36000bf868dd96/1?pq-origsite=gscholar&amp;cbl=2045975")</f>
        <v>https://search.proquest.com/openview/9422a580f09872bd5b36000bf868dd96/1?pq-origsite=gscholar&amp;cbl=2045975</v>
      </c>
      <c r="G134" s="10"/>
      <c r="H134" s="19" t="str">
        <f t="shared" si="3"/>
        <v>NO</v>
      </c>
      <c r="I134" s="23" t="s">
        <v>21</v>
      </c>
      <c r="J134" s="12"/>
      <c r="K134" s="12"/>
      <c r="L134" s="13"/>
      <c r="M134" s="24" t="b">
        <v>1</v>
      </c>
      <c r="N134" s="13"/>
      <c r="O134" s="13"/>
      <c r="P134" s="14"/>
      <c r="Q134" s="14"/>
      <c r="R134" s="23" t="s">
        <v>21</v>
      </c>
      <c r="S134" s="15"/>
      <c r="T134" s="15"/>
      <c r="U134" s="16"/>
      <c r="V134" s="16"/>
      <c r="W134" s="16"/>
      <c r="X134" s="16"/>
      <c r="Y134" s="16"/>
      <c r="Z134" s="16"/>
      <c r="AA134" s="7"/>
    </row>
    <row r="135" spans="1:27" ht="14.25" x14ac:dyDescent="0.2">
      <c r="A135" s="8"/>
      <c r="B135" s="8" t="s">
        <v>278</v>
      </c>
      <c r="C135" s="8" t="s">
        <v>279</v>
      </c>
      <c r="D135" s="8">
        <v>2020</v>
      </c>
      <c r="E135" s="8"/>
      <c r="F135" s="26" t="str">
        <f>HYPERLINK("https://dl.acm.org/doi/abs/10.1145/3417990.3421998")</f>
        <v>https://dl.acm.org/doi/abs/10.1145/3417990.3421998</v>
      </c>
      <c r="G135" s="10"/>
      <c r="H135" s="19" t="str">
        <f t="shared" si="3"/>
        <v>MAYBE</v>
      </c>
      <c r="I135" s="23" t="s">
        <v>56</v>
      </c>
      <c r="J135" s="28" t="b">
        <v>1</v>
      </c>
      <c r="K135" s="28" t="b">
        <v>1</v>
      </c>
      <c r="L135" s="13"/>
      <c r="M135" s="13"/>
      <c r="N135" s="13"/>
      <c r="O135" s="13"/>
      <c r="P135" s="14"/>
      <c r="Q135" s="14"/>
      <c r="R135" s="23" t="s">
        <v>21</v>
      </c>
      <c r="S135" s="29" t="b">
        <v>1</v>
      </c>
      <c r="T135" s="15"/>
      <c r="U135" s="16"/>
      <c r="V135" s="16"/>
      <c r="W135" s="16"/>
      <c r="X135" s="16"/>
      <c r="Y135" s="16"/>
      <c r="Z135" s="16"/>
      <c r="AA135" s="7"/>
    </row>
    <row r="136" spans="1:27" ht="14.25" x14ac:dyDescent="0.2">
      <c r="A136" s="8"/>
      <c r="B136" s="8" t="s">
        <v>214</v>
      </c>
      <c r="C136" s="8" t="s">
        <v>280</v>
      </c>
      <c r="D136" s="8">
        <v>2020</v>
      </c>
      <c r="E136" s="8"/>
      <c r="F136" s="26" t="str">
        <f>HYPERLINK("https://ojs.bibsys.no/index.php/NIK/article/view/839")</f>
        <v>https://ojs.bibsys.no/index.php/NIK/article/view/839</v>
      </c>
      <c r="G136" s="10"/>
      <c r="H136" s="19" t="str">
        <f t="shared" si="3"/>
        <v>NO</v>
      </c>
      <c r="I136" s="30" t="s">
        <v>21</v>
      </c>
      <c r="J136" s="12"/>
      <c r="K136" s="12"/>
      <c r="L136" s="13"/>
      <c r="M136" s="13"/>
      <c r="N136" s="13"/>
      <c r="O136" s="13"/>
      <c r="P136" s="14"/>
      <c r="Q136" s="14"/>
      <c r="R136" s="23" t="s">
        <v>21</v>
      </c>
      <c r="S136" s="15"/>
      <c r="T136" s="15"/>
      <c r="U136" s="16"/>
      <c r="V136" s="16"/>
      <c r="W136" s="16"/>
      <c r="X136" s="16"/>
      <c r="Y136" s="16"/>
      <c r="Z136" s="16"/>
      <c r="AA136" s="7"/>
    </row>
    <row r="137" spans="1:27" ht="14.25" x14ac:dyDescent="0.2">
      <c r="A137" s="8"/>
      <c r="B137" s="8" t="s">
        <v>281</v>
      </c>
      <c r="C137" s="8" t="s">
        <v>282</v>
      </c>
      <c r="D137" s="8">
        <v>2020</v>
      </c>
      <c r="E137" s="8"/>
      <c r="F137" s="26" t="str">
        <f>HYPERLINK("https://fileadmin.cs.lth.se/cs/Education/edan70/CompilerProjects/2019/Reports/Castanier.pdf")</f>
        <v>https://fileadmin.cs.lth.se/cs/Education/edan70/CompilerProjects/2019/Reports/Castanier.pdf</v>
      </c>
      <c r="G137" s="10"/>
      <c r="H137" s="19" t="str">
        <f t="shared" si="3"/>
        <v>NO</v>
      </c>
      <c r="I137" s="23" t="s">
        <v>21</v>
      </c>
      <c r="J137" s="12"/>
      <c r="K137" s="12"/>
      <c r="L137" s="13"/>
      <c r="M137" s="13"/>
      <c r="N137" s="13"/>
      <c r="O137" s="13"/>
      <c r="P137" s="14"/>
      <c r="Q137" s="14"/>
      <c r="R137" s="23" t="s">
        <v>21</v>
      </c>
      <c r="S137" s="15"/>
      <c r="T137" s="15"/>
      <c r="U137" s="16"/>
      <c r="V137" s="16"/>
      <c r="W137" s="16"/>
      <c r="X137" s="16"/>
      <c r="Y137" s="16"/>
      <c r="Z137" s="25" t="b">
        <v>1</v>
      </c>
      <c r="AA137" s="7"/>
    </row>
    <row r="138" spans="1:27" ht="14.25" x14ac:dyDescent="0.2">
      <c r="A138" s="8"/>
      <c r="B138" s="8" t="s">
        <v>283</v>
      </c>
      <c r="C138" s="8" t="s">
        <v>284</v>
      </c>
      <c r="D138" s="8"/>
      <c r="E138" s="8"/>
      <c r="F138" s="26" t="str">
        <f>HYPERLINK("https://www.student.informatik.tu-darmstadt.de/~xx00seba/publications/lwc16-spoofax.pdf")</f>
        <v>https://www.student.informatik.tu-darmstadt.de/~xx00seba/publications/lwc16-spoofax.pdf</v>
      </c>
      <c r="G138" s="10"/>
      <c r="H138" s="19" t="str">
        <f t="shared" si="3"/>
        <v>NO</v>
      </c>
      <c r="I138" s="23" t="s">
        <v>21</v>
      </c>
      <c r="J138" s="12"/>
      <c r="K138" s="12"/>
      <c r="L138" s="13"/>
      <c r="M138" s="13"/>
      <c r="N138" s="13"/>
      <c r="O138" s="13"/>
      <c r="P138" s="14"/>
      <c r="Q138" s="14"/>
      <c r="R138" s="23" t="s">
        <v>21</v>
      </c>
      <c r="S138" s="15"/>
      <c r="T138" s="15"/>
      <c r="U138" s="16"/>
      <c r="V138" s="16"/>
      <c r="W138" s="16"/>
      <c r="X138" s="16"/>
      <c r="Y138" s="16"/>
      <c r="Z138" s="16"/>
      <c r="AA138" s="7"/>
    </row>
    <row r="139" spans="1:27" ht="14.25" x14ac:dyDescent="0.2">
      <c r="A139" s="8"/>
      <c r="B139" s="8" t="s">
        <v>224</v>
      </c>
      <c r="C139" s="8" t="s">
        <v>285</v>
      </c>
      <c r="D139" s="8"/>
      <c r="E139" s="8"/>
      <c r="F139" s="26" t="str">
        <f>HYPERLINK("https://www.pl.informatik.uni-mainz.de/files/2019/04/towards-live-language-development.pdf")</f>
        <v>https://www.pl.informatik.uni-mainz.de/files/2019/04/towards-live-language-development.pdf</v>
      </c>
      <c r="G139" s="10"/>
      <c r="H139" s="19" t="str">
        <f t="shared" si="3"/>
        <v>NO</v>
      </c>
      <c r="I139" s="23" t="s">
        <v>21</v>
      </c>
      <c r="J139" s="12"/>
      <c r="K139" s="12"/>
      <c r="L139" s="24" t="b">
        <v>1</v>
      </c>
      <c r="M139" s="13"/>
      <c r="N139" s="13"/>
      <c r="O139" s="13"/>
      <c r="P139" s="14"/>
      <c r="Q139" s="14"/>
      <c r="R139" s="23" t="s">
        <v>21</v>
      </c>
      <c r="S139" s="15"/>
      <c r="T139" s="15"/>
      <c r="U139" s="16"/>
      <c r="V139" s="16"/>
      <c r="W139" s="16"/>
      <c r="X139" s="16"/>
      <c r="Y139" s="16"/>
      <c r="Z139" s="16"/>
      <c r="AA139" s="7"/>
    </row>
    <row r="140" spans="1:27" ht="14.25" x14ac:dyDescent="0.2">
      <c r="A140" s="8"/>
      <c r="B140" s="8" t="s">
        <v>286</v>
      </c>
      <c r="C140" s="8" t="s">
        <v>287</v>
      </c>
      <c r="D140" s="8"/>
      <c r="E140" s="8"/>
      <c r="F140" s="26" t="str">
        <f>HYPERLINK("https://openscience.ub.uni-mainz.de/handle/20.500.12030/5617")</f>
        <v>https://openscience.ub.uni-mainz.de/handle/20.500.12030/5617</v>
      </c>
      <c r="G140" s="10"/>
      <c r="H140" s="19" t="str">
        <f t="shared" si="3"/>
        <v>NO</v>
      </c>
      <c r="I140" s="27" t="s">
        <v>21</v>
      </c>
      <c r="J140" s="12"/>
      <c r="K140" s="12"/>
      <c r="L140" s="24" t="b">
        <v>1</v>
      </c>
      <c r="M140" s="13"/>
      <c r="N140" s="13"/>
      <c r="O140" s="13"/>
      <c r="P140" s="14"/>
      <c r="Q140" s="14"/>
      <c r="R140" s="23" t="s">
        <v>21</v>
      </c>
      <c r="S140" s="15"/>
      <c r="T140" s="15"/>
      <c r="U140" s="16"/>
      <c r="V140" s="16"/>
      <c r="W140" s="16"/>
      <c r="X140" s="16"/>
      <c r="Y140" s="16"/>
      <c r="Z140" s="16"/>
      <c r="AA140" s="7"/>
    </row>
    <row r="141" spans="1:27" ht="14.25" x14ac:dyDescent="0.2">
      <c r="A141" s="8"/>
      <c r="B141" s="8" t="s">
        <v>288</v>
      </c>
      <c r="C141" s="8" t="s">
        <v>289</v>
      </c>
      <c r="D141" s="8">
        <v>2018</v>
      </c>
      <c r="E141" s="8"/>
      <c r="F141" s="26" t="str">
        <f>HYPERLINK("https://www.irit.fr/~Herve.Leblanc/These_Robin_Bussenot.pdf")</f>
        <v>https://www.irit.fr/~Herve.Leblanc/These_Robin_Bussenot.pdf</v>
      </c>
      <c r="G141" s="10"/>
      <c r="H141" s="19" t="str">
        <f t="shared" si="3"/>
        <v>NO</v>
      </c>
      <c r="I141" s="23" t="s">
        <v>21</v>
      </c>
      <c r="J141" s="12"/>
      <c r="K141" s="12"/>
      <c r="L141" s="13"/>
      <c r="M141" s="24" t="b">
        <v>1</v>
      </c>
      <c r="N141" s="13"/>
      <c r="O141" s="13"/>
      <c r="P141" s="14"/>
      <c r="Q141" s="14"/>
      <c r="R141" s="31" t="s">
        <v>21</v>
      </c>
      <c r="S141" s="15"/>
      <c r="T141" s="15"/>
      <c r="U141" s="16"/>
      <c r="V141" s="16"/>
      <c r="W141" s="16"/>
      <c r="X141" s="16"/>
      <c r="Y141" s="16"/>
      <c r="Z141" s="16"/>
      <c r="AA141" s="7"/>
    </row>
    <row r="142" spans="1:27" ht="14.25" x14ac:dyDescent="0.2">
      <c r="A142" s="8"/>
      <c r="B142" s="8" t="s">
        <v>290</v>
      </c>
      <c r="C142" s="8" t="s">
        <v>221</v>
      </c>
      <c r="D142" s="8"/>
      <c r="E142" s="8"/>
      <c r="F142" s="26" t="str">
        <f>HYPERLINK("http://swsys.ru/files/2020-1/27-32.pdf")</f>
        <v>http://swsys.ru/files/2020-1/27-32.pdf</v>
      </c>
      <c r="G142" s="10"/>
      <c r="H142" s="19" t="str">
        <f t="shared" si="3"/>
        <v>NO</v>
      </c>
      <c r="I142" s="23" t="s">
        <v>21</v>
      </c>
      <c r="J142" s="12"/>
      <c r="K142" s="12"/>
      <c r="L142" s="13"/>
      <c r="M142" s="24" t="b">
        <v>1</v>
      </c>
      <c r="N142" s="13"/>
      <c r="O142" s="13"/>
      <c r="P142" s="14"/>
      <c r="Q142" s="14"/>
      <c r="R142" s="23" t="s">
        <v>21</v>
      </c>
      <c r="S142" s="15"/>
      <c r="T142" s="15"/>
      <c r="U142" s="16"/>
      <c r="V142" s="16"/>
      <c r="W142" s="16"/>
      <c r="X142" s="16"/>
      <c r="Y142" s="16"/>
      <c r="Z142" s="16"/>
      <c r="AA142" s="7"/>
    </row>
    <row r="143" spans="1:27" ht="14.25" x14ac:dyDescent="0.2">
      <c r="A143" s="8"/>
      <c r="B143" s="8" t="s">
        <v>291</v>
      </c>
      <c r="C143" s="8" t="s">
        <v>292</v>
      </c>
      <c r="D143" s="8">
        <v>2018</v>
      </c>
      <c r="E143" s="8"/>
      <c r="F143" s="26" t="str">
        <f>HYPERLINK("https://tel.archives-ouvertes.fr/tel-02130427/")</f>
        <v>https://tel.archives-ouvertes.fr/tel-02130427/</v>
      </c>
      <c r="G143" s="10"/>
      <c r="H143" s="19" t="str">
        <f t="shared" si="3"/>
        <v>NO</v>
      </c>
      <c r="I143" s="30" t="s">
        <v>21</v>
      </c>
      <c r="J143" s="12"/>
      <c r="K143" s="12"/>
      <c r="L143" s="13"/>
      <c r="M143" s="24" t="b">
        <v>1</v>
      </c>
      <c r="N143" s="13"/>
      <c r="O143" s="13"/>
      <c r="P143" s="14"/>
      <c r="Q143" s="14"/>
      <c r="R143" s="30" t="s">
        <v>21</v>
      </c>
      <c r="S143" s="15"/>
      <c r="T143" s="15"/>
      <c r="U143" s="16"/>
      <c r="V143" s="16"/>
      <c r="W143" s="16"/>
      <c r="X143" s="16"/>
      <c r="Y143" s="16"/>
      <c r="Z143" s="16"/>
      <c r="AA143" s="7"/>
    </row>
    <row r="144" spans="1:27" ht="14.25" x14ac:dyDescent="0.2">
      <c r="A144" s="8"/>
      <c r="B144" s="8"/>
      <c r="C144" s="8"/>
      <c r="D144" s="8"/>
      <c r="E144" s="8"/>
      <c r="F144" s="10"/>
      <c r="G144" s="10"/>
      <c r="H144" s="19"/>
      <c r="I144" s="11"/>
      <c r="J144" s="12"/>
      <c r="K144" s="12"/>
      <c r="L144" s="13"/>
      <c r="M144" s="13"/>
      <c r="N144" s="13"/>
      <c r="O144" s="13"/>
      <c r="P144" s="14"/>
      <c r="Q144" s="14"/>
      <c r="R144" s="11"/>
      <c r="S144" s="15"/>
      <c r="T144" s="15"/>
      <c r="U144" s="16"/>
      <c r="V144" s="16"/>
      <c r="W144" s="16"/>
      <c r="X144" s="16"/>
      <c r="Y144" s="16"/>
      <c r="Z144" s="16"/>
      <c r="AA144" s="7"/>
    </row>
    <row r="145" spans="1:27" ht="14.25" x14ac:dyDescent="0.2">
      <c r="A145" s="8"/>
      <c r="B145" s="8"/>
      <c r="C145" s="8"/>
      <c r="D145" s="8"/>
      <c r="E145" s="8"/>
      <c r="F145" s="10"/>
      <c r="G145" s="10"/>
      <c r="H145" s="19"/>
      <c r="I145" s="11"/>
      <c r="J145" s="12"/>
      <c r="K145" s="12"/>
      <c r="L145" s="13"/>
      <c r="M145" s="13"/>
      <c r="N145" s="13"/>
      <c r="O145" s="13"/>
      <c r="P145" s="14"/>
      <c r="Q145" s="14"/>
      <c r="R145" s="11"/>
      <c r="S145" s="15"/>
      <c r="T145" s="15"/>
      <c r="U145" s="16"/>
      <c r="V145" s="16"/>
      <c r="W145" s="16"/>
      <c r="X145" s="16"/>
      <c r="Y145" s="16"/>
      <c r="Z145" s="16"/>
      <c r="AA145" s="7"/>
    </row>
    <row r="146" spans="1:27" ht="14.25" x14ac:dyDescent="0.2">
      <c r="A146" s="8"/>
      <c r="B146" s="8" t="s">
        <v>293</v>
      </c>
      <c r="C146" s="8"/>
      <c r="D146" s="8"/>
      <c r="E146" s="8"/>
      <c r="F146" s="10"/>
      <c r="G146" s="10"/>
      <c r="H146" s="19"/>
      <c r="I146" s="11"/>
      <c r="J146" s="12"/>
      <c r="K146" s="12"/>
      <c r="L146" s="13"/>
      <c r="M146" s="13"/>
      <c r="N146" s="13"/>
      <c r="O146" s="13"/>
      <c r="P146" s="14"/>
      <c r="Q146" s="14"/>
      <c r="R146" s="11"/>
      <c r="S146" s="15"/>
      <c r="T146" s="15"/>
      <c r="U146" s="16"/>
      <c r="V146" s="16"/>
      <c r="W146" s="16"/>
      <c r="X146" s="16"/>
      <c r="Y146" s="16"/>
      <c r="Z146" s="16"/>
      <c r="AA146" s="7"/>
    </row>
    <row r="147" spans="1:27" ht="14.25" x14ac:dyDescent="0.2">
      <c r="A147" s="8"/>
      <c r="B147" s="8"/>
      <c r="C147" s="8"/>
      <c r="D147" s="8"/>
      <c r="E147" s="8"/>
      <c r="F147" s="10"/>
      <c r="G147" s="10"/>
      <c r="H147" s="19"/>
      <c r="I147" s="11"/>
      <c r="J147" s="12"/>
      <c r="K147" s="12"/>
      <c r="L147" s="13"/>
      <c r="M147" s="13"/>
      <c r="N147" s="13"/>
      <c r="O147" s="13"/>
      <c r="P147" s="14"/>
      <c r="Q147" s="14"/>
      <c r="R147" s="11"/>
      <c r="S147" s="15"/>
      <c r="T147" s="15"/>
      <c r="U147" s="16"/>
      <c r="V147" s="16"/>
      <c r="W147" s="16"/>
      <c r="X147" s="16"/>
      <c r="Y147" s="16"/>
      <c r="Z147" s="16"/>
      <c r="AA147" s="7"/>
    </row>
    <row r="148" spans="1:27" ht="14.25" x14ac:dyDescent="0.2">
      <c r="A148" s="8"/>
      <c r="B148" s="8"/>
      <c r="C148" s="8" t="s">
        <v>294</v>
      </c>
      <c r="D148" s="8"/>
      <c r="E148" s="8"/>
      <c r="F148" s="26" t="s">
        <v>295</v>
      </c>
      <c r="G148" s="10"/>
      <c r="H148" s="19" t="str">
        <f t="shared" ref="H148:H156" si="4">IF(I148=R148,I148,IF(AND(I148="YES",R148="MAYBE"),"YES",IF(AND(I148="MAYBE",R148="YES"),"YES",IF(OR(AND(I148="NO",R148="YES"),AND(I148="YES",R148="NO")),"MAYBE","NO"))))</f>
        <v>NO</v>
      </c>
      <c r="I148" s="23" t="s">
        <v>21</v>
      </c>
      <c r="J148" s="28" t="b">
        <v>0</v>
      </c>
      <c r="K148" s="28" t="b">
        <v>0</v>
      </c>
      <c r="L148" s="24" t="b">
        <v>0</v>
      </c>
      <c r="M148" s="24" t="b">
        <v>0</v>
      </c>
      <c r="N148" s="24" t="b">
        <v>0</v>
      </c>
      <c r="O148" s="24" t="b">
        <v>0</v>
      </c>
      <c r="P148" s="24" t="b">
        <v>0</v>
      </c>
      <c r="Q148" s="24" t="b">
        <v>0</v>
      </c>
      <c r="R148" s="23" t="s">
        <v>21</v>
      </c>
      <c r="S148" s="29" t="b">
        <v>0</v>
      </c>
      <c r="T148" s="29" t="b">
        <v>0</v>
      </c>
      <c r="U148" s="25" t="b">
        <v>0</v>
      </c>
      <c r="V148" s="25" t="b">
        <v>0</v>
      </c>
      <c r="W148" s="25" t="b">
        <v>0</v>
      </c>
      <c r="X148" s="25" t="b">
        <v>0</v>
      </c>
      <c r="Y148" s="25" t="b">
        <v>0</v>
      </c>
      <c r="Z148" s="25" t="b">
        <v>1</v>
      </c>
      <c r="AA148" s="7"/>
    </row>
    <row r="149" spans="1:27" ht="14.25" x14ac:dyDescent="0.2">
      <c r="A149" s="8"/>
      <c r="B149" s="8" t="s">
        <v>296</v>
      </c>
      <c r="C149" s="8" t="s">
        <v>297</v>
      </c>
      <c r="D149" s="8"/>
      <c r="E149" s="8"/>
      <c r="F149" s="26" t="s">
        <v>298</v>
      </c>
      <c r="G149" s="10"/>
      <c r="H149" s="19" t="str">
        <f t="shared" si="4"/>
        <v>MAYBE</v>
      </c>
      <c r="I149" s="23" t="s">
        <v>21</v>
      </c>
      <c r="J149" s="28" t="b">
        <v>0</v>
      </c>
      <c r="K149" s="28" t="b">
        <v>0</v>
      </c>
      <c r="L149" s="24" t="b">
        <v>0</v>
      </c>
      <c r="M149" s="24" t="b">
        <v>0</v>
      </c>
      <c r="N149" s="24" t="b">
        <v>0</v>
      </c>
      <c r="O149" s="24" t="b">
        <v>0</v>
      </c>
      <c r="P149" s="24" t="b">
        <v>0</v>
      </c>
      <c r="Q149" s="24" t="b">
        <v>0</v>
      </c>
      <c r="R149" s="23" t="s">
        <v>56</v>
      </c>
      <c r="S149" s="29" t="b">
        <v>0</v>
      </c>
      <c r="T149" s="29" t="b">
        <v>0</v>
      </c>
      <c r="U149" s="25" t="b">
        <v>0</v>
      </c>
      <c r="V149" s="25" t="b">
        <v>0</v>
      </c>
      <c r="W149" s="25" t="b">
        <v>0</v>
      </c>
      <c r="X149" s="25" t="b">
        <v>0</v>
      </c>
      <c r="Y149" s="25" t="b">
        <v>0</v>
      </c>
      <c r="Z149" s="25" t="b">
        <v>0</v>
      </c>
      <c r="AA149" s="7"/>
    </row>
    <row r="150" spans="1:27" ht="14.25" x14ac:dyDescent="0.2">
      <c r="A150" s="8"/>
      <c r="B150" s="8" t="s">
        <v>299</v>
      </c>
      <c r="C150" s="8" t="s">
        <v>300</v>
      </c>
      <c r="D150" s="8">
        <v>2018</v>
      </c>
      <c r="E150" s="8"/>
      <c r="F150" s="26" t="s">
        <v>301</v>
      </c>
      <c r="G150" s="10" t="s">
        <v>302</v>
      </c>
      <c r="H150" s="19" t="str">
        <f t="shared" si="4"/>
        <v>NO</v>
      </c>
      <c r="I150" s="23" t="s">
        <v>21</v>
      </c>
      <c r="J150" s="28" t="b">
        <v>0</v>
      </c>
      <c r="K150" s="28" t="b">
        <v>0</v>
      </c>
      <c r="L150" s="24" t="b">
        <v>0</v>
      </c>
      <c r="M150" s="24" t="b">
        <v>0</v>
      </c>
      <c r="N150" s="24" t="b">
        <v>0</v>
      </c>
      <c r="O150" s="24" t="b">
        <v>0</v>
      </c>
      <c r="P150" s="24" t="b">
        <v>0</v>
      </c>
      <c r="Q150" s="24" t="b">
        <v>0</v>
      </c>
      <c r="R150" s="23" t="s">
        <v>21</v>
      </c>
      <c r="S150" s="29" t="b">
        <v>0</v>
      </c>
      <c r="T150" s="29" t="b">
        <v>0</v>
      </c>
      <c r="U150" s="25" t="b">
        <v>0</v>
      </c>
      <c r="V150" s="25" t="b">
        <v>0</v>
      </c>
      <c r="W150" s="25" t="b">
        <v>0</v>
      </c>
      <c r="X150" s="25" t="b">
        <v>0</v>
      </c>
      <c r="Y150" s="25" t="b">
        <v>0</v>
      </c>
      <c r="Z150" s="25" t="b">
        <v>0</v>
      </c>
      <c r="AA150" s="7"/>
    </row>
    <row r="151" spans="1:27" ht="14.25" x14ac:dyDescent="0.2">
      <c r="A151" s="8"/>
      <c r="B151" s="8" t="s">
        <v>303</v>
      </c>
      <c r="C151" s="8" t="s">
        <v>304</v>
      </c>
      <c r="D151" s="8">
        <v>2018</v>
      </c>
      <c r="E151" s="8"/>
      <c r="F151" s="17" t="s">
        <v>305</v>
      </c>
      <c r="G151" s="10"/>
      <c r="H151" s="19" t="str">
        <f t="shared" si="4"/>
        <v>NO</v>
      </c>
      <c r="I151" s="30" t="s">
        <v>21</v>
      </c>
      <c r="J151" s="28" t="b">
        <v>0</v>
      </c>
      <c r="K151" s="28" t="b">
        <v>0</v>
      </c>
      <c r="L151" s="24" t="b">
        <v>0</v>
      </c>
      <c r="M151" s="24" t="b">
        <v>0</v>
      </c>
      <c r="N151" s="24" t="b">
        <v>0</v>
      </c>
      <c r="O151" s="24" t="b">
        <v>0</v>
      </c>
      <c r="P151" s="24" t="b">
        <v>0</v>
      </c>
      <c r="Q151" s="24" t="b">
        <v>0</v>
      </c>
      <c r="R151" s="27" t="s">
        <v>21</v>
      </c>
      <c r="S151" s="29" t="b">
        <v>0</v>
      </c>
      <c r="T151" s="29" t="b">
        <v>0</v>
      </c>
      <c r="U151" s="25" t="b">
        <v>0</v>
      </c>
      <c r="V151" s="25" t="b">
        <v>0</v>
      </c>
      <c r="W151" s="25" t="b">
        <v>0</v>
      </c>
      <c r="X151" s="25" t="b">
        <v>0</v>
      </c>
      <c r="Y151" s="25" t="b">
        <v>0</v>
      </c>
      <c r="Z151" s="25" t="b">
        <v>0</v>
      </c>
      <c r="AA151" s="7"/>
    </row>
    <row r="152" spans="1:27" ht="14.25" x14ac:dyDescent="0.2">
      <c r="A152" s="8"/>
      <c r="B152" s="8" t="s">
        <v>306</v>
      </c>
      <c r="C152" s="8" t="s">
        <v>307</v>
      </c>
      <c r="D152" s="8">
        <v>2011</v>
      </c>
      <c r="E152" s="8"/>
      <c r="F152" s="26" t="s">
        <v>308</v>
      </c>
      <c r="G152" s="10"/>
      <c r="H152" s="19" t="str">
        <f t="shared" si="4"/>
        <v>NO</v>
      </c>
      <c r="I152" s="23" t="s">
        <v>21</v>
      </c>
      <c r="J152" s="28" t="b">
        <v>0</v>
      </c>
      <c r="K152" s="28" t="b">
        <v>0</v>
      </c>
      <c r="L152" s="24" t="b">
        <v>0</v>
      </c>
      <c r="M152" s="24" t="b">
        <v>1</v>
      </c>
      <c r="N152" s="24" t="b">
        <v>0</v>
      </c>
      <c r="O152" s="24" t="b">
        <v>0</v>
      </c>
      <c r="P152" s="24" t="b">
        <v>0</v>
      </c>
      <c r="Q152" s="24" t="b">
        <v>0</v>
      </c>
      <c r="R152" s="23" t="s">
        <v>21</v>
      </c>
      <c r="S152" s="29" t="b">
        <v>0</v>
      </c>
      <c r="T152" s="29" t="b">
        <v>0</v>
      </c>
      <c r="U152" s="25" t="b">
        <v>0</v>
      </c>
      <c r="V152" s="25" t="b">
        <v>0</v>
      </c>
      <c r="W152" s="25" t="b">
        <v>0</v>
      </c>
      <c r="X152" s="25" t="b">
        <v>0</v>
      </c>
      <c r="Y152" s="25" t="b">
        <v>0</v>
      </c>
      <c r="Z152" s="25" t="b">
        <v>0</v>
      </c>
      <c r="AA152" s="7"/>
    </row>
    <row r="153" spans="1:27" ht="14.25" x14ac:dyDescent="0.2">
      <c r="A153" s="8"/>
      <c r="B153" s="8" t="s">
        <v>309</v>
      </c>
      <c r="C153" s="8" t="s">
        <v>310</v>
      </c>
      <c r="D153" s="8">
        <v>2017</v>
      </c>
      <c r="E153" s="8" t="s">
        <v>311</v>
      </c>
      <c r="F153" s="26" t="s">
        <v>312</v>
      </c>
      <c r="G153" s="10"/>
      <c r="H153" s="19" t="str">
        <f t="shared" si="4"/>
        <v>NO</v>
      </c>
      <c r="I153" s="23" t="s">
        <v>21</v>
      </c>
      <c r="J153" s="28" t="b">
        <v>0</v>
      </c>
      <c r="K153" s="28" t="b">
        <v>0</v>
      </c>
      <c r="L153" s="24" t="b">
        <v>0</v>
      </c>
      <c r="M153" s="24" t="b">
        <v>0</v>
      </c>
      <c r="N153" s="24" t="b">
        <v>0</v>
      </c>
      <c r="O153" s="24" t="b">
        <v>0</v>
      </c>
      <c r="P153" s="24" t="b">
        <v>0</v>
      </c>
      <c r="Q153" s="24" t="b">
        <v>1</v>
      </c>
      <c r="R153" s="23" t="s">
        <v>21</v>
      </c>
      <c r="S153" s="29" t="b">
        <v>0</v>
      </c>
      <c r="T153" s="29" t="b">
        <v>0</v>
      </c>
      <c r="U153" s="25" t="b">
        <v>0</v>
      </c>
      <c r="V153" s="25" t="b">
        <v>0</v>
      </c>
      <c r="W153" s="25" t="b">
        <v>0</v>
      </c>
      <c r="X153" s="25" t="b">
        <v>0</v>
      </c>
      <c r="Y153" s="25" t="b">
        <v>0</v>
      </c>
      <c r="Z153" s="25" t="b">
        <v>0</v>
      </c>
      <c r="AA153" s="7"/>
    </row>
    <row r="154" spans="1:27" ht="14.25" x14ac:dyDescent="0.2">
      <c r="A154" s="8"/>
      <c r="B154" s="8" t="s">
        <v>306</v>
      </c>
      <c r="C154" s="8" t="s">
        <v>307</v>
      </c>
      <c r="D154" s="8">
        <v>2011</v>
      </c>
      <c r="E154" s="8"/>
      <c r="F154" s="26" t="s">
        <v>308</v>
      </c>
      <c r="G154" s="10"/>
      <c r="H154" s="19" t="str">
        <f t="shared" si="4"/>
        <v>NO</v>
      </c>
      <c r="I154" s="23" t="s">
        <v>21</v>
      </c>
      <c r="J154" s="28" t="b">
        <v>0</v>
      </c>
      <c r="K154" s="28" t="b">
        <v>0</v>
      </c>
      <c r="L154" s="24" t="b">
        <v>0</v>
      </c>
      <c r="M154" s="24" t="b">
        <v>1</v>
      </c>
      <c r="N154" s="24" t="b">
        <v>0</v>
      </c>
      <c r="O154" s="24" t="b">
        <v>0</v>
      </c>
      <c r="P154" s="24" t="b">
        <v>0</v>
      </c>
      <c r="Q154" s="24" t="b">
        <v>0</v>
      </c>
      <c r="R154" s="23" t="s">
        <v>21</v>
      </c>
      <c r="S154" s="29" t="b">
        <v>0</v>
      </c>
      <c r="T154" s="29" t="b">
        <v>0</v>
      </c>
      <c r="U154" s="25" t="b">
        <v>0</v>
      </c>
      <c r="V154" s="25" t="b">
        <v>0</v>
      </c>
      <c r="W154" s="25" t="b">
        <v>0</v>
      </c>
      <c r="X154" s="25" t="b">
        <v>0</v>
      </c>
      <c r="Y154" s="25" t="b">
        <v>0</v>
      </c>
      <c r="Z154" s="25" t="b">
        <v>0</v>
      </c>
      <c r="AA154" s="7"/>
    </row>
    <row r="155" spans="1:27" ht="14.25" x14ac:dyDescent="0.2">
      <c r="A155" s="8"/>
      <c r="B155" s="8" t="s">
        <v>306</v>
      </c>
      <c r="C155" s="8" t="s">
        <v>307</v>
      </c>
      <c r="D155" s="8">
        <v>2011</v>
      </c>
      <c r="E155" s="8"/>
      <c r="F155" s="26" t="s">
        <v>308</v>
      </c>
      <c r="G155" s="10"/>
      <c r="H155" s="19" t="str">
        <f t="shared" si="4"/>
        <v>NO</v>
      </c>
      <c r="I155" s="23" t="s">
        <v>21</v>
      </c>
      <c r="J155" s="28" t="b">
        <v>0</v>
      </c>
      <c r="K155" s="28" t="b">
        <v>0</v>
      </c>
      <c r="L155" s="24" t="b">
        <v>0</v>
      </c>
      <c r="M155" s="24" t="b">
        <v>1</v>
      </c>
      <c r="N155" s="24" t="b">
        <v>0</v>
      </c>
      <c r="O155" s="24" t="b">
        <v>0</v>
      </c>
      <c r="P155" s="24" t="b">
        <v>0</v>
      </c>
      <c r="Q155" s="24" t="b">
        <v>0</v>
      </c>
      <c r="R155" s="23" t="s">
        <v>21</v>
      </c>
      <c r="S155" s="29" t="b">
        <v>0</v>
      </c>
      <c r="T155" s="29" t="b">
        <v>0</v>
      </c>
      <c r="U155" s="25" t="b">
        <v>0</v>
      </c>
      <c r="V155" s="25" t="b">
        <v>0</v>
      </c>
      <c r="W155" s="25" t="b">
        <v>0</v>
      </c>
      <c r="X155" s="25" t="b">
        <v>0</v>
      </c>
      <c r="Y155" s="25" t="b">
        <v>0</v>
      </c>
      <c r="Z155" s="25" t="b">
        <v>0</v>
      </c>
      <c r="AA155" s="7"/>
    </row>
    <row r="156" spans="1:27" ht="14.25" x14ac:dyDescent="0.2">
      <c r="A156" s="8"/>
      <c r="B156" s="8" t="s">
        <v>306</v>
      </c>
      <c r="C156" s="8" t="s">
        <v>307</v>
      </c>
      <c r="D156" s="8">
        <v>2011</v>
      </c>
      <c r="E156" s="8"/>
      <c r="F156" s="17" t="s">
        <v>308</v>
      </c>
      <c r="G156" s="10"/>
      <c r="H156" s="19" t="str">
        <f t="shared" si="4"/>
        <v>NO</v>
      </c>
      <c r="I156" s="30" t="s">
        <v>21</v>
      </c>
      <c r="J156" s="28" t="b">
        <v>0</v>
      </c>
      <c r="K156" s="28" t="b">
        <v>0</v>
      </c>
      <c r="L156" s="24" t="b">
        <v>0</v>
      </c>
      <c r="M156" s="24" t="b">
        <v>1</v>
      </c>
      <c r="N156" s="24" t="b">
        <v>0</v>
      </c>
      <c r="O156" s="24" t="b">
        <v>0</v>
      </c>
      <c r="P156" s="24" t="b">
        <v>0</v>
      </c>
      <c r="Q156" s="24" t="b">
        <v>0</v>
      </c>
      <c r="R156" s="30" t="s">
        <v>21</v>
      </c>
      <c r="S156" s="29" t="b">
        <v>0</v>
      </c>
      <c r="T156" s="29" t="b">
        <v>0</v>
      </c>
      <c r="U156" s="25" t="b">
        <v>0</v>
      </c>
      <c r="V156" s="25" t="b">
        <v>0</v>
      </c>
      <c r="W156" s="25" t="b">
        <v>0</v>
      </c>
      <c r="X156" s="25" t="b">
        <v>0</v>
      </c>
      <c r="Y156" s="25" t="b">
        <v>0</v>
      </c>
      <c r="Z156" s="25" t="b">
        <v>0</v>
      </c>
      <c r="AA156" s="7"/>
    </row>
  </sheetData>
  <autoFilter ref="H1:H156"/>
  <conditionalFormatting sqref="H2:I156 R2:R156">
    <cfRule type="cellIs" dxfId="3" priority="1" operator="equal">
      <formula>"YES"</formula>
    </cfRule>
  </conditionalFormatting>
  <conditionalFormatting sqref="H2:I156 R2:R156">
    <cfRule type="cellIs" dxfId="2" priority="2" operator="equal">
      <formula>"MAYBE"</formula>
    </cfRule>
  </conditionalFormatting>
  <conditionalFormatting sqref="H2:I156 R2:R156">
    <cfRule type="cellIs" dxfId="1" priority="3" operator="equal">
      <formula>"NO"</formula>
    </cfRule>
  </conditionalFormatting>
  <conditionalFormatting sqref="I1:I156 R1:R156">
    <cfRule type="containsBlanks" dxfId="0" priority="5">
      <formula>LEN(TRIM(I1))=0</formula>
    </cfRule>
  </conditionalFormatting>
  <hyperlinks>
    <hyperlink ref="F9" r:id="rId1"/>
    <hyperlink ref="F148" r:id="rId2"/>
    <hyperlink ref="F149" r:id="rId3"/>
    <hyperlink ref="F150" r:id="rId4"/>
    <hyperlink ref="F151" r:id="rId5"/>
    <hyperlink ref="F152" r:id="rId6"/>
    <hyperlink ref="F153" r:id="rId7"/>
    <hyperlink ref="F154" r:id="rId8"/>
    <hyperlink ref="F155" r:id="rId9"/>
    <hyperlink ref="F156" r:id="rId10"/>
  </hyperlinks>
  <pageMargins left="0.7" right="0.7" top="0.78740157499999996" bottom="0.78740157499999996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2021-08-15T12:43:45Z</dcterms:modified>
</cp:coreProperties>
</file>