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6" i="1" l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62" i="1"/>
  <c r="F62" i="1"/>
  <c r="H61" i="1"/>
  <c r="F61" i="1"/>
  <c r="H60" i="1"/>
  <c r="F60" i="1"/>
  <c r="H59" i="1"/>
  <c r="H58" i="1"/>
  <c r="F58" i="1"/>
  <c r="H57" i="1"/>
  <c r="F57" i="1"/>
  <c r="H56" i="1"/>
  <c r="F56" i="1"/>
  <c r="H55" i="1"/>
  <c r="F55" i="1"/>
  <c r="H54" i="1"/>
  <c r="H53" i="1"/>
  <c r="F53" i="1"/>
  <c r="H52" i="1"/>
  <c r="F52" i="1"/>
  <c r="H51" i="1"/>
  <c r="H50" i="1"/>
  <c r="H49" i="1"/>
  <c r="F49" i="1"/>
  <c r="H48" i="1"/>
  <c r="H47" i="1"/>
  <c r="F47" i="1"/>
  <c r="H46" i="1"/>
  <c r="F46" i="1"/>
  <c r="H45" i="1"/>
  <c r="H44" i="1"/>
  <c r="F44" i="1"/>
  <c r="H43" i="1"/>
  <c r="H42" i="1"/>
  <c r="F42" i="1"/>
  <c r="H41" i="1"/>
  <c r="F41" i="1"/>
  <c r="H40" i="1"/>
  <c r="H39" i="1"/>
  <c r="F39" i="1"/>
  <c r="H38" i="1"/>
  <c r="H37" i="1"/>
  <c r="H36" i="1"/>
  <c r="F36" i="1"/>
  <c r="H35" i="1"/>
  <c r="F35" i="1"/>
  <c r="H34" i="1"/>
  <c r="F34" i="1"/>
  <c r="H33" i="1"/>
  <c r="F33" i="1"/>
  <c r="H32" i="1"/>
  <c r="F32" i="1"/>
  <c r="H31" i="1"/>
  <c r="H30" i="1"/>
  <c r="F30" i="1"/>
  <c r="H29" i="1"/>
  <c r="F29" i="1"/>
  <c r="H28" i="1"/>
  <c r="F28" i="1"/>
  <c r="H27" i="1"/>
  <c r="H26" i="1"/>
  <c r="F26" i="1"/>
  <c r="H25" i="1"/>
  <c r="H24" i="1"/>
  <c r="H23" i="1"/>
  <c r="H22" i="1"/>
  <c r="F22" i="1"/>
  <c r="H21" i="1"/>
  <c r="H20" i="1"/>
  <c r="F20" i="1"/>
  <c r="H19" i="1"/>
  <c r="H18" i="1"/>
  <c r="F18" i="1"/>
  <c r="H17" i="1"/>
  <c r="F17" i="1"/>
  <c r="H16" i="1"/>
  <c r="F16" i="1"/>
  <c r="H15" i="1"/>
  <c r="F15" i="1"/>
  <c r="H14" i="1"/>
  <c r="F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<sst xmlns="http://schemas.openxmlformats.org/spreadsheetml/2006/main" count="1310" uniqueCount="653">
  <si>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</si>
  <si>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</si>
  <si>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</si>
  <si>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</si>
  <si>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</si>
  <si>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</si>
  <si>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</si>
  <si>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</si>
  <si>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</si>
  <si>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</si>
  <si>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</si>
  <si>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</si>
  <si>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</si>
  <si>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</si>
  <si>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</si>
  <si>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</si>
  <si>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MontiCore: a framework for compositional development of domain specific languages</t>
  </si>
  <si>
    <t>References TOTAL 70.</t>
  </si>
  <si>
    <t>References NEW 54:</t>
  </si>
  <si>
    <t>The Eclipse IDE Meta-tooling Platform Website</t>
  </si>
  <si>
    <t>http://eclipse-imp.sourceforge.net/</t>
  </si>
  <si>
    <t>NO</t>
  </si>
  <si>
    <t>Velocity Website</t>
  </si>
  <si>
    <t>http://velocity.apache.org/</t>
  </si>
  <si>
    <t>Eclipse Website</t>
  </si>
  <si>
    <t>http://www.eclipse.org</t>
  </si>
  <si>
    <t>MontiCore Website</t>
  </si>
  <si>
    <t>http://www.monticore.de</t>
  </si>
  <si>
    <t>OpenArchitectureWare Website</t>
  </si>
  <si>
    <t>http://www.openarchitectureware.com/</t>
  </si>
  <si>
    <t>David S. Wile</t>
  </si>
  <si>
    <t>Abstract syntax from concrete syntax</t>
  </si>
  <si>
    <t>10.1145/253228.253388</t>
  </si>
  <si>
    <t>B. Rumpe</t>
  </si>
  <si>
    <t>Agile Modellierung mit UML - Codegenerierung, Testfälle, Refactoring</t>
  </si>
  <si>
    <t>10.1007/b138365</t>
  </si>
  <si>
    <t>Christoph Herrmann, Holger Krahn, Bernhard Rumpe, Martin Schindler, Steven Völkel</t>
  </si>
  <si>
    <t>An Algebraic View on the Semantics of Model Composition</t>
  </si>
  <si>
    <t>10.1007/978-3-540-72901-3_8</t>
  </si>
  <si>
    <t>J. Earley</t>
  </si>
  <si>
    <t>An efficient context-free parsing algorithm</t>
  </si>
  <si>
    <t>10.1145/357980.358005</t>
  </si>
  <si>
    <t>Robert Grimm</t>
  </si>
  <si>
    <t>Better extensibility through modular syntax</t>
  </si>
  <si>
    <t>10.1145/1133981.1133987</t>
  </si>
  <si>
    <t>Dodd, C., Maslov, V.</t>
  </si>
  <si>
    <t>BTYACC—backtracking YACC, 2006. http</t>
  </si>
  <si>
    <t>website</t>
  </si>
  <si>
    <t>Eric R. Van Wyk, August C. Schwerdfeger</t>
  </si>
  <si>
    <t>Context-aware scanning for parsing extensible languages</t>
  </si>
  <si>
    <t>10.1145/1289971.1289983</t>
  </si>
  <si>
    <t>E. Gamma, K. Beck</t>
  </si>
  <si>
    <t>Contributing to Eclipse - principles, patterns, and plug-ins</t>
  </si>
  <si>
    <t>M. van den Brand, A. Sellink, C. Verhoef</t>
  </si>
  <si>
    <t>Current parsing techniques in software renovation considered harmful</t>
  </si>
  <si>
    <t>10.1109/wpc.1998.693325</t>
  </si>
  <si>
    <t>F. Büttner, Oliver Radfelder, Arne Lindow, M. Gogolla</t>
  </si>
  <si>
    <t>Digging into the Visitor Pattern</t>
  </si>
  <si>
    <t>Budinsky F., Steinberg D., Ed Merks E., Ellersick R., Grose T.J.</t>
  </si>
  <si>
    <t>Eclipse Modeling Framework</t>
  </si>
  <si>
    <t>book</t>
  </si>
  <si>
    <t>Krahn, H., Rumpe, B., Völkel, S.</t>
  </si>
  <si>
    <t>Efficient editor generation for compositional DSLs in eclipse</t>
  </si>
  <si>
    <t>M. Tomita</t>
  </si>
  <si>
    <t>Efficient parsing for natural language</t>
  </si>
  <si>
    <t>10.1007/978-1-4757-1885-0</t>
  </si>
  <si>
    <t>Joost Visser</t>
  </si>
  <si>
    <t>Generic traversal over typed source code representations</t>
  </si>
  <si>
    <t>Ralf Lämmel</t>
  </si>
  <si>
    <t>Grammar Adaptation</t>
  </si>
  <si>
    <t>10.1007/3-540-45251-6_32</t>
  </si>
  <si>
    <t>C. Hoare</t>
  </si>
  <si>
    <t>Hints on programming language design.</t>
  </si>
  <si>
    <t>10.1007/978-3-662-09507-2_3</t>
  </si>
  <si>
    <t>Marjan Mernik, Viljem Žumer, Mitja Lenič, Enis Avdičaušević</t>
  </si>
  <si>
    <t>Implementation of multiple attribute grammar inheritance in the tool LISA</t>
  </si>
  <si>
    <t>10.1145/606666.606678</t>
  </si>
  <si>
    <t>Hans Grönniger, H. Krahn, B. Rumpe, M. Schindler</t>
  </si>
  <si>
    <t>Integration von Modellen in einen codebasierten Softwareentwicklungsprozess</t>
  </si>
  <si>
    <t>Frédéric Jouault, Jean Bézivin</t>
  </si>
  <si>
    <t>KM3: A DSL for Metamodel Specification</t>
  </si>
  <si>
    <t>10.1007/11768869_14</t>
  </si>
  <si>
    <t>Erik Meijer, Brian Beckman, Gavin Bierman</t>
  </si>
  <si>
    <t>LINQ: reconciling object, relations and xml in the net framework</t>
  </si>
  <si>
    <t>10.1145/1142473.1142552</t>
  </si>
  <si>
    <t>Basim M. Kadhim, William M. Waite</t>
  </si>
  <si>
    <t>Maptool — supporting modular syntax development</t>
  </si>
  <si>
    <t>10.1007/3-540-61053-7_67</t>
  </si>
  <si>
    <t>D. Harel, B. Rumpe</t>
  </si>
  <si>
    <t>Meaningful modeling: what's the semantics of semantics"?</t>
  </si>
  <si>
    <t>10.1109/mc.2004.172</t>
  </si>
  <si>
    <t>Martin Bravenboer, René de Groot, Eelco Visser</t>
  </si>
  <si>
    <t>MetaBorg in Action: Examples of Domain-Specific Language Embedding and Assimilation Using Stratego/XT</t>
  </si>
  <si>
    <t>10.1007/11877028_10</t>
  </si>
  <si>
    <t>Frédéric Fondement, Rémi Schnekenburger, S. Gerard, Pierre-Alain Muller</t>
  </si>
  <si>
    <t>Metamodel-Aware Textual Concrete Syntax Specification</t>
  </si>
  <si>
    <t>Krahn H., Rumpe B., Völkel S.</t>
  </si>
  <si>
    <t>Mit sprachbaukästen zur schnelleren softwareentwicklung</t>
  </si>
  <si>
    <t>Bernhard Rumpe</t>
  </si>
  <si>
    <t>Modellierung mit UML</t>
  </si>
  <si>
    <t>10.1007/978-3-642-18733-9</t>
  </si>
  <si>
    <t>Hans Grönniger, H. Krahn, B. Rumpe, M. Schindler, Steven Völkel</t>
  </si>
  <si>
    <t>MontiCore 1.0: Framework zur Erstellung und Verarbeitung domänenspezifischer Sprachen</t>
  </si>
  <si>
    <t>MontiCore: a framework for the development of textual domain specific languages</t>
  </si>
  <si>
    <t>10.1145/1370175.1370190</t>
  </si>
  <si>
    <t>Holger Krahn, Bernhard Rumpe, Steven Völkel</t>
  </si>
  <si>
    <t>MontiCore: Modular Development of Textual Domain Specific Languages</t>
  </si>
  <si>
    <t>10.1007/978-3-540-69824-1_17</t>
  </si>
  <si>
    <t>M. Mernik, M. Lenic, Enis Avdicausevic, V. Zumer</t>
  </si>
  <si>
    <t>Multiple Attribute Grammar Inheritance</t>
  </si>
  <si>
    <t>Bryan Ford</t>
  </si>
  <si>
    <t>Packrat Parsing: Simple, Powerful, Lazy, Linear Time</t>
  </si>
  <si>
    <t>10.1145/581478.581483</t>
  </si>
  <si>
    <t>reconciling object, relations and xml in the net framework</t>
  </si>
  <si>
    <t>Reference Attributed Grammars</t>
  </si>
  <si>
    <t>Ralf Lämmel, Erik Meijer</t>
  </si>
  <si>
    <t>Revealing the X/O Impedance Mismatch</t>
  </si>
  <si>
    <t>10.1007/978-3-540-76786-2_6</t>
  </si>
  <si>
    <t>E. Gagnon, L. Hendren</t>
  </si>
  <si>
    <t>SableCC, an object-oriented compiler framework</t>
  </si>
  <si>
    <t>10.1109/tools.1998.711009</t>
  </si>
  <si>
    <t>E. Visser</t>
  </si>
  <si>
    <t>Scannerless Generalized-LR Parsing</t>
  </si>
  <si>
    <t>TR</t>
  </si>
  <si>
    <t>Ralf Lämmel, Simon Peyton Jones</t>
  </si>
  <si>
    <t>Scrap your boilerplate</t>
  </si>
  <si>
    <t>10.1145/604174.604179</t>
  </si>
  <si>
    <t>L. Bass, P. Clements, R. Kazman</t>
  </si>
  <si>
    <t>Software Architecture in Practice: Addison-Wesley</t>
  </si>
  <si>
    <t>Object Management Group. Unified Modeling Language</t>
  </si>
  <si>
    <t>Superstructure Version 2.1.2 (07-11-02) (2007). http</t>
  </si>
  <si>
    <t>Holger Krahn, Bernhard Rumpe</t>
  </si>
  <si>
    <t>Techniques for Lightweight Generator Refactoring</t>
  </si>
  <si>
    <t>10.1007/11877028_19</t>
  </si>
  <si>
    <t>M. Brand, A. Deursen, J. Heering, H. D. Jong, M. Jonge, T. Kuipers, P. Klint, L. Moonen, P. Olivier, J. Scheerder, J. Vinju, E. Visser, Joost Visser</t>
  </si>
  <si>
    <t>The Asf+Sdf Meta-Environment: a Component-Based Language Development Environment</t>
  </si>
  <si>
    <t>10.1016/s1571-0661(04)80917-4</t>
  </si>
  <si>
    <t>MAYBE</t>
  </si>
  <si>
    <t>T. Parr</t>
  </si>
  <si>
    <t>The Definitive ANTLR Reference: Building Domain-Specific Languages</t>
  </si>
  <si>
    <t>J. Palsberg, C.B. Jay</t>
  </si>
  <si>
    <t>The essence of the Visitor pattern</t>
  </si>
  <si>
    <t>10.1109/cmpsac.1998.716629</t>
  </si>
  <si>
    <t>Jan Kort, Ralf Lämmel, Chris Verhoef</t>
  </si>
  <si>
    <t>The Grammar Deployment Kit — System Demonstration —</t>
  </si>
  <si>
    <t>10.1016/s1571-0661(04)80430-4</t>
  </si>
  <si>
    <t>Torbjörn Ekman, Görel Hedin</t>
  </si>
  <si>
    <t>The jastadd extensible java compiler</t>
  </si>
  <si>
    <t>10.1145/1297105.1297029</t>
  </si>
  <si>
    <t>The JastAdd system — modular extensible compiler construction</t>
  </si>
  <si>
    <t>10.1016/j.scico.2007.02.003</t>
  </si>
  <si>
    <t>Gosling J., Joy B., Steele G.L.</t>
  </si>
  <si>
    <t>The Java Language Specification, 3rd edn. Addison-Wesley, New York (2005)</t>
  </si>
  <si>
    <t>Anthony J.H. Simons</t>
  </si>
  <si>
    <t>The Theory of Classification Part 17: Multiple Inheritance and the Resolution of Inheritance Conflicts.</t>
  </si>
  <si>
    <t>10.5381/jot.2005.4.2.c2</t>
  </si>
  <si>
    <t>Paul Klint, Ralf Lämmel, Chris Verhoef</t>
  </si>
  <si>
    <t>Toward an engineering discipline for grammarware</t>
  </si>
  <si>
    <t>10.1145/1072997.1073000</t>
  </si>
  <si>
    <t>Visitor combination and traversal control</t>
  </si>
  <si>
    <t>10.1145/504282.504302</t>
  </si>
  <si>
    <t>References already KNOWN 16:</t>
  </si>
  <si>
    <t>T. J. Parr, R. W. Quong</t>
  </si>
  <si>
    <t>ANTLR: A predicated-LL(k) parser generator</t>
  </si>
  <si>
    <t>https://doi.org/10.1002/spe.4380250705</t>
  </si>
  <si>
    <t>10.1002/spe.4380250705</t>
  </si>
  <si>
    <t>E. V. Wyk, Lijesh Krishnan, Derek Bodin, August Schwerdfeger</t>
  </si>
  <si>
    <t>Attribute Grammar-Based Language Extensions for Java</t>
  </si>
  <si>
    <t>https://doi.org/10.1007/978-3-540-73589-2_27</t>
  </si>
  <si>
    <t>10.1007/978-3-540-73589-2_27</t>
  </si>
  <si>
    <t>Martin Bravenboer, E. Visser</t>
  </si>
  <si>
    <t>Concrete syntax for objects: domain-specific language embedding and assimilation without restrictions</t>
  </si>
  <si>
    <t>https://doi.org/10.1145/1028976.1029007</t>
  </si>
  <si>
    <t>10.1145/1028976.1029007</t>
  </si>
  <si>
    <t>Gamma, E., Helm, R., Johnson, R., Vlissides, J.</t>
  </si>
  <si>
    <t>Design Patterns</t>
  </si>
  <si>
    <t>M. Bravenboer, E. Visser</t>
  </si>
  <si>
    <t>Designing Syntax Embeddings and Assimilations for Language Libraries</t>
  </si>
  <si>
    <t>https://doi.org/10.1007/978-3-540-69073-3_5</t>
  </si>
  <si>
    <t>10.1007/978-3-540-69073-3_5</t>
  </si>
  <si>
    <t>E. V. Wyk, O. Moor, K. Backhouse, P. Kwiatkowski</t>
  </si>
  <si>
    <t>Forwarding in Attribute Grammars for Modular Language Design</t>
  </si>
  <si>
    <t>https://doi.org/10.1007/3-540-45937-5_11</t>
  </si>
  <si>
    <t>10.1007/3-540-45937-5_11</t>
  </si>
  <si>
    <t>K. Czarnecki, Ulrich W. Eisenecker</t>
  </si>
  <si>
    <t>Generative programming - methods, tools and applications</t>
  </si>
  <si>
    <t>Integrated Definition of Abstract and Concrete Syntax for Textual Languages</t>
  </si>
  <si>
    <t>https://doi.org/10.1007/978-3-540-75209-7_20</t>
  </si>
  <si>
    <t>10.1007/978-3-540-75209-7_20</t>
  </si>
  <si>
    <t>Pierre-Alain Muller, Franck Fleurey, Frédéric Fondement, Michel Hassenforder, Rémi Schneckenburger, Sébastien Gérard, Jean-Marc Jézéquel</t>
  </si>
  <si>
    <t>Model-Driven Analysis and Synthesis of Concrete Syntax</t>
  </si>
  <si>
    <t>https://doi.org/10.1007/11880240_8</t>
  </si>
  <si>
    <t>10.1007/11880240_8</t>
  </si>
  <si>
    <t>Parnas, D.L.</t>
  </si>
  <si>
    <t>On the Criteria To Be Used in Decomposing Systems into Modules</t>
  </si>
  <si>
    <t>N. Nystrom, M. R. Clarkson, A. Myers</t>
  </si>
  <si>
    <t>Polyglot: An Extensible Compiler Framework for Java</t>
  </si>
  <si>
    <t>https://doi.org/10.1007/3-540-36579-6_11</t>
  </si>
  <si>
    <t>10.1007/3-540-36579-6_11</t>
  </si>
  <si>
    <t>Donald E. Knuth</t>
  </si>
  <si>
    <t>Semantics of context-free languages</t>
  </si>
  <si>
    <t>https://doi.org/10.1007/bf01692511</t>
  </si>
  <si>
    <t>10.1007/bf01692511</t>
  </si>
  <si>
    <t>Frédéric Jouault, Jean Bézivin, Ivan Kurtev</t>
  </si>
  <si>
    <t>TCS: A DSL for the Specification of Textual Concrete Syntaxes in Model Engineering</t>
  </si>
  <si>
    <t>https://doi.org/10.1145/1173706.1173744</t>
  </si>
  <si>
    <t>10.1145/1173706.1173744</t>
  </si>
  <si>
    <t>H. Grönninger, H. Krahn, B. Rumpe, M. Schindler</t>
  </si>
  <si>
    <t>Text-based Modeling</t>
  </si>
  <si>
    <t>https://arxiv.org/ftp/arxiv/papers/1409/1409.6623.pdf</t>
  </si>
  <si>
    <t>Ledeczi, A.; Maroti, M.; Bakay, A.; Karsai, G.; Garrett, J.; Thomason, C.; Nordstrom, G.; Sprinkle, J.; Volgyesi, P.</t>
  </si>
  <si>
    <t>The Generic Modeling Environment</t>
  </si>
  <si>
    <t>https://www.isis.vanderbilt.edu/sites/default/files/Ledeczi_A_5_17_2001_The_Generi.pdf</t>
  </si>
  <si>
    <t>J. Heering, P. R. H. Hendriks, P. Klint, J. Rekers</t>
  </si>
  <si>
    <t>The syntax definition formalism SDF—reference manual—</t>
  </si>
  <si>
    <t>https://doi.org/10.1145/71605.71607</t>
  </si>
  <si>
    <t>10.1145/71605.71607</t>
  </si>
  <si>
    <t>TOTAL 207</t>
  </si>
  <si>
    <t>NEW 160</t>
  </si>
  <si>
    <t>M Schindler</t>
  </si>
  <si>
    <t>Eine Werkzeuginfrastruktur zur agilen Entwicklung mit der UML/P</t>
  </si>
  <si>
    <t>U Thomas,  G Hirzinger,  B Rumpe… </t>
  </si>
  <si>
    <t>A new skill based robot programming language using uml/p statecharts</t>
  </si>
  <si>
    <t>G Gibb,  G Varghese,  M Horowitz… </t>
  </si>
  <si>
    <t>Design principles for packet parsers</t>
  </si>
  <si>
    <t>A Haber,  JO Ringert,  B Rumpe </t>
  </si>
  <si>
    <t>Montiarc-architectural modeling of interactive distributed and cyber-physical systems</t>
  </si>
  <si>
    <t>tr</t>
  </si>
  <si>
    <t>P Macko,  VJ Marathe,  DW Margo… </t>
  </si>
  <si>
    <t>Llama: Efficient graph analytics using large multiversioned arrays</t>
  </si>
  <si>
    <t>B Rumpe</t>
  </si>
  <si>
    <t>Modeling with UML</t>
  </si>
  <si>
    <t>B Rumpe </t>
  </si>
  <si>
    <t>Agile Modeling with the UML</t>
  </si>
  <si>
    <t>T Kurpick,  C Pinkernell,  B Rumpe </t>
  </si>
  <si>
    <t>Der Energie Navigator</t>
  </si>
  <si>
    <t>A Bergmayr,  U Breitenbücher,  N Ferry… </t>
  </si>
  <si>
    <t>A systematic review of cloud modeling languages</t>
  </si>
  <si>
    <t>S Maoz,  JO Ringert,  B Rumpe </t>
  </si>
  <si>
    <t>ADDiff: semantic differencing for activity diagrams</t>
  </si>
  <si>
    <t>CD2Alloy: Class diagrams analysis using Alloy revisited</t>
  </si>
  <si>
    <t>A manifesto for semantic model differencing</t>
  </si>
  <si>
    <t>A Haber,  K Hölldobler,  C Kolassa,  M Look… </t>
  </si>
  <si>
    <t>Engineering delta modeling languages</t>
  </si>
  <si>
    <t>CDDiff: Semantic differencing for class diagrams</t>
  </si>
  <si>
    <t>AN Perez,  B Rumpe </t>
  </si>
  <si>
    <t>Modeling cloud architectures as interactive systems</t>
  </si>
  <si>
    <t>JO Ringert,  B Rumpe,  A Wortmann </t>
  </si>
  <si>
    <t>From software architecture structure and behavior modeling to implementations of cyber-physical systems</t>
  </si>
  <si>
    <t>F Heidenreich,  J Johannes,  S Karol,  M Seifert… </t>
  </si>
  <si>
    <t>Model-based language engineering with EMFText</t>
  </si>
  <si>
    <t>H Bruneliere,  E Burger,  J Cabot,  M Wimmer </t>
  </si>
  <si>
    <t>A feature-based survey of model view approaches</t>
  </si>
  <si>
    <t>Synthesis of component and connector models from crosscutting structural views</t>
  </si>
  <si>
    <t>P Mejía-Alvarez,  D Mossé </t>
  </si>
  <si>
    <t>A responsiveness approach for scheduling fault recovery in real-time systems</t>
  </si>
  <si>
    <t>Montiarcautomaton: Modeling architecture and behavior of robotic systems</t>
  </si>
  <si>
    <t>T Kurpick,  C Pinkernell,  M Look,  B Rumpe </t>
  </si>
  <si>
    <t>Modeling cyber-physical systems: model-driven specification of energy efficient buildings</t>
  </si>
  <si>
    <t>YES</t>
  </si>
  <si>
    <t>T Kühn,  W Cazzola,  DM Olivares </t>
  </si>
  <si>
    <t>Choosy and picky: configuration of language product lines</t>
  </si>
  <si>
    <t>B Rumpe,  K Hölldobler</t>
  </si>
  <si>
    <t>Monticore 5 language workbench. edition 2017</t>
  </si>
  <si>
    <t>Semantically configurable consistency analysis for class and object diagrams</t>
  </si>
  <si>
    <t>LM do Nascimento,  DL Viana,  PAS Neto… </t>
  </si>
  <si>
    <t>A systematic mapping study on domain-specific languages</t>
  </si>
  <si>
    <t>W Cazzola,  E Vacchi </t>
  </si>
  <si>
    <t>Neverlang 2–Componentised Language Development for the JVM</t>
  </si>
  <si>
    <t>E Vacchi,  W Cazzola,  S Pillay… </t>
  </si>
  <si>
    <t>Variability support in domain-specific language development</t>
  </si>
  <si>
    <t>Modal object diagrams</t>
  </si>
  <si>
    <t>B Rumpe,  C Schulze,  M Von Wenckstern… </t>
  </si>
  <si>
    <t>Behavioral compatibility of simulink models for product line maintenance and evolution</t>
  </si>
  <si>
    <t>A requirements modeling language for the component behavior of cyber physical robotics systems</t>
  </si>
  <si>
    <t>J Liebig,  R Daniel,  S Apel </t>
  </si>
  <si>
    <t>Feature-oriented language families: A case study</t>
  </si>
  <si>
    <t>C Herrmann,  T Kurpick,  B Rumpe </t>
  </si>
  <si>
    <t>SSELab: A plug-in-based framework for web-based project portals</t>
  </si>
  <si>
    <t>L Strigini,  AA Povyakalo… </t>
  </si>
  <si>
    <t>Human-machine diversity in the use of computerised advisory systems: a case study</t>
  </si>
  <si>
    <t>Verifying component and connector models against crosscutting structural views</t>
  </si>
  <si>
    <t>MN Fisch,  M Look,  C Pinkernell,  S Plesser… </t>
  </si>
  <si>
    <t>State-based modeling of buildings and facilities</t>
  </si>
  <si>
    <t>T Greifenberg,  K Hölldobler,  C Kolassa… </t>
  </si>
  <si>
    <t>A comparison of mechanisms for integrating handwritten and generated code for object-oriented programming languages</t>
  </si>
  <si>
    <t>M Völter </t>
  </si>
  <si>
    <t>Language and IDE modularization, extension and composition with MPS</t>
  </si>
  <si>
    <t>G Lee,  W DeLone,  JA Espinosa </t>
  </si>
  <si>
    <t>Ambidexterity and global IS project success: A theoretical model</t>
  </si>
  <si>
    <t>B Combemale,  J Kienzle,  G Mussbacher… </t>
  </si>
  <si>
    <t>Concern-oriented language development (COLD): Fostering reuse in language engineering</t>
  </si>
  <si>
    <t>E Vacchi,  W Cazzola,  B Combemale… </t>
  </si>
  <si>
    <t>Automating variability model inference for component-based language implementations</t>
  </si>
  <si>
    <t>T Greifenberg,  M Look,  S Roidl… </t>
  </si>
  <si>
    <t>Engineering tagging languages for DSLs</t>
  </si>
  <si>
    <t>JO Ringert,  A Roth,  B Rumpe,  A Wortmann </t>
  </si>
  <si>
    <t>Code generator composition for model-driven engineering of robotics component &amp; connector systems</t>
  </si>
  <si>
    <t>M Look,  AN Perez,  JO Ringert,  B Rumpe… </t>
  </si>
  <si>
    <t>Black-box integration of heterogeneous modeling languages for cyber-physical systems</t>
  </si>
  <si>
    <t>R Heim,  PMS Nazari,  JO Ringert… </t>
  </si>
  <si>
    <t>Modeling robot and world interfaces for reusable tasks</t>
  </si>
  <si>
    <t>T Greifenberg,  K Hölldobler,  C Kolassa,  M Look… </t>
  </si>
  <si>
    <t>Integration of handwritten and generated object-oriented code</t>
  </si>
  <si>
    <t>L Bettini </t>
  </si>
  <si>
    <t>A DSL for writing type systems for Xtext languages</t>
  </si>
  <si>
    <t>L Bettini,  F Damiani,  I Schaefer,  F Strocco </t>
  </si>
  <si>
    <t>TRAITRECORDJ: A programming language with traits and records</t>
  </si>
  <si>
    <t>T Kühn,  W Cazzola </t>
  </si>
  <si>
    <t>Apples and oranges: comparing top-down and bottom-up language product lines</t>
  </si>
  <si>
    <t>Implementing Java-like languages in Xtext with Xsemantics</t>
  </si>
  <si>
    <t>F Durán,  S Zschaler,  J Troya </t>
  </si>
  <si>
    <t>On the reusable specification of non-functional properties in DSLs</t>
  </si>
  <si>
    <t>A Case Study on Model-Based Development of Robotic Systems using MontiArc with Embedded Automata</t>
  </si>
  <si>
    <t>E Vacchi,  DM Olivares,  A Shaqiri… </t>
  </si>
  <si>
    <t>Neverlang 2: A framework for modular language implementation</t>
  </si>
  <si>
    <t>I Blundell,  R Brette,  TA Cleland,  TG Close… </t>
  </si>
  <si>
    <t>Code generation in computational neuroscience: a review of tools and techniques</t>
  </si>
  <si>
    <t>Language components for modular DSLs using traits</t>
  </si>
  <si>
    <t>K Adam,  L Netz,  S Varga,  J Michael,  B Rumpe… </t>
  </si>
  <si>
    <t>Model-based generation of enterprise information systems</t>
  </si>
  <si>
    <t>R Braun,  W Esswein </t>
  </si>
  <si>
    <t>Designing dialects of enterprise modeling languages with the profiling technique</t>
  </si>
  <si>
    <t>M Leduc,  T Degueule,  B Combemale… </t>
  </si>
  <si>
    <t>Revisiting visitors for modular extension of executable dsmls</t>
  </si>
  <si>
    <t>L Hermerschmidt,  AN Perez,  B Rumpe </t>
  </si>
  <si>
    <t>A Model-based software development kit for the SensorCloud platform</t>
  </si>
  <si>
    <t>PMS Nazari</t>
  </si>
  <si>
    <t>MontiCore: Efficient Development of Composed Modeling Language Essentials</t>
  </si>
  <si>
    <t>Multi-platform generative development of component &amp; connector systems using model and code libraries</t>
  </si>
  <si>
    <t>Towards model and language composition</t>
  </si>
  <si>
    <t>S Keshishzadeh,  AJ Mooij,  MR Mousavi </t>
  </si>
  <si>
    <t>Early fault detection in DSLs using SMT solving and automated debugging</t>
  </si>
  <si>
    <t>Systematic synthesis of delta modeling languages</t>
  </si>
  <si>
    <t>P Neubauer,  R Bill,  T Mayerhofer… </t>
  </si>
  <si>
    <t>Automated generation of consistency-achieving model editors</t>
  </si>
  <si>
    <t>S Maoz,  F Mehlan,  JO Ringert,  B Rumpe… </t>
  </si>
  <si>
    <t>OCL Framework to Verify Extra-Functional Properties in Component and Connector Models.</t>
  </si>
  <si>
    <t>Implementing type systems for the IDE with Xsemantics</t>
  </si>
  <si>
    <t>T Degueule,  B Combemale,  JM Jézéquel </t>
  </si>
  <si>
    <t>On language interfaces</t>
  </si>
  <si>
    <t>W Cazzola,  R Chitchyan,  A Rashid,  A Shaqiri </t>
  </si>
  <si>
    <t>μ-DSU: a micro-language based approach to dynamic software updating</t>
  </si>
  <si>
    <t>A Butting,  O Kautz,  B Rumpe,  A Wortmann </t>
  </si>
  <si>
    <t>Architectural programming with montiarcautomaton</t>
  </si>
  <si>
    <t>PMS Nazari,  A Roth,  B Rumpe </t>
  </si>
  <si>
    <t>An extended symbol table infrastructure to manage the composition of output-specific generator information</t>
  </si>
  <si>
    <t>A Horst,  B Rumpe </t>
  </si>
  <si>
    <t>Towards Compositional Domain Specific Languages.</t>
  </si>
  <si>
    <t>S Maoz,  JO Ringert,  B Rumpe… </t>
  </si>
  <si>
    <t>Consistent Extra-Functional Properties Tagging for Component and Connector Models.</t>
  </si>
  <si>
    <t>C Kolassa,  M Look,  K Müller,  A Roth,  D Reiß… </t>
  </si>
  <si>
    <t>Tunit-unit testing for template-based code generators</t>
  </si>
  <si>
    <t>SH Haeri</t>
  </si>
  <si>
    <t>Component-based mechanisation of programming languages in embedded settings</t>
  </si>
  <si>
    <t>W Cazzola,  A Shaqiri </t>
  </si>
  <si>
    <t>Modularity and optimization in synergy</t>
  </si>
  <si>
    <t>Tailoring the MontiArcAutomaton component &amp; connector ADL for generative development</t>
  </si>
  <si>
    <t>F Křikava</t>
  </si>
  <si>
    <t>Domain-specific modeling language for self-adaptive software system architectures</t>
  </si>
  <si>
    <t>A Wortmann</t>
  </si>
  <si>
    <t>An Extensible Component &amp; Connector Architecture Description Infrastructure for Multi-Platform Modeling</t>
  </si>
  <si>
    <t>A Butting,  B Rumpe,  C Schulze,  U Thomas… </t>
  </si>
  <si>
    <t>Modeling reusable, platform-independent robot assembly processes</t>
  </si>
  <si>
    <t>A Butting,  M Dalibor,  G Leonhardt,  B Rumpe… </t>
  </si>
  <si>
    <t>Deriving fluent internal domain-specific languages from grammars</t>
  </si>
  <si>
    <t>S Kriebel,  D Raco,  B Rumpe,  S Stüber </t>
  </si>
  <si>
    <t>Model-based engineering for avionics: Will specification and formal verification eg based on broy's streams become feasible?</t>
  </si>
  <si>
    <t>K Hölldobler,  P Mir Seyed Nazari… </t>
  </si>
  <si>
    <t>Adaptable symbol table management by meta modeling and generation of symbol table infrastructures</t>
  </si>
  <si>
    <t>A Garmendia,  E Guerra,  J de Lara… </t>
  </si>
  <si>
    <t>Scaling-up domain-specific modelling languages through modularity services</t>
  </si>
  <si>
    <t>T Greifenberg,  M Look,  B Rumpe </t>
  </si>
  <si>
    <t>Integrating heterogeneous building and periphery data models at the district level: the NIM approach</t>
  </si>
  <si>
    <t>M Derakhshanmanesh,  J Ebert,  M Grieger… </t>
  </si>
  <si>
    <t>Model-integrating development of software systems: a flexible component-based approach</t>
  </si>
  <si>
    <t>C Rieger,  M Westerkamp,  H Kuchen </t>
  </si>
  <si>
    <t>Challenges and Opportunities of Modularizing Textual Domain-Specific Languages.</t>
  </si>
  <si>
    <t>MV Larsen</t>
  </si>
  <si>
    <t>BCOol: the Behavioral Coordination Operator Language</t>
  </si>
  <si>
    <t>V Bertram,  A Roth,  B Rumpe,  M von Wenckstern </t>
  </si>
  <si>
    <t>Extendable Toolchain for Automatic Compatibility Checks.</t>
  </si>
  <si>
    <t>C Berger,  D Block,  S Heeren,  C Hons,  S Kühnel… </t>
  </si>
  <si>
    <t>Simulations on consumer tests: Systematic evaluation of tolerance ranges by model-based generation of simulation scenarios</t>
  </si>
  <si>
    <t>C Berger,  D Block,  C Hons,  S Kühnel… </t>
  </si>
  <si>
    <t>Large-Scale Evaluation of an Active Safety Algorithm with EuroNCAP and US NCAP Scenarios in a Virtual Test Environment--An Industrial Case Study</t>
  </si>
  <si>
    <t>KK Zaw,  N Funabiki </t>
  </si>
  <si>
    <t>A design-aware test code approach for code writing problem in Java programming learning assistant system</t>
  </si>
  <si>
    <t>Model-based specification of component behavior with controlled underspecification</t>
  </si>
  <si>
    <t>DS Kolovos,  RF Paige </t>
  </si>
  <si>
    <t>Towards a modular and flexible human-usable textual syntax for EMF models.</t>
  </si>
  <si>
    <t>A Gerasimov,  P Heuser,  H Ketteniß… </t>
  </si>
  <si>
    <t>Generated Enterprise Information Systems: MDSE for Maintainable Co-Development of Frontend and Backend.</t>
  </si>
  <si>
    <t>K Hölldobler,  J Michael,  JO Ringert,  B Rumpe…</t>
  </si>
  <si>
    <t>Innovations in model-based software and systems engineering</t>
  </si>
  <si>
    <t>K Adam,  A Butting,  R Heim,  O Kautz,  J Pfeiffer… </t>
  </si>
  <si>
    <t>Modeling Robotics Tasks for Better Separation of Concerns, Platform-Independence, and Reuse</t>
  </si>
  <si>
    <t>B Rumpe,  A Wortmann </t>
  </si>
  <si>
    <t>Abstraction and refinement in hierarchically decomposable and underspecified CPS-architectures</t>
  </si>
  <si>
    <t>T Bolender,  B Rumpe,  A Wortmann </t>
  </si>
  <si>
    <t>Investigating the Effects of Integrating Handcrafted Code in Model-Driven Engineering.</t>
  </si>
  <si>
    <t>O Kautz,  S Maoz,  JO Ringert… </t>
  </si>
  <si>
    <t>CD2Alloy: a translation of class diagrams to Alloy</t>
  </si>
  <si>
    <t>K Adam,  A Butting,  O Kautz,  J Pfeiffer,  B Rumpe… </t>
  </si>
  <si>
    <t>Retrofitting Type-safe Interfaces into Template-based Code Generators.</t>
  </si>
  <si>
    <t>D Reiß,  B Rumpe </t>
  </si>
  <si>
    <t>Using Lightweight Activity Diagrams for Modeling and Generation of Web Information Systems</t>
  </si>
  <si>
    <t>T Bieschke,  L Hermerschmidt,  B Rumpe… </t>
  </si>
  <si>
    <t>Eliminating Input-Based Attacks by Deriving Automated Encoders and Decoders from Context-Free Grammars</t>
  </si>
  <si>
    <t>Composing code generators for C&amp;C ADLs with Application-specific behavior languages (tool demonstration)</t>
  </si>
  <si>
    <t>D Lakatos,  J Porubän </t>
  </si>
  <si>
    <t>Patterns for composition of domain-specific languages</t>
  </si>
  <si>
    <t>SH Haeri,  S Schupp </t>
  </si>
  <si>
    <t>Distributed Lazy Evaluation: A Big-Step Mechanised Semantics</t>
  </si>
  <si>
    <t>J Mey,  T Kühn,  R Schöne,  U Assmann </t>
  </si>
  <si>
    <t>Reusing Static Analysis across Different Domain-Specific Languages using Reference Attribute Grammars</t>
  </si>
  <si>
    <t>P Mir Seyed Nazari,  A Roth,  B Rumpe </t>
  </si>
  <si>
    <t>Management of guided and unguided code generator customizations by using a symbol table</t>
  </si>
  <si>
    <t>T Degueule</t>
  </si>
  <si>
    <t>Interoperability and composition of dsls with melange</t>
  </si>
  <si>
    <t>T Gülke </t>
  </si>
  <si>
    <t>Erweiterung des Anforderungsmanagement-Fokus</t>
  </si>
  <si>
    <t>D Méndez-Acuña </t>
  </si>
  <si>
    <t>Variability management in domain-specific languages</t>
  </si>
  <si>
    <t>F Křikava,  P Collet</t>
  </si>
  <si>
    <t>Feedback Control Definition Language</t>
  </si>
  <si>
    <t>C Kolassa,  B Rumpe </t>
  </si>
  <si>
    <t>The Influence of the Generator's License on Generated Artifacts</t>
  </si>
  <si>
    <t>M Cimini </t>
  </si>
  <si>
    <t>Languages as first-class citizens (vision paper)</t>
  </si>
  <si>
    <t>DFM Acuña</t>
  </si>
  <si>
    <t>Leveraging software product lines engineering in the construction of domain specific languages</t>
  </si>
  <si>
    <t>ASB Herrera,  RF Willink,  M Louis </t>
  </si>
  <si>
    <t>Automatic application of visitors to evolving domain-specific languages</t>
  </si>
  <si>
    <t>R Eikermann,  K Hölldobler,  A Roth… </t>
  </si>
  <si>
    <t>Reuse and Customization for Code Generators: Synergy by Transformations and Templates</t>
  </si>
  <si>
    <t>S Plesser,  C Pinkernell,  MN Fisch,  B Rumpe </t>
  </si>
  <si>
    <t>The Energy Navigator-A Web-Platform for Performance Design and Management</t>
  </si>
  <si>
    <t>PMS Nazari,  B Rumpe </t>
  </si>
  <si>
    <t>Identifying Code Generation Candidates Using Software Categories</t>
  </si>
  <si>
    <t>T Kühn,  W Cazzola,  NP Giampietro… </t>
  </si>
  <si>
    <t>Piggyback IDE Support for Language Product Lines</t>
  </si>
  <si>
    <t>A Rodríguez,  A Rutle,  LM Kristensen… </t>
  </si>
  <si>
    <t>A foundation for the composition of multilevel domain-specific languages</t>
  </si>
  <si>
    <t>N Essadi,  A Anwar </t>
  </si>
  <si>
    <t>Towards A Language Interface Design to Coordinate Between Heterogeneous DSMLs</t>
  </si>
  <si>
    <t>A Butting,  S Hillemacher,  B Rumpe… </t>
  </si>
  <si>
    <t>Shepherding Model Evolution in Model-Driven Development.</t>
  </si>
  <si>
    <t>K Hölldobler,  N Jansen,  B Rumpe,  A Wortmann </t>
  </si>
  <si>
    <t>Komposition Domänenspezifischer Sprachen unter Nutzung der MontiCore Language Workbench, am Beispiel SysML 2</t>
  </si>
  <si>
    <t>H Rendel</t>
  </si>
  <si>
    <t>Praktische Ansätze zur Etablierung einer Software-Produktlinie in eine bestehende Mehr-Produkt-Entwicklung</t>
  </si>
  <si>
    <t>MC Gnahn</t>
  </si>
  <si>
    <t>Iterative Machbarkeitsstudie einer Domain Specific Language (DSL) im Embedded-Automotive-Bereich</t>
  </si>
  <si>
    <t>T Warnke</t>
  </si>
  <si>
    <t>Domain-specific languages for modeling and simulation</t>
  </si>
  <si>
    <t>T Greifenberg,  M Look,  C Pinkernell,  B Rumpe </t>
  </si>
  <si>
    <t>Energieeffiziente Städte–Herausforderungen und Lösungen aus Sicht des Software Engineerings</t>
  </si>
  <si>
    <t>S Sobernig </t>
  </si>
  <si>
    <t>Variability Support in DSL Development</t>
  </si>
  <si>
    <t>A Oberweis,  R Reussner</t>
  </si>
  <si>
    <t>Modellierung 2016</t>
  </si>
  <si>
    <t>K Adam,  B Rumpe,  A Wortmann </t>
  </si>
  <si>
    <t>Improving Reuse in Architecture Modeling with Higher-Order Components</t>
  </si>
  <si>
    <t>A Roth</t>
  </si>
  <si>
    <t>MontiDEx</t>
  </si>
  <si>
    <t>Language Interface-Oriented Design: A Promising Approach to Coordinate between Heterogeneous DSMLs</t>
  </si>
  <si>
    <t>S Zarnekow,  W Hasselbring,  R von Massow,  M Hanus</t>
  </si>
  <si>
    <t>Sven Efftinge</t>
  </si>
  <si>
    <t>Challenges and Opportunities of Modularizing Textual Domain-Specific</t>
  </si>
  <si>
    <t>E Vacchi</t>
  </si>
  <si>
    <t>Programming Languages à la Carte</t>
  </si>
  <si>
    <t>ASB Herrera </t>
  </si>
  <si>
    <t>Auto-generation of Model Visitor Frameworks.</t>
  </si>
  <si>
    <t>A Bergmayr</t>
  </si>
  <si>
    <t>An architecture style for cloud application modeling</t>
  </si>
  <si>
    <t>T Greifenberg,  S Hillemacher,  B Rumpe</t>
  </si>
  <si>
    <t>Towards a Sustainable Artifact Model</t>
  </si>
  <si>
    <t>H Ali </t>
  </si>
  <si>
    <t>Multi-language systems based on perspectives to promote modularity, reusability, and consistency</t>
  </si>
  <si>
    <t>P Lines</t>
  </si>
  <si>
    <t>David Fernando MÉNDEZ ACUÑA</t>
  </si>
  <si>
    <t>HY Choi </t>
  </si>
  <si>
    <t>A Study on the Complexity Measurement of Architecture Assets</t>
  </si>
  <si>
    <t>N Anquetil,  Y Tymchuk,  A Etien,  G Santos,  S Ducasse</t>
  </si>
  <si>
    <t>A Generic Platform for Name Resolution in Source Code Analysis</t>
  </si>
  <si>
    <t>G BARDARO</t>
  </si>
  <si>
    <t>Models, code generation, and abstraction: a triple approach to enhance robot software development</t>
  </si>
  <si>
    <t>A Gerasimov,  J Michael </t>
  </si>
  <si>
    <t>Agile Generator-Based GUI Modeling for Information Systems</t>
  </si>
  <si>
    <t>A Amal,  L Sliman,  M Kmimech… </t>
  </si>
  <si>
    <t>Towards a formal verification approach for cloud software architecture</t>
  </si>
  <si>
    <t>S Di Cola</t>
  </si>
  <si>
    <t>A Component-based Approach to Modelling Software Product Families with Explicitvariation Points</t>
  </si>
  <si>
    <t>T Greifenberg,  S Hillemacher… </t>
  </si>
  <si>
    <t>Applied Artifact-Based Analysis for Architecture Consistency Checking</t>
  </si>
  <si>
    <t>S Hacks</t>
  </si>
  <si>
    <t>Improving the Quality of Enterprise Architecture Models:-Processes and Techniques</t>
  </si>
  <si>
    <t>Y Tymchuk,  B Arezki,  G Santos,  R Durelli,  A Etien… </t>
  </si>
  <si>
    <t>Generic Name Resolution for Specific Language Models</t>
  </si>
  <si>
    <t>K Adam,  J Michael,  L Netz,  B Rumpe,  S Varga </t>
  </si>
  <si>
    <t>Model-Based Software Engineering at RWTH Aachen University</t>
  </si>
  <si>
    <t>KK Zaw</t>
  </si>
  <si>
    <t>A Study of Exercise Problems in Java Programming Learning Assistant System</t>
  </si>
  <si>
    <t>J Deantoni,  E Syriani,  M Amrani,  A Knapp… </t>
  </si>
  <si>
    <t>Fourth Workshop on the Globalization of Modeling Languages (GEMOC 2016)⋆</t>
  </si>
  <si>
    <t>L Favalli,  T Kühn,  W Cazzola </t>
  </si>
  <si>
    <t>Neverlang and FeatureIDE just married: integrated language product line development environment</t>
  </si>
  <si>
    <t>DIC Pinkernell,  DIM Look,  DIAS Plesser</t>
  </si>
  <si>
    <t>State-Based Modeling of Buildings and Facilities</t>
  </si>
  <si>
    <t>Docteur en Sciences</t>
  </si>
  <si>
    <t>Variable Textual Syntaxes</t>
  </si>
  <si>
    <t>EE Mon</t>
  </si>
  <si>
    <t>A Study of Informative Test Code Approach for Code Writing Problem in Java Programming Learning Assistant System</t>
  </si>
  <si>
    <t>Modularity: G: Interoperability and Composition of DSLs with Melange</t>
  </si>
  <si>
    <t>M Vara Larsen</t>
  </si>
  <si>
    <t>B-COoL: un métalangage pour la spécification des opérateurs de coordination des langages</t>
  </si>
  <si>
    <t>KNOWN 47</t>
  </si>
  <si>
    <t>Sven Efftinge, Moritz Eysholdt, Jan Köhnlein, Sebastian Zarnekow, Robert von Massow, Wilhelm Hasselbring, Michael Hanus</t>
  </si>
  <si>
    <t>Xbase: Implementing domain-specific languages for Java</t>
  </si>
  <si>
    <t>https://doi.org/10.1145/2371401.2371419</t>
  </si>
  <si>
    <t>10.1145/2371401.2371419</t>
  </si>
  <si>
    <t>T Degueule, B Combemale, A Blouin, O Barais… </t>
  </si>
  <si>
    <t>Melange: A meta-language for modular and reusable development of dsls</t>
  </si>
  <si>
    <t>https://dl.acm.org/doi/abs/10.1145/2814251.2814252</t>
  </si>
  <si>
    <t>E Vacchi, W Cazzola </t>
  </si>
  <si>
    <t>Neverlang: A framework for feature-oriented language development</t>
  </si>
  <si>
    <t>https://www.sciencedirect.com/science/article/pii/S1477842415000056</t>
  </si>
  <si>
    <t>Markus Voelter, Daniel Ratiu, Bernd Kolb, Bernhard Schaetz</t>
  </si>
  <si>
    <t>mbeddr: instantiating a language workbench in the embedded software domain</t>
  </si>
  <si>
    <t>https://doi.org/10.1007/s10515-013-0120-4</t>
  </si>
  <si>
    <t>10.1007/s10515-013-0120-4</t>
  </si>
  <si>
    <t>JO Ringert, R Alexander, R Bernhard, W Andreas</t>
  </si>
  <si>
    <t>Language and code generator composition for model-driven engineering of robotics component &amp; connector systems</t>
  </si>
  <si>
    <t>https://aisberg.unibg.it/handle/10446/87699</t>
  </si>
  <si>
    <t>A Haber, M Look, AN Perez, PMS Nazari… </t>
  </si>
  <si>
    <t>Integration of heterogeneous modeling languages via extensible and composable language components</t>
  </si>
  <si>
    <t>https://ieeexplore.ieee.org/abstract/document/7323080/?casa_token=PCw9DqPFf7cAAAAA:mP1dFVG6AIfPqO9TDCSds_gX4HLtF8dnqj6yRH6QgAMzDuwm9jtZiUika5bQ9y-W5ItNcoISX6iH</t>
  </si>
  <si>
    <t>D Méndez-Acuña, JA Galindo, T Degueule… </t>
  </si>
  <si>
    <t>Leveraging software product lines engineering in the development of external dsls: A systematic literature review</t>
  </si>
  <si>
    <t>https://www.sciencedirect.com/science/article/pii/S1477842416300768</t>
  </si>
  <si>
    <t>S. Erdweg</t>
  </si>
  <si>
    <t>Extensible languages for flexible and principled domain abstraction</t>
  </si>
  <si>
    <t>K Hölldobler, B Rumpe… </t>
  </si>
  <si>
    <t>Systematically deriving domain-specific transformation languages</t>
  </si>
  <si>
    <t>https://ieeexplore.ieee.org/abstract/document/7338244/?casa_token=WozynVZJjkoAAAAA:ul39F4nnbgPdaAO30W7iLFzfGs_KMU88mdhJXznrJz9izx6AFQPFCuvoztddYCCrILY6PcMV0-h5</t>
  </si>
  <si>
    <t>A Haber, M Look, PMS Nazari, AN Perez… </t>
  </si>
  <si>
    <t>Composition of heterogeneous modeling languages</t>
  </si>
  <si>
    <t>https://link.springer.com/chapter/10.1007/978-3-319-27869-8_3</t>
  </si>
  <si>
    <t>A Butting, A Haber, L Hermerschmidt, O Kautz… </t>
  </si>
  <si>
    <t>Systematic language extension mechanisms for the MontiArc architecture description language</t>
  </si>
  <si>
    <t>https://link.springer.com/chapter/10.1007/978-3-319-61482-3_4</t>
  </si>
  <si>
    <t>R Heim, PMS Nazari, B Rumpe, A Wortmann </t>
  </si>
  <si>
    <t>Compositional language engineering using generated, extensible, static type-safe visitors</t>
  </si>
  <si>
    <t>https://link.springer.com/chapter/10.1007/978-3-319-42061-5_5</t>
  </si>
  <si>
    <t>S Živković, D Karagiannis </t>
  </si>
  <si>
    <t>Towards metamodelling-in-the-large: Interface-based composition for modular metamodel development</t>
  </si>
  <si>
    <t>https://link.springer.com/chapter/10.1007/978-3-319-19237-6_26</t>
  </si>
  <si>
    <t>AM Şutîi, M van den Brand, T Verhoeff </t>
  </si>
  <si>
    <t>Exploration of modularity and reusability of domain-specific languages: an expression DSL in metamod</t>
  </si>
  <si>
    <t>https://www.sciencedirect.com/science/article/pii/S1477842417300404</t>
  </si>
  <si>
    <t>A Butting, R Eikermann, O Kautz, B Rumpe… </t>
  </si>
  <si>
    <t>Modeling language variability with reusable language components</t>
  </si>
  <si>
    <t>https://dl.acm.org/doi/abs/10.1145/3233027.3233037</t>
  </si>
  <si>
    <t>K Hölldobler, B Rumpe, A Wortmann </t>
  </si>
  <si>
    <t>Software language engineering in the large: towards composing and deriving languages</t>
  </si>
  <si>
    <t>https://www.sciencedirect.com/science/article/pii/S1477842418300459</t>
  </si>
  <si>
    <t>L Hermerschmidt, K Hölldobler, B Rumpe… </t>
  </si>
  <si>
    <t>Generating domain-specific transformation languages for component &amp; connector architecture descriptions</t>
  </si>
  <si>
    <t>https://arxiv.org/abs/1510.08981</t>
  </si>
  <si>
    <t>K Adam, K Hölldobler, B Rumpe… </t>
  </si>
  <si>
    <t>Modeling robotics software architectures with modular model transformations</t>
  </si>
  <si>
    <t>https://se-rwth.de/publications/Modeling-Robotics-Software-Architectures-with-Modular-Model-Transformations.pdf</t>
  </si>
  <si>
    <t>Systematic composition of independent language features</t>
  </si>
  <si>
    <t>https://www.sciencedirect.com/science/article/pii/S0164121219300366</t>
  </si>
  <si>
    <t>Deep, seamless, multi-format, multi-notation definition and use of domain-specific languages</t>
  </si>
  <si>
    <t>https://madoc.bib.uni-mannheim.de/42010/</t>
  </si>
  <si>
    <t>Composition and interoperability for external domain-specific language engineering</t>
  </si>
  <si>
    <t>https://www.theses.fr/2016REN1S093</t>
  </si>
  <si>
    <t>N</t>
  </si>
  <si>
    <t>R Relue, X Wu </t>
  </si>
  <si>
    <t>Rule generation with the pattern repository</t>
  </si>
  <si>
    <t>https://ieeexplore.ieee.org/abstract/document/1048085/?casa_token=kflaG9zVaKcAAAAA:jgIiDnm3dGhmdTJX5eyknr_nIPOqc5zeK9HA6LkGF4Hra1QDk0HVtMjv8csJ7mUg9EGmtO2uWML2</t>
  </si>
  <si>
    <t>L Hermerschmidt, S Kugelmann… </t>
  </si>
  <si>
    <t>Towards more security in data exchange: Defining unparsers with context-sensitive encoders for context-free grammars</t>
  </si>
  <si>
    <t>https://ieeexplore.ieee.org/abstract/document/7163217/</t>
  </si>
  <si>
    <t>S Mustafiz, B Barroca, C Gomes… </t>
  </si>
  <si>
    <t>Towards modular language design using language fragments: The hybrid systems case study</t>
  </si>
  <si>
    <t>https://link.springer.com/chapter/10.1007/978-3-319-32467-8_68</t>
  </si>
  <si>
    <t>K Hölldobler, A Roth, B Rumpe, A Wortmann </t>
  </si>
  <si>
    <t>Advances in modeling language engineering</t>
  </si>
  <si>
    <t>https://link.springer.com/chapter/10.1007/978-3-319-66854-3_1</t>
  </si>
  <si>
    <t>T. Clark</t>
  </si>
  <si>
    <t>A General Architecture for Heterogeneous Language Engineering and Projectional Editor Support</t>
  </si>
  <si>
    <t>ASB Herrera, ED Willink, RF Paige </t>
  </si>
  <si>
    <t>A domain specific transformation language to bridge concrete and abstract syntax</t>
  </si>
  <si>
    <t>https://link.springer.com/chapter/10.1007/978-3-319-42064-6_1</t>
  </si>
  <si>
    <t>I Ruchkin</t>
  </si>
  <si>
    <t>Integration of Modeling Methods for Cyber-Physical Systems</t>
  </si>
  <si>
    <t>http://reports-archive.adm.cs.cmu.edu/anon/anon/usr/ftp/isr2018/CMU-ISR-18-107.pdf</t>
  </si>
  <si>
    <t>R Braun</t>
  </si>
  <si>
    <t>Extensibility of Enterprise Modelling Languages</t>
  </si>
  <si>
    <t>https://d-nb.info/1128036665/34</t>
  </si>
  <si>
    <t>R Heim, B Rumpe, A Wortmann </t>
  </si>
  <si>
    <t>Extending Architecture Description Languages With Exchangeable Component Behavior Languages.</t>
  </si>
  <si>
    <t>http://www.ksiresearch.org/seke/seke16paper/seke16paper_13.pdf</t>
  </si>
  <si>
    <t>A Declarative Approach to Heterogeneous Multi-Mode Modelling Languages</t>
  </si>
  <si>
    <t>B Combemale</t>
  </si>
  <si>
    <t>Towards Language-Oriented Modeling</t>
  </si>
  <si>
    <t>https://hal.inria.fr/tel-01238817/</t>
  </si>
  <si>
    <t>A Abouzahra, A Sabraoui, K Afdel </t>
  </si>
  <si>
    <t>A Practical Approach for Extending DSMLs by Composing their Meta-models</t>
  </si>
  <si>
    <t>https://www.researchgate.net/profile/Afdel_Karim/publication/329530153_A_Practical_Approach_for_Extending_DSMLs_by_Composing_their_Metamodels/links/5c0e4a5592851c39ebe259ba/A-Practical-Approach-for-Extending-DSMLs-by-Composing-their-Metamodels.pdf</t>
  </si>
  <si>
    <t>T Degueule, T Mayerhofer, A Wortmann </t>
  </si>
  <si>
    <t>Engineering a ROVER Language in GEMOC STUDIO &amp; MONTICORE: A Comparison of Language Reuse Support</t>
  </si>
  <si>
    <t>https://hal.inria.fr/hal-01616154/</t>
  </si>
  <si>
    <t>E Negm, S Makady, A Salah </t>
  </si>
  <si>
    <t>Survey on Domain Specific Languages Implementation Aspects</t>
  </si>
  <si>
    <t>https://pdfs.semanticscholar.org/6a2d/bb30fa1f3b993e08153ad3231cf0b7ebebf2.pdf</t>
  </si>
  <si>
    <t>АА Павлинов, ДВ Кознов, АФ Перегудов… </t>
  </si>
  <si>
    <t>О средствах разработки проблемно-ориентированных визуальных языков</t>
  </si>
  <si>
    <t>https://elibrary.ru/item.asp?id=13075217</t>
  </si>
  <si>
    <t>KE</t>
  </si>
  <si>
    <t>Kompositionale Entwicklung domänenspezifischer Sprachen</t>
  </si>
  <si>
    <t>K Müller</t>
  </si>
  <si>
    <t>Modellbasierte Unterstützung der Software Evolution im industriellen Kontext</t>
  </si>
  <si>
    <t>http://www.sse-rwth.de/phdtheses/Diss-Mueller-Modellbasierte-Unterstuetzung-der-Software-Evolution-im-industriellen-Kontext.pdf</t>
  </si>
  <si>
    <t>K Hölldobler</t>
  </si>
  <si>
    <t>MontiTra ns</t>
  </si>
  <si>
    <t>https://www.se-rwth.de/phdtheses/Diss-Hoelldobler-MontiTrans-Agile-modellgetriebene-Entwicklung-von-und-mit-domaenenspezifischen-kompositionalen-Transformationssprachen.pdf</t>
  </si>
  <si>
    <t>T Clark, J Gulden </t>
  </si>
  <si>
    <t>Model Driven Software Engineering Meta-Workbenches: An XTools Approach</t>
  </si>
  <si>
    <t>http://www.jucs.org/jucs_26_9/model_driven_software_engineering/jucs_26_09_1148_1176_clark.pdf</t>
  </si>
  <si>
    <t>Composition et interopérabilité pour l'ingénierie des langages dédiés externes</t>
  </si>
  <si>
    <t>https://tel.archives-ouvertes.fr/tel-01488300/</t>
  </si>
  <si>
    <t>P Neubauer</t>
  </si>
  <si>
    <t>A Framework for Modernizing Domain-Specific Languages</t>
  </si>
  <si>
    <t>https://publik.tuwien.ac.at/files/publik_289635.pdf</t>
  </si>
  <si>
    <t>J Deantoni</t>
  </si>
  <si>
    <t>Towards Formal System Modeling: Making Explicit and Formal the Concurrent and Timed Operational Semantics to Better Understand Heterogeneous Models</t>
  </si>
  <si>
    <t>https://hal.inria.fr/tel-02427962/document</t>
  </si>
  <si>
    <t>M Leduc</t>
  </si>
  <si>
    <t>On modularity and performance of External Domain-Specific Language implementations</t>
  </si>
  <si>
    <t>https://hal.inria.fr/tel-02418676/</t>
  </si>
  <si>
    <t>On the Effectiveness of Higher-Order Logic Programming in Language-Oriented Programming</t>
  </si>
  <si>
    <t>https://link.springer.com/chapter/10.1007/978-3-030-59025-3_7</t>
  </si>
  <si>
    <t>Misha Strittmatter</t>
  </si>
  <si>
    <t>A Reference Structure for Modular Metamodels of Quality-Describing Domain-Specific Modeling Languages</t>
  </si>
  <si>
    <t>B Baudry</t>
  </si>
  <si>
    <t>Question-learn-test-feedback pattern to test emerging software construction paradigms</t>
  </si>
  <si>
    <t>https://tel.archives-ouvertes.fr/tel-00553854/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</si>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</sst>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2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3" fillId="0" borderId="0" xfId="0" applyFont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4" fillId="5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9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7/3-540-36579-6_11" TargetMode="External"/><Relationship Id="rId18" Type="http://schemas.openxmlformats.org/officeDocument/2006/relationships/hyperlink" Target="https://doi.org/10.1145/71605.71607" TargetMode="External"/><Relationship Id="rId26" Type="http://schemas.openxmlformats.org/officeDocument/2006/relationships/hyperlink" Target="https://ieeexplore.ieee.org/abstract/document/7338244/?casa_token=WozynVZJjkoAAAAA:ul39F4nnbgPdaAO30W7iLFzfGs_KMU88mdhJXznrJz9izx6AFQPFCuvoztddYCCrILY6PcMV0-h5" TargetMode="External"/><Relationship Id="rId39" Type="http://schemas.openxmlformats.org/officeDocument/2006/relationships/hyperlink" Target="https://ieeexplore.ieee.org/abstract/document/1048085/?casa_token=kflaG9zVaKcAAAAA:jgIiDnm3dGhmdTJX5eyknr_nIPOqc5zeK9HA6LkGF4Hra1QDk0HVtMjv8csJ7mUg9EGmtO2uWML2" TargetMode="External"/><Relationship Id="rId21" Type="http://schemas.openxmlformats.org/officeDocument/2006/relationships/hyperlink" Target="https://www.sciencedirect.com/science/article/pii/S1477842415000056" TargetMode="External"/><Relationship Id="rId34" Type="http://schemas.openxmlformats.org/officeDocument/2006/relationships/hyperlink" Target="https://arxiv.org/abs/1510.08981" TargetMode="External"/><Relationship Id="rId42" Type="http://schemas.openxmlformats.org/officeDocument/2006/relationships/hyperlink" Target="https://link.springer.com/chapter/10.1007/978-3-319-66854-3_1" TargetMode="External"/><Relationship Id="rId47" Type="http://schemas.openxmlformats.org/officeDocument/2006/relationships/hyperlink" Target="https://hal.inria.fr/tel-01238817/" TargetMode="External"/><Relationship Id="rId50" Type="http://schemas.openxmlformats.org/officeDocument/2006/relationships/hyperlink" Target="https://pdfs.semanticscholar.org/6a2d/bb30fa1f3b993e08153ad3231cf0b7ebebf2.pdf" TargetMode="External"/><Relationship Id="rId55" Type="http://schemas.openxmlformats.org/officeDocument/2006/relationships/hyperlink" Target="https://tel.archives-ouvertes.fr/tel-01488300/" TargetMode="External"/><Relationship Id="rId7" Type="http://schemas.openxmlformats.org/officeDocument/2006/relationships/hyperlink" Target="https://doi.org/10.1007/978-3-540-73589-2_27" TargetMode="External"/><Relationship Id="rId2" Type="http://schemas.openxmlformats.org/officeDocument/2006/relationships/hyperlink" Target="http://velocity.apache.org/" TargetMode="External"/><Relationship Id="rId16" Type="http://schemas.openxmlformats.org/officeDocument/2006/relationships/hyperlink" Target="https://arxiv.org/ftp/arxiv/papers/1409/1409.6623.pdf" TargetMode="External"/><Relationship Id="rId29" Type="http://schemas.openxmlformats.org/officeDocument/2006/relationships/hyperlink" Target="https://link.springer.com/chapter/10.1007/978-3-319-42061-5_5" TargetMode="External"/><Relationship Id="rId11" Type="http://schemas.openxmlformats.org/officeDocument/2006/relationships/hyperlink" Target="https://doi.org/10.1007/978-3-540-75209-7_20" TargetMode="External"/><Relationship Id="rId24" Type="http://schemas.openxmlformats.org/officeDocument/2006/relationships/hyperlink" Target="https://ieeexplore.ieee.org/abstract/document/7323080/?casa_token=PCw9DqPFf7cAAAAA:mP1dFVG6AIfPqO9TDCSds_gX4HLtF8dnqj6yRH6QgAMzDuwm9jtZiUika5bQ9y-W5ItNcoISX6iH" TargetMode="External"/><Relationship Id="rId32" Type="http://schemas.openxmlformats.org/officeDocument/2006/relationships/hyperlink" Target="https://dl.acm.org/doi/abs/10.1145/3233027.3233037" TargetMode="External"/><Relationship Id="rId37" Type="http://schemas.openxmlformats.org/officeDocument/2006/relationships/hyperlink" Target="https://madoc.bib.uni-mannheim.de/42010/" TargetMode="External"/><Relationship Id="rId40" Type="http://schemas.openxmlformats.org/officeDocument/2006/relationships/hyperlink" Target="https://ieeexplore.ieee.org/abstract/document/7163217/" TargetMode="External"/><Relationship Id="rId45" Type="http://schemas.openxmlformats.org/officeDocument/2006/relationships/hyperlink" Target="https://d-nb.info/1128036665/34" TargetMode="External"/><Relationship Id="rId53" Type="http://schemas.openxmlformats.org/officeDocument/2006/relationships/hyperlink" Target="https://www.se-rwth.de/phdtheses/Diss-Hoelldobler-MontiTrans-Agile-modellgetriebene-Entwicklung-von-und-mit-domaenenspezifischen-kompositionalen-Transformationssprachen.pdf" TargetMode="External"/><Relationship Id="rId58" Type="http://schemas.openxmlformats.org/officeDocument/2006/relationships/hyperlink" Target="https://hal.inria.fr/tel-02418676/" TargetMode="External"/><Relationship Id="rId5" Type="http://schemas.openxmlformats.org/officeDocument/2006/relationships/hyperlink" Target="http://www.openarchitectureware.com/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doi.org/10.1145/2371401.2371419" TargetMode="External"/><Relationship Id="rId14" Type="http://schemas.openxmlformats.org/officeDocument/2006/relationships/hyperlink" Target="https://doi.org/10.1007/bf01692511" TargetMode="External"/><Relationship Id="rId22" Type="http://schemas.openxmlformats.org/officeDocument/2006/relationships/hyperlink" Target="https://doi.org/10.1007/s10515-013-0120-4" TargetMode="External"/><Relationship Id="rId27" Type="http://schemas.openxmlformats.org/officeDocument/2006/relationships/hyperlink" Target="https://link.springer.com/chapter/10.1007/978-3-319-27869-8_3" TargetMode="External"/><Relationship Id="rId30" Type="http://schemas.openxmlformats.org/officeDocument/2006/relationships/hyperlink" Target="https://link.springer.com/chapter/10.1007/978-3-319-19237-6_26" TargetMode="External"/><Relationship Id="rId35" Type="http://schemas.openxmlformats.org/officeDocument/2006/relationships/hyperlink" Target="https://se-rwth.de/publications/Modeling-Robotics-Software-Architectures-with-Modular-Model-Transformations.pdf" TargetMode="External"/><Relationship Id="rId43" Type="http://schemas.openxmlformats.org/officeDocument/2006/relationships/hyperlink" Target="https://link.springer.com/chapter/10.1007/978-3-319-42064-6_1" TargetMode="External"/><Relationship Id="rId48" Type="http://schemas.openxmlformats.org/officeDocument/2006/relationships/hyperlink" Target="https://www.researchgate.net/profile/Afdel_Karim/publication/329530153_A_Practical_Approach_for_Extending_DSMLs_by_Composing_their_Metamodels/links/5c0e4a5592851c39ebe259ba/A-Practical-Approach-for-Extending-DSMLs-by-Composing-their-Metamodels.pdf" TargetMode="External"/><Relationship Id="rId56" Type="http://schemas.openxmlformats.org/officeDocument/2006/relationships/hyperlink" Target="https://publik.tuwien.ac.at/files/publik_289635.pdf" TargetMode="External"/><Relationship Id="rId8" Type="http://schemas.openxmlformats.org/officeDocument/2006/relationships/hyperlink" Target="https://doi.org/10.1145/1028976.1029007" TargetMode="External"/><Relationship Id="rId51" Type="http://schemas.openxmlformats.org/officeDocument/2006/relationships/hyperlink" Target="https://elibrary.ru/item.asp?id=13075217" TargetMode="External"/><Relationship Id="rId3" Type="http://schemas.openxmlformats.org/officeDocument/2006/relationships/hyperlink" Target="http://www.eclipse.org/" TargetMode="External"/><Relationship Id="rId12" Type="http://schemas.openxmlformats.org/officeDocument/2006/relationships/hyperlink" Target="https://doi.org/10.1007/11880240_8" TargetMode="External"/><Relationship Id="rId17" Type="http://schemas.openxmlformats.org/officeDocument/2006/relationships/hyperlink" Target="https://www.isis.vanderbilt.edu/sites/default/files/Ledeczi_A_5_17_2001_The_Generi.pdf" TargetMode="External"/><Relationship Id="rId25" Type="http://schemas.openxmlformats.org/officeDocument/2006/relationships/hyperlink" Target="https://www.sciencedirect.com/science/article/pii/S1477842416300768" TargetMode="External"/><Relationship Id="rId33" Type="http://schemas.openxmlformats.org/officeDocument/2006/relationships/hyperlink" Target="https://www.sciencedirect.com/science/article/pii/S1477842418300459" TargetMode="External"/><Relationship Id="rId38" Type="http://schemas.openxmlformats.org/officeDocument/2006/relationships/hyperlink" Target="https://www.theses.fr/2016REN1S093" TargetMode="External"/><Relationship Id="rId46" Type="http://schemas.openxmlformats.org/officeDocument/2006/relationships/hyperlink" Target="http://www.ksiresearch.org/seke/seke16paper/seke16paper_13.pdf" TargetMode="External"/><Relationship Id="rId59" Type="http://schemas.openxmlformats.org/officeDocument/2006/relationships/hyperlink" Target="https://link.springer.com/chapter/10.1007/978-3-030-59025-3_7" TargetMode="External"/><Relationship Id="rId20" Type="http://schemas.openxmlformats.org/officeDocument/2006/relationships/hyperlink" Target="https://dl.acm.org/doi/abs/10.1145/2814251.2814252" TargetMode="External"/><Relationship Id="rId41" Type="http://schemas.openxmlformats.org/officeDocument/2006/relationships/hyperlink" Target="https://link.springer.com/chapter/10.1007/978-3-319-32467-8_68" TargetMode="External"/><Relationship Id="rId54" Type="http://schemas.openxmlformats.org/officeDocument/2006/relationships/hyperlink" Target="http://www.jucs.org/jucs_26_9/model_driven_software_engineering/jucs_26_09_1148_1176_clark.pdf" TargetMode="External"/><Relationship Id="rId1" Type="http://schemas.openxmlformats.org/officeDocument/2006/relationships/hyperlink" Target="http://eclipse-imp.sourceforge.net/" TargetMode="External"/><Relationship Id="rId6" Type="http://schemas.openxmlformats.org/officeDocument/2006/relationships/hyperlink" Target="https://doi.org/10.1002/spe.4380250705" TargetMode="External"/><Relationship Id="rId15" Type="http://schemas.openxmlformats.org/officeDocument/2006/relationships/hyperlink" Target="https://doi.org/10.1145/1173706.1173744" TargetMode="External"/><Relationship Id="rId23" Type="http://schemas.openxmlformats.org/officeDocument/2006/relationships/hyperlink" Target="https://aisberg.unibg.it/handle/10446/87699" TargetMode="External"/><Relationship Id="rId28" Type="http://schemas.openxmlformats.org/officeDocument/2006/relationships/hyperlink" Target="https://link.springer.com/chapter/10.1007/978-3-319-61482-3_4" TargetMode="External"/><Relationship Id="rId36" Type="http://schemas.openxmlformats.org/officeDocument/2006/relationships/hyperlink" Target="https://www.sciencedirect.com/science/article/pii/S0164121219300366" TargetMode="External"/><Relationship Id="rId49" Type="http://schemas.openxmlformats.org/officeDocument/2006/relationships/hyperlink" Target="https://hal.inria.fr/hal-01616154/" TargetMode="External"/><Relationship Id="rId57" Type="http://schemas.openxmlformats.org/officeDocument/2006/relationships/hyperlink" Target="https://hal.inria.fr/tel-02427962/document" TargetMode="External"/><Relationship Id="rId10" Type="http://schemas.openxmlformats.org/officeDocument/2006/relationships/hyperlink" Target="https://doi.org/10.1007/3-540-45937-5_11" TargetMode="External"/><Relationship Id="rId31" Type="http://schemas.openxmlformats.org/officeDocument/2006/relationships/hyperlink" Target="https://www.sciencedirect.com/science/article/pii/S1477842417300404" TargetMode="External"/><Relationship Id="rId44" Type="http://schemas.openxmlformats.org/officeDocument/2006/relationships/hyperlink" Target="http://reports-archive.adm.cs.cmu.edu/anon/anon/usr/ftp/isr2018/CMU-ISR-18-107.pdf" TargetMode="External"/><Relationship Id="rId52" Type="http://schemas.openxmlformats.org/officeDocument/2006/relationships/hyperlink" Target="http://www.sse-rwth.de/phdtheses/Diss-Mueller-Modellbasierte-Unterstuetzung-der-Software-Evolution-im-industriellen-Kontext.pdf" TargetMode="External"/><Relationship Id="rId60" Type="http://schemas.openxmlformats.org/officeDocument/2006/relationships/hyperlink" Target="https://tel.archives-ouvertes.fr/tel-00553854/" TargetMode="External"/><Relationship Id="rId4" Type="http://schemas.openxmlformats.org/officeDocument/2006/relationships/hyperlink" Target="http://www.monticore.de/" TargetMode="External"/><Relationship Id="rId9" Type="http://schemas.openxmlformats.org/officeDocument/2006/relationships/hyperlink" Target="https://doi.org/10.1007/978-3-540-69073-3_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9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36.28515625" customWidth="1"/>
    <col min="3" max="3" width="73" customWidth="1"/>
    <col min="4" max="4" width="5.42578125" customWidth="1"/>
    <col min="5" max="5" width="6.285156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651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3" t="s">
        <v>652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HYPERLINK("https://doi.org/10.1007/s10009-010-0142-1")</f>
        <v>https://doi.org/10.1007/s10009-010-0142-1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C9" s="8" t="s">
        <v>19</v>
      </c>
      <c r="E9" s="22" t="s">
        <v>20</v>
      </c>
      <c r="F9" s="10"/>
      <c r="G9" s="10"/>
      <c r="H9" s="19" t="str">
        <f t="shared" ref="H9:H40" si="0">IF(I9=R9,I9,IF(AND(I9="YES",R9="MAYBE"),"YES",IF(AND(I9="MAYBE",R9="YES"),"YES",IF(OR(AND(I9="NO",R9="YES"),AND(I9="YES",R9="NO")),"MAYBE","NO"))))</f>
        <v>NO</v>
      </c>
      <c r="I9" s="23" t="s">
        <v>21</v>
      </c>
      <c r="J9" s="12"/>
      <c r="K9" s="12"/>
      <c r="L9" s="13"/>
      <c r="M9" s="13"/>
      <c r="N9" s="13"/>
      <c r="O9" s="13"/>
      <c r="P9" s="14"/>
      <c r="Q9" s="14"/>
      <c r="R9" s="23" t="s">
        <v>21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C10" s="8" t="s">
        <v>22</v>
      </c>
      <c r="E10" s="22" t="s">
        <v>23</v>
      </c>
      <c r="F10" s="10"/>
      <c r="G10" s="10"/>
      <c r="H10" s="19" t="str">
        <f t="shared" si="0"/>
        <v>NO</v>
      </c>
      <c r="I10" s="23" t="s">
        <v>21</v>
      </c>
      <c r="J10" s="12"/>
      <c r="K10" s="12"/>
      <c r="L10" s="13"/>
      <c r="M10" s="13"/>
      <c r="N10" s="13"/>
      <c r="O10" s="13"/>
      <c r="P10" s="14"/>
      <c r="Q10" s="14"/>
      <c r="R10" s="23" t="s">
        <v>21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C11" s="8" t="s">
        <v>24</v>
      </c>
      <c r="E11" s="22" t="s">
        <v>25</v>
      </c>
      <c r="F11" s="10"/>
      <c r="G11" s="10"/>
      <c r="H11" s="19" t="str">
        <f t="shared" si="0"/>
        <v>NO</v>
      </c>
      <c r="I11" s="23" t="s">
        <v>21</v>
      </c>
      <c r="J11" s="12"/>
      <c r="K11" s="12"/>
      <c r="L11" s="13"/>
      <c r="M11" s="13"/>
      <c r="N11" s="13"/>
      <c r="O11" s="13"/>
      <c r="P11" s="14"/>
      <c r="Q11" s="14"/>
      <c r="R11" s="23" t="s">
        <v>21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C12" s="8" t="s">
        <v>26</v>
      </c>
      <c r="E12" s="22" t="s">
        <v>27</v>
      </c>
      <c r="F12" s="10"/>
      <c r="G12" s="10"/>
      <c r="H12" s="19" t="str">
        <f t="shared" si="0"/>
        <v>NO</v>
      </c>
      <c r="I12" s="23" t="s">
        <v>21</v>
      </c>
      <c r="J12" s="12"/>
      <c r="K12" s="12"/>
      <c r="L12" s="13"/>
      <c r="M12" s="13"/>
      <c r="N12" s="13"/>
      <c r="O12" s="13"/>
      <c r="P12" s="14"/>
      <c r="Q12" s="14"/>
      <c r="R12" s="23" t="s">
        <v>21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C13" s="8" t="s">
        <v>28</v>
      </c>
      <c r="E13" s="22" t="s">
        <v>29</v>
      </c>
      <c r="F13" s="10"/>
      <c r="G13" s="10"/>
      <c r="H13" s="19" t="str">
        <f t="shared" si="0"/>
        <v>NO</v>
      </c>
      <c r="I13" s="23" t="s">
        <v>21</v>
      </c>
      <c r="J13" s="12"/>
      <c r="K13" s="12"/>
      <c r="L13" s="13"/>
      <c r="M13" s="13"/>
      <c r="N13" s="13"/>
      <c r="O13" s="13"/>
      <c r="P13" s="14"/>
      <c r="Q13" s="14"/>
      <c r="R13" s="23" t="s">
        <v>21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30</v>
      </c>
      <c r="C14" s="8" t="s">
        <v>31</v>
      </c>
      <c r="D14" s="8">
        <v>1997</v>
      </c>
      <c r="E14" s="8"/>
      <c r="F14" s="25" t="str">
        <f>HYPERLINK("https://doi.org/10.1145/253228.253388")</f>
        <v>https://doi.org/10.1145/253228.253388</v>
      </c>
      <c r="G14" s="10" t="s">
        <v>32</v>
      </c>
      <c r="H14" s="19" t="str">
        <f t="shared" si="0"/>
        <v>NO</v>
      </c>
      <c r="I14" s="11" t="s">
        <v>21</v>
      </c>
      <c r="J14" s="12"/>
      <c r="K14" s="12"/>
      <c r="L14" s="13"/>
      <c r="M14" s="13"/>
      <c r="N14" s="13"/>
      <c r="O14" s="13"/>
      <c r="P14" s="14"/>
      <c r="Q14" s="14"/>
      <c r="R14" s="26" t="s">
        <v>21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 t="s">
        <v>33</v>
      </c>
      <c r="C15" s="8" t="s">
        <v>34</v>
      </c>
      <c r="D15" s="8">
        <v>2005</v>
      </c>
      <c r="E15" s="8"/>
      <c r="F15" s="9" t="str">
        <f>HYPERLINK("https://doi.org/10.1007/b138365")</f>
        <v>https://doi.org/10.1007/b138365</v>
      </c>
      <c r="G15" s="10" t="s">
        <v>35</v>
      </c>
      <c r="H15" s="19" t="str">
        <f t="shared" si="0"/>
        <v>NO</v>
      </c>
      <c r="I15" s="11" t="s">
        <v>21</v>
      </c>
      <c r="J15" s="12"/>
      <c r="K15" s="12"/>
      <c r="L15" s="13"/>
      <c r="M15" s="13"/>
      <c r="N15" s="13"/>
      <c r="O15" s="13"/>
      <c r="P15" s="14"/>
      <c r="Q15" s="14"/>
      <c r="R15" s="23" t="s">
        <v>21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36</v>
      </c>
      <c r="C16" s="8" t="s">
        <v>37</v>
      </c>
      <c r="D16" s="8"/>
      <c r="E16" s="8"/>
      <c r="F16" s="25" t="str">
        <f>HYPERLINK("https://doi.org/10.1007/978-3-540-72901-3_8")</f>
        <v>https://doi.org/10.1007/978-3-540-72901-3_8</v>
      </c>
      <c r="G16" s="10" t="s">
        <v>38</v>
      </c>
      <c r="H16" s="19" t="str">
        <f t="shared" si="0"/>
        <v>NO</v>
      </c>
      <c r="I16" s="11" t="s">
        <v>21</v>
      </c>
      <c r="J16" s="12"/>
      <c r="K16" s="12"/>
      <c r="L16" s="13"/>
      <c r="M16" s="13"/>
      <c r="N16" s="13"/>
      <c r="O16" s="13"/>
      <c r="P16" s="14"/>
      <c r="Q16" s="14"/>
      <c r="R16" s="23" t="s">
        <v>21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 t="s">
        <v>39</v>
      </c>
      <c r="C17" s="8" t="s">
        <v>40</v>
      </c>
      <c r="D17" s="8">
        <v>1983</v>
      </c>
      <c r="E17" s="8"/>
      <c r="F17" s="25" t="str">
        <f>HYPERLINK("https://doi.org/10.1145/357980.358005")</f>
        <v>https://doi.org/10.1145/357980.358005</v>
      </c>
      <c r="G17" s="10" t="s">
        <v>41</v>
      </c>
      <c r="H17" s="19" t="str">
        <f t="shared" si="0"/>
        <v>NO</v>
      </c>
      <c r="I17" s="11" t="s">
        <v>21</v>
      </c>
      <c r="J17" s="12"/>
      <c r="K17" s="12"/>
      <c r="L17" s="13"/>
      <c r="M17" s="13"/>
      <c r="N17" s="13"/>
      <c r="O17" s="13"/>
      <c r="P17" s="14"/>
      <c r="Q17" s="14"/>
      <c r="R17" s="23" t="s">
        <v>21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42</v>
      </c>
      <c r="C18" s="8" t="s">
        <v>43</v>
      </c>
      <c r="D18" s="8">
        <v>2006</v>
      </c>
      <c r="E18" s="8"/>
      <c r="F18" s="25" t="str">
        <f>HYPERLINK("https://doi.org/10.1145/1133981.1133987")</f>
        <v>https://doi.org/10.1145/1133981.1133987</v>
      </c>
      <c r="G18" s="10" t="s">
        <v>44</v>
      </c>
      <c r="H18" s="19" t="str">
        <f t="shared" si="0"/>
        <v>NO</v>
      </c>
      <c r="I18" s="11" t="s">
        <v>21</v>
      </c>
      <c r="J18" s="12"/>
      <c r="K18" s="12"/>
      <c r="L18" s="13"/>
      <c r="M18" s="13"/>
      <c r="N18" s="13"/>
      <c r="O18" s="13"/>
      <c r="P18" s="14"/>
      <c r="Q18" s="14"/>
      <c r="R18" s="26" t="s">
        <v>21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 x14ac:dyDescent="0.2">
      <c r="A19" s="8"/>
      <c r="B19" s="8" t="s">
        <v>45</v>
      </c>
      <c r="C19" s="8" t="s">
        <v>46</v>
      </c>
      <c r="D19" s="8"/>
      <c r="E19" s="8" t="s">
        <v>47</v>
      </c>
      <c r="F19" s="10"/>
      <c r="G19" s="10"/>
      <c r="H19" s="19" t="str">
        <f t="shared" si="0"/>
        <v>NO</v>
      </c>
      <c r="I19" s="11" t="s">
        <v>21</v>
      </c>
      <c r="J19" s="12"/>
      <c r="K19" s="12"/>
      <c r="L19" s="13"/>
      <c r="M19" s="13"/>
      <c r="N19" s="13"/>
      <c r="O19" s="13"/>
      <c r="P19" s="14"/>
      <c r="Q19" s="14"/>
      <c r="R19" s="23" t="s">
        <v>21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48</v>
      </c>
      <c r="C20" s="8" t="s">
        <v>49</v>
      </c>
      <c r="D20" s="8">
        <v>2007</v>
      </c>
      <c r="E20" s="8"/>
      <c r="F20" s="25" t="str">
        <f>HYPERLINK("https://doi.org/10.1145/1289971.1289983")</f>
        <v>https://doi.org/10.1145/1289971.1289983</v>
      </c>
      <c r="G20" s="10" t="s">
        <v>50</v>
      </c>
      <c r="H20" s="19" t="str">
        <f t="shared" si="0"/>
        <v>NO</v>
      </c>
      <c r="I20" s="11" t="s">
        <v>21</v>
      </c>
      <c r="J20" s="12"/>
      <c r="K20" s="12"/>
      <c r="L20" s="13"/>
      <c r="M20" s="13"/>
      <c r="N20" s="13"/>
      <c r="O20" s="13"/>
      <c r="P20" s="14"/>
      <c r="Q20" s="14"/>
      <c r="R20" s="23" t="s">
        <v>21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 t="s">
        <v>51</v>
      </c>
      <c r="C21" s="8" t="s">
        <v>52</v>
      </c>
      <c r="D21" s="8">
        <v>2003</v>
      </c>
      <c r="E21" s="8"/>
      <c r="F21" s="10"/>
      <c r="G21" s="10"/>
      <c r="H21" s="19" t="str">
        <f t="shared" si="0"/>
        <v>NO</v>
      </c>
      <c r="I21" s="11" t="s">
        <v>21</v>
      </c>
      <c r="J21" s="12"/>
      <c r="K21" s="12"/>
      <c r="L21" s="13"/>
      <c r="M21" s="13"/>
      <c r="N21" s="13"/>
      <c r="O21" s="13"/>
      <c r="P21" s="14"/>
      <c r="Q21" s="14"/>
      <c r="R21" s="23" t="s">
        <v>21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 t="s">
        <v>53</v>
      </c>
      <c r="C22" s="8" t="s">
        <v>54</v>
      </c>
      <c r="D22" s="8"/>
      <c r="E22" s="8"/>
      <c r="F22" s="25" t="str">
        <f>HYPERLINK("https://doi.org/10.1109/wpc.1998.693325")</f>
        <v>https://doi.org/10.1109/wpc.1998.693325</v>
      </c>
      <c r="G22" s="10" t="s">
        <v>55</v>
      </c>
      <c r="H22" s="19" t="str">
        <f t="shared" si="0"/>
        <v>NO</v>
      </c>
      <c r="I22" s="11" t="s">
        <v>21</v>
      </c>
      <c r="J22" s="12"/>
      <c r="K22" s="12"/>
      <c r="L22" s="13"/>
      <c r="M22" s="13"/>
      <c r="N22" s="13"/>
      <c r="O22" s="13"/>
      <c r="P22" s="14"/>
      <c r="Q22" s="14"/>
      <c r="R22" s="23" t="s">
        <v>21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56</v>
      </c>
      <c r="C23" s="8" t="s">
        <v>57</v>
      </c>
      <c r="D23" s="8">
        <v>2004</v>
      </c>
      <c r="E23" s="8"/>
      <c r="F23" s="10"/>
      <c r="G23" s="10"/>
      <c r="H23" s="19" t="str">
        <f t="shared" si="0"/>
        <v>NO</v>
      </c>
      <c r="I23" s="11" t="s">
        <v>21</v>
      </c>
      <c r="J23" s="12"/>
      <c r="K23" s="12"/>
      <c r="L23" s="13"/>
      <c r="M23" s="13"/>
      <c r="N23" s="13"/>
      <c r="O23" s="13"/>
      <c r="P23" s="14"/>
      <c r="Q23" s="14"/>
      <c r="R23" s="23" t="s">
        <v>21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 t="s">
        <v>58</v>
      </c>
      <c r="C24" s="8" t="s">
        <v>59</v>
      </c>
      <c r="D24" s="8">
        <v>2003</v>
      </c>
      <c r="E24" s="8" t="s">
        <v>60</v>
      </c>
      <c r="F24" s="10"/>
      <c r="G24" s="10"/>
      <c r="H24" s="19" t="str">
        <f t="shared" si="0"/>
        <v>NO</v>
      </c>
      <c r="I24" s="11" t="s">
        <v>21</v>
      </c>
      <c r="J24" s="12"/>
      <c r="K24" s="12"/>
      <c r="L24" s="13"/>
      <c r="M24" s="13"/>
      <c r="N24" s="13"/>
      <c r="O24" s="13"/>
      <c r="P24" s="14"/>
      <c r="Q24" s="14"/>
      <c r="R24" s="27" t="s">
        <v>21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61</v>
      </c>
      <c r="C25" s="8" t="s">
        <v>62</v>
      </c>
      <c r="D25" s="8"/>
      <c r="E25" s="8"/>
      <c r="F25" s="10"/>
      <c r="G25" s="10"/>
      <c r="H25" s="19" t="str">
        <f t="shared" si="0"/>
        <v>NO</v>
      </c>
      <c r="I25" s="11" t="s">
        <v>21</v>
      </c>
      <c r="J25" s="12"/>
      <c r="K25" s="12"/>
      <c r="L25" s="13"/>
      <c r="M25" s="13"/>
      <c r="N25" s="13"/>
      <c r="O25" s="13"/>
      <c r="P25" s="14"/>
      <c r="Q25" s="14"/>
      <c r="R25" s="23" t="s">
        <v>21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63</v>
      </c>
      <c r="C26" s="8" t="s">
        <v>64</v>
      </c>
      <c r="D26" s="8">
        <v>1985</v>
      </c>
      <c r="E26" s="8"/>
      <c r="F26" s="25" t="str">
        <f>HYPERLINK("https://doi.org/10.1007/978-1-4757-1885-0")</f>
        <v>https://doi.org/10.1007/978-1-4757-1885-0</v>
      </c>
      <c r="G26" s="10" t="s">
        <v>65</v>
      </c>
      <c r="H26" s="19" t="str">
        <f t="shared" si="0"/>
        <v>NO</v>
      </c>
      <c r="I26" s="11" t="s">
        <v>21</v>
      </c>
      <c r="J26" s="12"/>
      <c r="K26" s="12"/>
      <c r="L26" s="13"/>
      <c r="M26" s="13"/>
      <c r="N26" s="13"/>
      <c r="O26" s="13"/>
      <c r="P26" s="14"/>
      <c r="Q26" s="14"/>
      <c r="R26" s="23" t="s">
        <v>21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 t="s">
        <v>66</v>
      </c>
      <c r="C27" s="8" t="s">
        <v>67</v>
      </c>
      <c r="D27" s="8">
        <v>2003</v>
      </c>
      <c r="E27" s="8"/>
      <c r="F27" s="10"/>
      <c r="G27" s="10"/>
      <c r="H27" s="19" t="str">
        <f t="shared" si="0"/>
        <v>NO</v>
      </c>
      <c r="I27" s="11" t="s">
        <v>21</v>
      </c>
      <c r="J27" s="12"/>
      <c r="K27" s="12"/>
      <c r="L27" s="13"/>
      <c r="M27" s="13"/>
      <c r="N27" s="13"/>
      <c r="O27" s="13"/>
      <c r="P27" s="14"/>
      <c r="Q27" s="14"/>
      <c r="R27" s="26" t="s">
        <v>21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68</v>
      </c>
      <c r="C28" s="8" t="s">
        <v>69</v>
      </c>
      <c r="D28" s="8">
        <v>2001</v>
      </c>
      <c r="E28" s="8"/>
      <c r="F28" s="25" t="str">
        <f>HYPERLINK("https://doi.org/10.1007/3-540-45251-6_32")</f>
        <v>https://doi.org/10.1007/3-540-45251-6_32</v>
      </c>
      <c r="G28" s="10" t="s">
        <v>70</v>
      </c>
      <c r="H28" s="19" t="str">
        <f t="shared" si="0"/>
        <v>NO</v>
      </c>
      <c r="I28" s="11" t="s">
        <v>21</v>
      </c>
      <c r="J28" s="12"/>
      <c r="K28" s="12"/>
      <c r="L28" s="13"/>
      <c r="M28" s="13"/>
      <c r="N28" s="13"/>
      <c r="O28" s="13"/>
      <c r="P28" s="14"/>
      <c r="Q28" s="14"/>
      <c r="R28" s="23" t="s">
        <v>21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 x14ac:dyDescent="0.2">
      <c r="A29" s="8"/>
      <c r="B29" s="8" t="s">
        <v>71</v>
      </c>
      <c r="C29" s="8" t="s">
        <v>72</v>
      </c>
      <c r="D29" s="8">
        <v>1973</v>
      </c>
      <c r="E29" s="8"/>
      <c r="F29" s="25" t="str">
        <f>HYPERLINK("https://doi.org/10.1007/978-3-662-09507-2_3")</f>
        <v>https://doi.org/10.1007/978-3-662-09507-2_3</v>
      </c>
      <c r="G29" s="10" t="s">
        <v>73</v>
      </c>
      <c r="H29" s="19" t="str">
        <f t="shared" si="0"/>
        <v>NO</v>
      </c>
      <c r="I29" s="11" t="s">
        <v>21</v>
      </c>
      <c r="J29" s="12"/>
      <c r="K29" s="12"/>
      <c r="L29" s="13"/>
      <c r="M29" s="13"/>
      <c r="N29" s="13"/>
      <c r="O29" s="13"/>
      <c r="P29" s="14"/>
      <c r="Q29" s="14"/>
      <c r="R29" s="23" t="s">
        <v>21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 x14ac:dyDescent="0.2">
      <c r="A30" s="8"/>
      <c r="B30" s="8" t="s">
        <v>74</v>
      </c>
      <c r="C30" s="8" t="s">
        <v>75</v>
      </c>
      <c r="D30" s="8">
        <v>1999</v>
      </c>
      <c r="E30" s="8"/>
      <c r="F30" s="25" t="str">
        <f>HYPERLINK("https://doi.org/10.1145/606666.606678")</f>
        <v>https://doi.org/10.1145/606666.606678</v>
      </c>
      <c r="G30" s="10" t="s">
        <v>76</v>
      </c>
      <c r="H30" s="19" t="str">
        <f t="shared" si="0"/>
        <v>NO</v>
      </c>
      <c r="I30" s="11" t="s">
        <v>21</v>
      </c>
      <c r="J30" s="12"/>
      <c r="K30" s="12"/>
      <c r="L30" s="13"/>
      <c r="M30" s="13"/>
      <c r="N30" s="13"/>
      <c r="O30" s="13"/>
      <c r="P30" s="14"/>
      <c r="Q30" s="14"/>
      <c r="R30" s="23" t="s">
        <v>21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 x14ac:dyDescent="0.2">
      <c r="A31" s="8"/>
      <c r="B31" s="8" t="s">
        <v>77</v>
      </c>
      <c r="C31" s="8" t="s">
        <v>78</v>
      </c>
      <c r="D31" s="8">
        <v>2006</v>
      </c>
      <c r="E31" s="8"/>
      <c r="F31" s="10"/>
      <c r="G31" s="10"/>
      <c r="H31" s="19" t="str">
        <f t="shared" si="0"/>
        <v>NO</v>
      </c>
      <c r="I31" s="11" t="s">
        <v>21</v>
      </c>
      <c r="J31" s="12"/>
      <c r="K31" s="12"/>
      <c r="L31" s="13"/>
      <c r="M31" s="13"/>
      <c r="N31" s="13"/>
      <c r="O31" s="13"/>
      <c r="P31" s="14"/>
      <c r="Q31" s="14"/>
      <c r="R31" s="23" t="s">
        <v>21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 x14ac:dyDescent="0.2">
      <c r="A32" s="8"/>
      <c r="B32" s="8" t="s">
        <v>79</v>
      </c>
      <c r="C32" s="8" t="s">
        <v>80</v>
      </c>
      <c r="D32" s="8">
        <v>2006</v>
      </c>
      <c r="E32" s="8"/>
      <c r="F32" s="25" t="str">
        <f>HYPERLINK("https://doi.org/10.1007/11768869_14")</f>
        <v>https://doi.org/10.1007/11768869_14</v>
      </c>
      <c r="G32" s="10" t="s">
        <v>81</v>
      </c>
      <c r="H32" s="19" t="str">
        <f t="shared" si="0"/>
        <v>NO</v>
      </c>
      <c r="I32" s="11" t="s">
        <v>21</v>
      </c>
      <c r="J32" s="12"/>
      <c r="K32" s="12"/>
      <c r="L32" s="13"/>
      <c r="M32" s="13"/>
      <c r="N32" s="13"/>
      <c r="O32" s="13"/>
      <c r="P32" s="14"/>
      <c r="Q32" s="14"/>
      <c r="R32" s="23" t="s">
        <v>21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 x14ac:dyDescent="0.2">
      <c r="A33" s="8"/>
      <c r="B33" s="8" t="s">
        <v>82</v>
      </c>
      <c r="C33" s="8" t="s">
        <v>83</v>
      </c>
      <c r="D33" s="8">
        <v>2006</v>
      </c>
      <c r="E33" s="8"/>
      <c r="F33" s="17" t="str">
        <f>HYPERLINK("https://doi.org/10.1145/1142473.1142552")</f>
        <v>https://doi.org/10.1145/1142473.1142552</v>
      </c>
      <c r="G33" s="10" t="s">
        <v>84</v>
      </c>
      <c r="H33" s="19" t="str">
        <f t="shared" si="0"/>
        <v>NO</v>
      </c>
      <c r="I33" s="11" t="s">
        <v>21</v>
      </c>
      <c r="J33" s="12"/>
      <c r="K33" s="12"/>
      <c r="L33" s="13"/>
      <c r="M33" s="13"/>
      <c r="N33" s="13"/>
      <c r="O33" s="13"/>
      <c r="P33" s="14"/>
      <c r="Q33" s="14"/>
      <c r="R33" s="26" t="s">
        <v>21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 x14ac:dyDescent="0.2">
      <c r="A34" s="8"/>
      <c r="B34" s="8" t="s">
        <v>85</v>
      </c>
      <c r="C34" s="8" t="s">
        <v>86</v>
      </c>
      <c r="D34" s="8">
        <v>1996</v>
      </c>
      <c r="E34" s="8"/>
      <c r="F34" s="25" t="str">
        <f>HYPERLINK("https://doi.org/10.1007/3-540-61053-7_67")</f>
        <v>https://doi.org/10.1007/3-540-61053-7_67</v>
      </c>
      <c r="G34" s="10" t="s">
        <v>87</v>
      </c>
      <c r="H34" s="19" t="str">
        <f t="shared" si="0"/>
        <v>NO</v>
      </c>
      <c r="I34" s="11" t="s">
        <v>21</v>
      </c>
      <c r="J34" s="12"/>
      <c r="K34" s="12"/>
      <c r="L34" s="13"/>
      <c r="M34" s="13"/>
      <c r="N34" s="13"/>
      <c r="O34" s="13"/>
      <c r="P34" s="14"/>
      <c r="Q34" s="14"/>
      <c r="R34" s="23" t="s">
        <v>21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 x14ac:dyDescent="0.2">
      <c r="A35" s="8"/>
      <c r="B35" s="8" t="s">
        <v>88</v>
      </c>
      <c r="C35" s="8" t="s">
        <v>89</v>
      </c>
      <c r="D35" s="8">
        <v>2004</v>
      </c>
      <c r="E35" s="8"/>
      <c r="F35" s="17" t="str">
        <f>HYPERLINK("https://doi.org/10.1109/mc.2004.172")</f>
        <v>https://doi.org/10.1109/mc.2004.172</v>
      </c>
      <c r="G35" s="10" t="s">
        <v>90</v>
      </c>
      <c r="H35" s="19" t="str">
        <f t="shared" si="0"/>
        <v>NO</v>
      </c>
      <c r="I35" s="11" t="s">
        <v>21</v>
      </c>
      <c r="J35" s="12"/>
      <c r="K35" s="12"/>
      <c r="L35" s="13"/>
      <c r="M35" s="13"/>
      <c r="N35" s="13"/>
      <c r="O35" s="13"/>
      <c r="P35" s="14"/>
      <c r="Q35" s="14"/>
      <c r="R35" s="27" t="s">
        <v>21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 x14ac:dyDescent="0.2">
      <c r="A36" s="8"/>
      <c r="B36" s="8" t="s">
        <v>91</v>
      </c>
      <c r="C36" s="8" t="s">
        <v>92</v>
      </c>
      <c r="D36" s="8">
        <v>2006</v>
      </c>
      <c r="E36" s="8"/>
      <c r="F36" s="25" t="str">
        <f>HYPERLINK("https://doi.org/10.1007/11877028_10")</f>
        <v>https://doi.org/10.1007/11877028_10</v>
      </c>
      <c r="G36" s="10" t="s">
        <v>93</v>
      </c>
      <c r="H36" s="19" t="str">
        <f t="shared" si="0"/>
        <v>NO</v>
      </c>
      <c r="I36" s="11" t="s">
        <v>21</v>
      </c>
      <c r="J36" s="12"/>
      <c r="K36" s="12"/>
      <c r="L36" s="13"/>
      <c r="M36" s="13"/>
      <c r="N36" s="13"/>
      <c r="O36" s="13"/>
      <c r="P36" s="14"/>
      <c r="Q36" s="14"/>
      <c r="R36" s="23" t="s">
        <v>21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 x14ac:dyDescent="0.2">
      <c r="A37" s="8"/>
      <c r="B37" s="8" t="s">
        <v>94</v>
      </c>
      <c r="C37" s="8" t="s">
        <v>95</v>
      </c>
      <c r="D37" s="8">
        <v>2006</v>
      </c>
      <c r="E37" s="8"/>
      <c r="F37" s="10"/>
      <c r="G37" s="10"/>
      <c r="H37" s="19" t="str">
        <f t="shared" si="0"/>
        <v>NO</v>
      </c>
      <c r="I37" s="11" t="s">
        <v>21</v>
      </c>
      <c r="J37" s="12"/>
      <c r="K37" s="12"/>
      <c r="L37" s="13"/>
      <c r="M37" s="13"/>
      <c r="N37" s="13"/>
      <c r="O37" s="13"/>
      <c r="P37" s="14"/>
      <c r="Q37" s="14"/>
      <c r="R37" s="23" t="s">
        <v>21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 x14ac:dyDescent="0.2">
      <c r="A38" s="8"/>
      <c r="B38" s="8" t="s">
        <v>96</v>
      </c>
      <c r="C38" s="8" t="s">
        <v>97</v>
      </c>
      <c r="D38" s="8"/>
      <c r="E38" s="8"/>
      <c r="F38" s="10"/>
      <c r="G38" s="10"/>
      <c r="H38" s="19" t="str">
        <f t="shared" si="0"/>
        <v>NO</v>
      </c>
      <c r="I38" s="11" t="s">
        <v>21</v>
      </c>
      <c r="J38" s="12"/>
      <c r="K38" s="12"/>
      <c r="L38" s="13"/>
      <c r="M38" s="13"/>
      <c r="N38" s="13"/>
      <c r="O38" s="13"/>
      <c r="P38" s="14"/>
      <c r="Q38" s="14"/>
      <c r="R38" s="26" t="s">
        <v>21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 x14ac:dyDescent="0.2">
      <c r="A39" s="8"/>
      <c r="B39" s="8" t="s">
        <v>98</v>
      </c>
      <c r="C39" s="8" t="s">
        <v>99</v>
      </c>
      <c r="D39" s="8">
        <v>2004</v>
      </c>
      <c r="E39" s="8"/>
      <c r="F39" s="25" t="str">
        <f>HYPERLINK("https://doi.org/10.1007/978-3-642-18733-9")</f>
        <v>https://doi.org/10.1007/978-3-642-18733-9</v>
      </c>
      <c r="G39" s="10" t="s">
        <v>100</v>
      </c>
      <c r="H39" s="19" t="str">
        <f t="shared" si="0"/>
        <v>NO</v>
      </c>
      <c r="I39" s="11" t="s">
        <v>21</v>
      </c>
      <c r="J39" s="12"/>
      <c r="K39" s="12"/>
      <c r="L39" s="13"/>
      <c r="M39" s="13"/>
      <c r="N39" s="13"/>
      <c r="O39" s="13"/>
      <c r="P39" s="14"/>
      <c r="Q39" s="14"/>
      <c r="R39" s="23" t="s">
        <v>21</v>
      </c>
      <c r="S39" s="15"/>
      <c r="T39" s="15"/>
      <c r="U39" s="16"/>
      <c r="V39" s="16"/>
      <c r="W39" s="16"/>
      <c r="X39" s="16"/>
      <c r="Y39" s="16"/>
      <c r="Z39" s="16"/>
      <c r="AA39" s="7"/>
    </row>
    <row r="40" spans="1:27" ht="15.75" customHeight="1" x14ac:dyDescent="0.2">
      <c r="A40" s="8"/>
      <c r="B40" s="8" t="s">
        <v>101</v>
      </c>
      <c r="C40" s="8" t="s">
        <v>102</v>
      </c>
      <c r="D40" s="8">
        <v>2006</v>
      </c>
      <c r="E40" s="8"/>
      <c r="F40" s="10"/>
      <c r="G40" s="10"/>
      <c r="H40" s="19" t="str">
        <f t="shared" si="0"/>
        <v>NO</v>
      </c>
      <c r="I40" s="11" t="s">
        <v>21</v>
      </c>
      <c r="J40" s="12"/>
      <c r="K40" s="12"/>
      <c r="L40" s="13"/>
      <c r="M40" s="13"/>
      <c r="N40" s="13"/>
      <c r="O40" s="13"/>
      <c r="P40" s="14"/>
      <c r="Q40" s="14"/>
      <c r="R40" s="23" t="s">
        <v>21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 x14ac:dyDescent="0.2">
      <c r="A41" s="8"/>
      <c r="B41" s="8" t="s">
        <v>101</v>
      </c>
      <c r="C41" s="8" t="s">
        <v>103</v>
      </c>
      <c r="D41" s="8">
        <v>2008</v>
      </c>
      <c r="E41" s="8"/>
      <c r="F41" s="25" t="str">
        <f>HYPERLINK("https://doi.org/10.1145/1370175.1370190")</f>
        <v>https://doi.org/10.1145/1370175.1370190</v>
      </c>
      <c r="G41" s="10" t="s">
        <v>104</v>
      </c>
      <c r="H41" s="19" t="str">
        <f t="shared" ref="H41:H72" si="1">IF(I41=R41,I41,IF(AND(I41="YES",R41="MAYBE"),"YES",IF(AND(I41="MAYBE",R41="YES"),"YES",IF(OR(AND(I41="NO",R41="YES"),AND(I41="YES",R41="NO")),"MAYBE","NO"))))</f>
        <v>NO</v>
      </c>
      <c r="I41" s="11" t="s">
        <v>21</v>
      </c>
      <c r="J41" s="12"/>
      <c r="K41" s="12"/>
      <c r="L41" s="13"/>
      <c r="M41" s="13"/>
      <c r="N41" s="13"/>
      <c r="O41" s="13"/>
      <c r="P41" s="14"/>
      <c r="Q41" s="14"/>
      <c r="R41" s="23" t="s">
        <v>21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 x14ac:dyDescent="0.2">
      <c r="A42" s="8"/>
      <c r="B42" s="8" t="s">
        <v>105</v>
      </c>
      <c r="C42" s="8" t="s">
        <v>106</v>
      </c>
      <c r="D42" s="8">
        <v>2008</v>
      </c>
      <c r="E42" s="8"/>
      <c r="F42" s="25" t="str">
        <f>HYPERLINK("https://doi.org/10.1007/978-3-540-69824-1_17")</f>
        <v>https://doi.org/10.1007/978-3-540-69824-1_17</v>
      </c>
      <c r="G42" s="10" t="s">
        <v>107</v>
      </c>
      <c r="H42" s="19" t="str">
        <f t="shared" si="1"/>
        <v>NO</v>
      </c>
      <c r="I42" s="11" t="s">
        <v>21</v>
      </c>
      <c r="J42" s="12"/>
      <c r="K42" s="12"/>
      <c r="L42" s="13"/>
      <c r="M42" s="13"/>
      <c r="N42" s="13"/>
      <c r="O42" s="13"/>
      <c r="P42" s="14"/>
      <c r="Q42" s="14"/>
      <c r="R42" s="23" t="s">
        <v>21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 x14ac:dyDescent="0.2">
      <c r="A43" s="8"/>
      <c r="B43" s="8" t="s">
        <v>108</v>
      </c>
      <c r="C43" s="8" t="s">
        <v>109</v>
      </c>
      <c r="D43" s="8">
        <v>2000</v>
      </c>
      <c r="E43" s="8"/>
      <c r="F43" s="10"/>
      <c r="G43" s="10"/>
      <c r="H43" s="19" t="str">
        <f t="shared" si="1"/>
        <v>NO</v>
      </c>
      <c r="I43" s="11" t="s">
        <v>21</v>
      </c>
      <c r="J43" s="12"/>
      <c r="K43" s="12"/>
      <c r="L43" s="13"/>
      <c r="M43" s="13"/>
      <c r="N43" s="13"/>
      <c r="O43" s="13"/>
      <c r="P43" s="14"/>
      <c r="Q43" s="14"/>
      <c r="R43" s="23" t="s">
        <v>21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 x14ac:dyDescent="0.2">
      <c r="A44" s="8"/>
      <c r="B44" s="8" t="s">
        <v>110</v>
      </c>
      <c r="C44" s="8" t="s">
        <v>111</v>
      </c>
      <c r="D44" s="8">
        <v>2002</v>
      </c>
      <c r="E44" s="8"/>
      <c r="F44" s="25" t="str">
        <f>HYPERLINK("https://doi.org/10.1145/581478.581483")</f>
        <v>https://doi.org/10.1145/581478.581483</v>
      </c>
      <c r="G44" s="10" t="s">
        <v>112</v>
      </c>
      <c r="H44" s="19" t="str">
        <f t="shared" si="1"/>
        <v>NO</v>
      </c>
      <c r="I44" s="11" t="s">
        <v>21</v>
      </c>
      <c r="J44" s="12"/>
      <c r="K44" s="12"/>
      <c r="L44" s="13"/>
      <c r="M44" s="13"/>
      <c r="N44" s="13"/>
      <c r="O44" s="13"/>
      <c r="P44" s="14"/>
      <c r="Q44" s="14"/>
      <c r="R44" s="23" t="s">
        <v>21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 x14ac:dyDescent="0.2">
      <c r="A45" s="8"/>
      <c r="B45" s="28" t="s">
        <v>113</v>
      </c>
      <c r="C45" s="8" t="s">
        <v>114</v>
      </c>
      <c r="D45" s="8">
        <v>2000</v>
      </c>
      <c r="E45" s="8"/>
      <c r="F45" s="10"/>
      <c r="G45" s="10"/>
      <c r="H45" s="19" t="str">
        <f t="shared" si="1"/>
        <v>NO</v>
      </c>
      <c r="I45" s="11" t="s">
        <v>21</v>
      </c>
      <c r="J45" s="12"/>
      <c r="K45" s="12"/>
      <c r="L45" s="13"/>
      <c r="M45" s="13"/>
      <c r="N45" s="13"/>
      <c r="O45" s="13"/>
      <c r="P45" s="14"/>
      <c r="Q45" s="14"/>
      <c r="R45" s="23" t="s">
        <v>21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 x14ac:dyDescent="0.2">
      <c r="A46" s="8"/>
      <c r="B46" s="8" t="s">
        <v>115</v>
      </c>
      <c r="C46" s="8" t="s">
        <v>116</v>
      </c>
      <c r="D46" s="8">
        <v>2007</v>
      </c>
      <c r="E46" s="8"/>
      <c r="F46" s="25" t="str">
        <f>HYPERLINK("https://doi.org/10.1007/978-3-540-76786-2_6")</f>
        <v>https://doi.org/10.1007/978-3-540-76786-2_6</v>
      </c>
      <c r="G46" s="10" t="s">
        <v>117</v>
      </c>
      <c r="H46" s="19" t="str">
        <f t="shared" si="1"/>
        <v>NO</v>
      </c>
      <c r="I46" s="11" t="s">
        <v>21</v>
      </c>
      <c r="J46" s="12"/>
      <c r="K46" s="12"/>
      <c r="L46" s="13"/>
      <c r="M46" s="13"/>
      <c r="N46" s="13"/>
      <c r="O46" s="13"/>
      <c r="P46" s="14"/>
      <c r="Q46" s="14"/>
      <c r="R46" s="23" t="s">
        <v>21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 x14ac:dyDescent="0.2">
      <c r="A47" s="8"/>
      <c r="B47" s="8" t="s">
        <v>118</v>
      </c>
      <c r="C47" s="8" t="s">
        <v>119</v>
      </c>
      <c r="D47" s="8">
        <v>1998</v>
      </c>
      <c r="E47" s="8"/>
      <c r="F47" s="25" t="str">
        <f>HYPERLINK("https://doi.org/10.1109/tools.1998.711009")</f>
        <v>https://doi.org/10.1109/tools.1998.711009</v>
      </c>
      <c r="G47" s="10" t="s">
        <v>120</v>
      </c>
      <c r="H47" s="19" t="str">
        <f t="shared" si="1"/>
        <v>NO</v>
      </c>
      <c r="I47" s="11" t="s">
        <v>21</v>
      </c>
      <c r="J47" s="12"/>
      <c r="K47" s="12"/>
      <c r="L47" s="13"/>
      <c r="M47" s="13"/>
      <c r="N47" s="13"/>
      <c r="O47" s="13"/>
      <c r="P47" s="14"/>
      <c r="Q47" s="14"/>
      <c r="R47" s="23" t="s">
        <v>21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 x14ac:dyDescent="0.2">
      <c r="A48" s="8"/>
      <c r="B48" s="8" t="s">
        <v>121</v>
      </c>
      <c r="C48" s="8" t="s">
        <v>122</v>
      </c>
      <c r="D48" s="8">
        <v>1997</v>
      </c>
      <c r="E48" s="8" t="s">
        <v>123</v>
      </c>
      <c r="F48" s="10"/>
      <c r="G48" s="10"/>
      <c r="H48" s="19" t="str">
        <f t="shared" si="1"/>
        <v>NO</v>
      </c>
      <c r="I48" s="11" t="s">
        <v>21</v>
      </c>
      <c r="J48" s="12"/>
      <c r="K48" s="12"/>
      <c r="L48" s="13"/>
      <c r="M48" s="13"/>
      <c r="N48" s="13"/>
      <c r="O48" s="13"/>
      <c r="P48" s="14"/>
      <c r="Q48" s="14"/>
      <c r="R48" s="23" t="s">
        <v>21</v>
      </c>
      <c r="S48" s="15"/>
      <c r="T48" s="15"/>
      <c r="U48" s="16"/>
      <c r="V48" s="16"/>
      <c r="W48" s="16"/>
      <c r="X48" s="16"/>
      <c r="Y48" s="16"/>
      <c r="Z48" s="16"/>
      <c r="AA48" s="7"/>
    </row>
    <row r="49" spans="1:27" ht="14.25" x14ac:dyDescent="0.2">
      <c r="A49" s="8"/>
      <c r="B49" s="8" t="s">
        <v>124</v>
      </c>
      <c r="C49" s="8" t="s">
        <v>125</v>
      </c>
      <c r="D49" s="8">
        <v>2003</v>
      </c>
      <c r="E49" s="8"/>
      <c r="F49" s="25" t="str">
        <f>HYPERLINK("https://doi.org/10.1145/604174.604179")</f>
        <v>https://doi.org/10.1145/604174.604179</v>
      </c>
      <c r="G49" s="10" t="s">
        <v>126</v>
      </c>
      <c r="H49" s="19" t="str">
        <f t="shared" si="1"/>
        <v>NO</v>
      </c>
      <c r="I49" s="11" t="s">
        <v>21</v>
      </c>
      <c r="J49" s="12"/>
      <c r="K49" s="12"/>
      <c r="L49" s="13"/>
      <c r="M49" s="13"/>
      <c r="N49" s="13"/>
      <c r="O49" s="13"/>
      <c r="P49" s="14"/>
      <c r="Q49" s="14"/>
      <c r="R49" s="23" t="s">
        <v>21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 x14ac:dyDescent="0.2">
      <c r="A50" s="8"/>
      <c r="B50" s="8" t="s">
        <v>127</v>
      </c>
      <c r="C50" s="8" t="s">
        <v>128</v>
      </c>
      <c r="D50" s="8">
        <v>1998</v>
      </c>
      <c r="E50" s="8" t="s">
        <v>60</v>
      </c>
      <c r="F50" s="10"/>
      <c r="G50" s="10"/>
      <c r="H50" s="19" t="str">
        <f t="shared" si="1"/>
        <v>NO</v>
      </c>
      <c r="I50" s="11" t="s">
        <v>21</v>
      </c>
      <c r="J50" s="12"/>
      <c r="K50" s="12"/>
      <c r="L50" s="13"/>
      <c r="M50" s="13"/>
      <c r="N50" s="13"/>
      <c r="O50" s="13"/>
      <c r="P50" s="14"/>
      <c r="Q50" s="14"/>
      <c r="R50" s="23" t="s">
        <v>21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 x14ac:dyDescent="0.2">
      <c r="A51" s="8"/>
      <c r="B51" s="8" t="s">
        <v>129</v>
      </c>
      <c r="C51" s="8" t="s">
        <v>130</v>
      </c>
      <c r="D51" s="8"/>
      <c r="E51" s="8"/>
      <c r="F51" s="10"/>
      <c r="G51" s="10"/>
      <c r="H51" s="19" t="str">
        <f t="shared" si="1"/>
        <v>NO</v>
      </c>
      <c r="I51" s="11" t="s">
        <v>21</v>
      </c>
      <c r="J51" s="12"/>
      <c r="K51" s="12"/>
      <c r="L51" s="13"/>
      <c r="M51" s="13"/>
      <c r="N51" s="13"/>
      <c r="O51" s="13"/>
      <c r="P51" s="14"/>
      <c r="Q51" s="14"/>
      <c r="R51" s="27" t="s">
        <v>21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 x14ac:dyDescent="0.2">
      <c r="A52" s="8"/>
      <c r="B52" s="8" t="s">
        <v>131</v>
      </c>
      <c r="C52" s="8" t="s">
        <v>132</v>
      </c>
      <c r="D52" s="8">
        <v>2006</v>
      </c>
      <c r="E52" s="8"/>
      <c r="F52" s="25" t="str">
        <f>HYPERLINK("https://doi.org/10.1007/11877028_19")</f>
        <v>https://doi.org/10.1007/11877028_19</v>
      </c>
      <c r="G52" s="10" t="s">
        <v>133</v>
      </c>
      <c r="H52" s="19" t="str">
        <f t="shared" si="1"/>
        <v>NO</v>
      </c>
      <c r="I52" s="11" t="s">
        <v>21</v>
      </c>
      <c r="J52" s="12"/>
      <c r="K52" s="12"/>
      <c r="L52" s="13"/>
      <c r="M52" s="13"/>
      <c r="N52" s="13"/>
      <c r="O52" s="13"/>
      <c r="P52" s="14"/>
      <c r="Q52" s="14"/>
      <c r="R52" s="23" t="s">
        <v>21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 x14ac:dyDescent="0.2">
      <c r="A53" s="8"/>
      <c r="B53" s="8" t="s">
        <v>134</v>
      </c>
      <c r="C53" s="8" t="s">
        <v>135</v>
      </c>
      <c r="D53" s="8">
        <v>2001</v>
      </c>
      <c r="E53" s="8"/>
      <c r="F53" s="25" t="str">
        <f>HYPERLINK("https://doi.org/10.1016/s1571-0661(04)80917-4")</f>
        <v>https://doi.org/10.1016/s1571-0661(04)80917-4</v>
      </c>
      <c r="G53" s="10" t="s">
        <v>136</v>
      </c>
      <c r="H53" s="19" t="str">
        <f t="shared" si="1"/>
        <v>MAYBE</v>
      </c>
      <c r="I53" s="23" t="s">
        <v>137</v>
      </c>
      <c r="J53" s="29" t="b">
        <v>0</v>
      </c>
      <c r="K53" s="29" t="b">
        <v>1</v>
      </c>
      <c r="L53" s="13"/>
      <c r="M53" s="13"/>
      <c r="N53" s="13"/>
      <c r="O53" s="13"/>
      <c r="P53" s="14"/>
      <c r="Q53" s="14"/>
      <c r="R53" s="23" t="s">
        <v>137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 x14ac:dyDescent="0.2">
      <c r="A54" s="8"/>
      <c r="B54" s="8" t="s">
        <v>138</v>
      </c>
      <c r="C54" s="8" t="s">
        <v>139</v>
      </c>
      <c r="D54" s="8">
        <v>2007</v>
      </c>
      <c r="E54" s="8"/>
      <c r="F54" s="10"/>
      <c r="G54" s="10"/>
      <c r="H54" s="19" t="str">
        <f t="shared" si="1"/>
        <v>NO</v>
      </c>
      <c r="I54" s="11" t="s">
        <v>21</v>
      </c>
      <c r="J54" s="12"/>
      <c r="K54" s="12"/>
      <c r="L54" s="13"/>
      <c r="M54" s="13"/>
      <c r="N54" s="13"/>
      <c r="O54" s="13"/>
      <c r="P54" s="14"/>
      <c r="Q54" s="14"/>
      <c r="R54" s="23" t="s">
        <v>21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 x14ac:dyDescent="0.2">
      <c r="A55" s="8"/>
      <c r="B55" s="8" t="s">
        <v>140</v>
      </c>
      <c r="C55" s="8" t="s">
        <v>141</v>
      </c>
      <c r="D55" s="8"/>
      <c r="E55" s="8"/>
      <c r="F55" s="25" t="str">
        <f>HYPERLINK("https://doi.org/10.1109/cmpsac.1998.716629")</f>
        <v>https://doi.org/10.1109/cmpsac.1998.716629</v>
      </c>
      <c r="G55" s="10" t="s">
        <v>142</v>
      </c>
      <c r="H55" s="19" t="str">
        <f t="shared" si="1"/>
        <v>NO</v>
      </c>
      <c r="I55" s="11" t="s">
        <v>21</v>
      </c>
      <c r="J55" s="12"/>
      <c r="K55" s="12"/>
      <c r="L55" s="13"/>
      <c r="M55" s="13"/>
      <c r="N55" s="13"/>
      <c r="O55" s="13"/>
      <c r="P55" s="14"/>
      <c r="Q55" s="14"/>
      <c r="R55" s="23" t="s">
        <v>21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 x14ac:dyDescent="0.2">
      <c r="A56" s="8"/>
      <c r="B56" s="8" t="s">
        <v>143</v>
      </c>
      <c r="C56" s="8" t="s">
        <v>144</v>
      </c>
      <c r="D56" s="8">
        <v>2002</v>
      </c>
      <c r="E56" s="8"/>
      <c r="F56" s="25" t="str">
        <f>HYPERLINK("https://doi.org/10.1016/s1571-0661(04)80430-4")</f>
        <v>https://doi.org/10.1016/s1571-0661(04)80430-4</v>
      </c>
      <c r="G56" s="10" t="s">
        <v>145</v>
      </c>
      <c r="H56" s="19" t="str">
        <f t="shared" si="1"/>
        <v>NO</v>
      </c>
      <c r="I56" s="11" t="s">
        <v>21</v>
      </c>
      <c r="J56" s="12"/>
      <c r="K56" s="12"/>
      <c r="L56" s="13"/>
      <c r="M56" s="13"/>
      <c r="N56" s="13"/>
      <c r="O56" s="13"/>
      <c r="P56" s="14"/>
      <c r="Q56" s="14"/>
      <c r="R56" s="23" t="s">
        <v>21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 x14ac:dyDescent="0.2">
      <c r="A57" s="8"/>
      <c r="B57" s="8" t="s">
        <v>146</v>
      </c>
      <c r="C57" s="8" t="s">
        <v>147</v>
      </c>
      <c r="D57" s="8">
        <v>2007</v>
      </c>
      <c r="E57" s="8"/>
      <c r="F57" s="25" t="str">
        <f>HYPERLINK("https://doi.org/10.1145/1297105.1297029")</f>
        <v>https://doi.org/10.1145/1297105.1297029</v>
      </c>
      <c r="G57" s="10" t="s">
        <v>148</v>
      </c>
      <c r="H57" s="19" t="str">
        <f t="shared" si="1"/>
        <v>NO</v>
      </c>
      <c r="I57" s="11" t="s">
        <v>21</v>
      </c>
      <c r="J57" s="12"/>
      <c r="K57" s="12"/>
      <c r="L57" s="13"/>
      <c r="M57" s="13"/>
      <c r="N57" s="13"/>
      <c r="O57" s="13"/>
      <c r="P57" s="14"/>
      <c r="Q57" s="14"/>
      <c r="R57" s="26" t="s">
        <v>21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 x14ac:dyDescent="0.2">
      <c r="A58" s="8"/>
      <c r="B58" s="8" t="s">
        <v>146</v>
      </c>
      <c r="C58" s="8" t="s">
        <v>149</v>
      </c>
      <c r="D58" s="8">
        <v>2007</v>
      </c>
      <c r="E58" s="8"/>
      <c r="F58" s="25" t="str">
        <f>HYPERLINK("https://doi.org/10.1016/j.scico.2007.02.003")</f>
        <v>https://doi.org/10.1016/j.scico.2007.02.003</v>
      </c>
      <c r="G58" s="10" t="s">
        <v>150</v>
      </c>
      <c r="H58" s="19" t="str">
        <f t="shared" si="1"/>
        <v>NO</v>
      </c>
      <c r="I58" s="11" t="s">
        <v>21</v>
      </c>
      <c r="J58" s="12"/>
      <c r="K58" s="12"/>
      <c r="L58" s="13"/>
      <c r="M58" s="13"/>
      <c r="N58" s="13"/>
      <c r="O58" s="13"/>
      <c r="P58" s="14"/>
      <c r="Q58" s="14"/>
      <c r="R58" s="23" t="s">
        <v>21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 x14ac:dyDescent="0.2">
      <c r="A59" s="8"/>
      <c r="B59" s="8" t="s">
        <v>151</v>
      </c>
      <c r="C59" s="8" t="s">
        <v>152</v>
      </c>
      <c r="D59" s="8">
        <v>2005</v>
      </c>
      <c r="E59" s="8" t="s">
        <v>60</v>
      </c>
      <c r="F59" s="10"/>
      <c r="G59" s="10"/>
      <c r="H59" s="19" t="str">
        <f t="shared" si="1"/>
        <v>NO</v>
      </c>
      <c r="I59" s="11" t="s">
        <v>21</v>
      </c>
      <c r="J59" s="12"/>
      <c r="K59" s="12"/>
      <c r="L59" s="13"/>
      <c r="M59" s="13"/>
      <c r="N59" s="13"/>
      <c r="O59" s="13"/>
      <c r="P59" s="14"/>
      <c r="Q59" s="14"/>
      <c r="R59" s="23" t="s">
        <v>21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 x14ac:dyDescent="0.2">
      <c r="A60" s="8"/>
      <c r="B60" s="8" t="s">
        <v>153</v>
      </c>
      <c r="C60" s="8" t="s">
        <v>154</v>
      </c>
      <c r="D60" s="8">
        <v>2005</v>
      </c>
      <c r="E60" s="8"/>
      <c r="F60" s="25" t="str">
        <f>HYPERLINK("https://doi.org/10.5381/jot.2005.4.2.c2")</f>
        <v>https://doi.org/10.5381/jot.2005.4.2.c2</v>
      </c>
      <c r="G60" s="10" t="s">
        <v>155</v>
      </c>
      <c r="H60" s="19" t="str">
        <f t="shared" si="1"/>
        <v>NO</v>
      </c>
      <c r="I60" s="11" t="s">
        <v>21</v>
      </c>
      <c r="J60" s="12"/>
      <c r="K60" s="12"/>
      <c r="L60" s="13"/>
      <c r="M60" s="13"/>
      <c r="N60" s="13"/>
      <c r="O60" s="13"/>
      <c r="P60" s="14"/>
      <c r="Q60" s="14"/>
      <c r="R60" s="23" t="s">
        <v>21</v>
      </c>
      <c r="S60" s="15"/>
      <c r="T60" s="15"/>
      <c r="U60" s="16"/>
      <c r="V60" s="16"/>
      <c r="W60" s="16"/>
      <c r="X60" s="16"/>
      <c r="Y60" s="16"/>
      <c r="Z60" s="16"/>
      <c r="AA60" s="7"/>
    </row>
    <row r="61" spans="1:27" ht="14.25" x14ac:dyDescent="0.2">
      <c r="A61" s="8"/>
      <c r="B61" s="8" t="s">
        <v>156</v>
      </c>
      <c r="C61" s="8" t="s">
        <v>157</v>
      </c>
      <c r="D61" s="8">
        <v>2005</v>
      </c>
      <c r="E61" s="8"/>
      <c r="F61" s="25" t="str">
        <f>HYPERLINK("https://doi.org/10.1145/1072997.1073000")</f>
        <v>https://doi.org/10.1145/1072997.1073000</v>
      </c>
      <c r="G61" s="10" t="s">
        <v>158</v>
      </c>
      <c r="H61" s="19" t="str">
        <f t="shared" si="1"/>
        <v>NO</v>
      </c>
      <c r="I61" s="11" t="s">
        <v>21</v>
      </c>
      <c r="J61" s="12"/>
      <c r="K61" s="12"/>
      <c r="L61" s="13"/>
      <c r="M61" s="13"/>
      <c r="N61" s="13"/>
      <c r="O61" s="13"/>
      <c r="P61" s="14"/>
      <c r="Q61" s="14"/>
      <c r="R61" s="23" t="s">
        <v>21</v>
      </c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 x14ac:dyDescent="0.2">
      <c r="A62" s="8"/>
      <c r="B62" s="8" t="s">
        <v>66</v>
      </c>
      <c r="C62" s="8" t="s">
        <v>159</v>
      </c>
      <c r="D62" s="8">
        <v>2001</v>
      </c>
      <c r="E62" s="8"/>
      <c r="F62" s="25" t="str">
        <f>HYPERLINK("https://doi.org/10.1145/504282.504302")</f>
        <v>https://doi.org/10.1145/504282.504302</v>
      </c>
      <c r="G62" s="10" t="s">
        <v>160</v>
      </c>
      <c r="H62" s="19" t="str">
        <f t="shared" si="1"/>
        <v>NO</v>
      </c>
      <c r="I62" s="11" t="s">
        <v>21</v>
      </c>
      <c r="J62" s="12"/>
      <c r="K62" s="12"/>
      <c r="L62" s="13"/>
      <c r="M62" s="13"/>
      <c r="N62" s="13"/>
      <c r="O62" s="13"/>
      <c r="P62" s="14"/>
      <c r="Q62" s="14"/>
      <c r="R62" s="23" t="s">
        <v>21</v>
      </c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2.75" x14ac:dyDescent="0.2">
      <c r="A63" s="8"/>
      <c r="B63" s="8"/>
      <c r="C63" s="8"/>
      <c r="D63" s="8"/>
      <c r="E63" s="8"/>
      <c r="F63" s="10"/>
      <c r="G63" s="10"/>
      <c r="H63" s="10"/>
      <c r="I63" s="11"/>
      <c r="J63" s="12"/>
      <c r="K63" s="12"/>
      <c r="L63" s="13"/>
      <c r="M63" s="13"/>
      <c r="N63" s="13"/>
      <c r="O63" s="13"/>
      <c r="P63" s="14"/>
      <c r="Q63" s="14"/>
      <c r="R63" s="11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2.75" x14ac:dyDescent="0.2">
      <c r="A64" s="8"/>
      <c r="B64" s="8" t="s">
        <v>161</v>
      </c>
      <c r="C64" s="8"/>
      <c r="D64" s="8"/>
      <c r="E64" s="8"/>
      <c r="F64" s="10"/>
      <c r="G64" s="10"/>
      <c r="H64" s="10"/>
      <c r="I64" s="18"/>
      <c r="J64" s="12"/>
      <c r="K64" s="12"/>
      <c r="L64" s="13"/>
      <c r="M64" s="13"/>
      <c r="N64" s="13"/>
      <c r="O64" s="13"/>
      <c r="P64" s="14"/>
      <c r="Q64" s="14"/>
      <c r="R64" s="18"/>
      <c r="S64" s="15"/>
      <c r="T64" s="15"/>
      <c r="U64" s="16"/>
      <c r="V64" s="16"/>
      <c r="W64" s="16"/>
      <c r="X64" s="16"/>
      <c r="Y64" s="16"/>
      <c r="Z64" s="16"/>
      <c r="AA64" s="7"/>
    </row>
    <row r="65" spans="1:27" ht="12.75" x14ac:dyDescent="0.2">
      <c r="A65" s="8"/>
      <c r="B65" s="8"/>
      <c r="C65" s="8"/>
      <c r="D65" s="8"/>
      <c r="E65" s="8"/>
      <c r="F65" s="10"/>
      <c r="G65" s="10"/>
      <c r="H65" s="10"/>
      <c r="I65" s="11"/>
      <c r="J65" s="12"/>
      <c r="K65" s="12"/>
      <c r="L65" s="13"/>
      <c r="M65" s="13"/>
      <c r="N65" s="13"/>
      <c r="O65" s="13"/>
      <c r="P65" s="14"/>
      <c r="Q65" s="14"/>
      <c r="R65" s="11"/>
      <c r="S65" s="15"/>
      <c r="T65" s="15"/>
      <c r="U65" s="16"/>
      <c r="V65" s="16"/>
      <c r="W65" s="16"/>
      <c r="X65" s="16"/>
      <c r="Y65" s="16"/>
      <c r="Z65" s="16"/>
      <c r="AA65" s="7"/>
    </row>
    <row r="66" spans="1:27" ht="12.75" x14ac:dyDescent="0.2">
      <c r="A66" s="8"/>
      <c r="B66" s="8" t="s">
        <v>162</v>
      </c>
      <c r="C66" s="8" t="s">
        <v>163</v>
      </c>
      <c r="D66" s="8">
        <v>1995</v>
      </c>
      <c r="E66" s="8"/>
      <c r="F66" s="25" t="s">
        <v>164</v>
      </c>
      <c r="G66" s="10" t="s">
        <v>165</v>
      </c>
      <c r="H66" s="10" t="s">
        <v>21</v>
      </c>
      <c r="I66" s="23" t="s">
        <v>21</v>
      </c>
      <c r="J66" s="12"/>
      <c r="K66" s="12"/>
      <c r="L66" s="13"/>
      <c r="M66" s="13"/>
      <c r="N66" s="13"/>
      <c r="O66" s="13"/>
      <c r="P66" s="14"/>
      <c r="Q66" s="14"/>
      <c r="R66" s="23" t="s">
        <v>21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2.75" x14ac:dyDescent="0.2">
      <c r="A67" s="8"/>
      <c r="B67" s="8" t="s">
        <v>166</v>
      </c>
      <c r="C67" s="8" t="s">
        <v>167</v>
      </c>
      <c r="D67" s="8">
        <v>2007</v>
      </c>
      <c r="E67" s="8"/>
      <c r="F67" s="25" t="s">
        <v>168</v>
      </c>
      <c r="G67" s="10" t="s">
        <v>169</v>
      </c>
      <c r="H67" s="10" t="s">
        <v>21</v>
      </c>
      <c r="I67" s="23" t="s">
        <v>21</v>
      </c>
      <c r="J67" s="12"/>
      <c r="K67" s="12"/>
      <c r="L67" s="13"/>
      <c r="M67" s="13"/>
      <c r="N67" s="13"/>
      <c r="O67" s="13"/>
      <c r="P67" s="14"/>
      <c r="Q67" s="14"/>
      <c r="R67" s="23" t="s">
        <v>21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2.75" x14ac:dyDescent="0.2">
      <c r="A68" s="8"/>
      <c r="B68" s="8" t="s">
        <v>170</v>
      </c>
      <c r="C68" s="8" t="s">
        <v>171</v>
      </c>
      <c r="D68" s="8">
        <v>2004</v>
      </c>
      <c r="E68" s="8"/>
      <c r="F68" s="25" t="s">
        <v>172</v>
      </c>
      <c r="G68" s="10" t="s">
        <v>173</v>
      </c>
      <c r="H68" s="10" t="s">
        <v>21</v>
      </c>
      <c r="I68" s="27" t="s">
        <v>21</v>
      </c>
      <c r="J68" s="12"/>
      <c r="K68" s="12"/>
      <c r="L68" s="13"/>
      <c r="M68" s="13"/>
      <c r="N68" s="13"/>
      <c r="O68" s="13"/>
      <c r="P68" s="14"/>
      <c r="Q68" s="14"/>
      <c r="R68" s="26" t="s">
        <v>21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2.75" x14ac:dyDescent="0.2">
      <c r="A69" s="8"/>
      <c r="B69" s="8" t="s">
        <v>174</v>
      </c>
      <c r="C69" s="8" t="s">
        <v>175</v>
      </c>
      <c r="D69" s="8">
        <v>1994</v>
      </c>
      <c r="E69" s="8" t="s">
        <v>60</v>
      </c>
      <c r="F69" s="10"/>
      <c r="G69" s="10"/>
      <c r="H69" s="10" t="s">
        <v>21</v>
      </c>
      <c r="I69" s="23" t="s">
        <v>21</v>
      </c>
      <c r="J69" s="29" t="b">
        <v>0</v>
      </c>
      <c r="K69" s="29" t="b">
        <v>0</v>
      </c>
      <c r="L69" s="30" t="b">
        <v>0</v>
      </c>
      <c r="M69" s="30" t="b">
        <v>0</v>
      </c>
      <c r="N69" s="30" t="b">
        <v>0</v>
      </c>
      <c r="O69" s="30" t="b">
        <v>0</v>
      </c>
      <c r="P69" s="30" t="b">
        <v>0</v>
      </c>
      <c r="Q69" s="30" t="b">
        <v>0</v>
      </c>
      <c r="R69" s="23" t="s">
        <v>21</v>
      </c>
      <c r="S69" s="31" t="b">
        <v>0</v>
      </c>
      <c r="T69" s="31" t="b">
        <v>0</v>
      </c>
      <c r="U69" s="24" t="b">
        <v>0</v>
      </c>
      <c r="V69" s="24" t="b">
        <v>0</v>
      </c>
      <c r="W69" s="24" t="b">
        <v>0</v>
      </c>
      <c r="X69" s="24" t="b">
        <v>0</v>
      </c>
      <c r="Y69" s="24" t="b">
        <v>0</v>
      </c>
      <c r="Z69" s="24" t="b">
        <v>0</v>
      </c>
      <c r="AA69" s="7"/>
    </row>
    <row r="70" spans="1:27" ht="12.75" x14ac:dyDescent="0.2">
      <c r="A70" s="8"/>
      <c r="B70" s="8" t="s">
        <v>176</v>
      </c>
      <c r="C70" s="8" t="s">
        <v>177</v>
      </c>
      <c r="D70" s="8">
        <v>2007</v>
      </c>
      <c r="E70" s="8"/>
      <c r="F70" s="25" t="s">
        <v>178</v>
      </c>
      <c r="G70" s="10" t="s">
        <v>179</v>
      </c>
      <c r="H70" s="10" t="s">
        <v>21</v>
      </c>
      <c r="I70" s="23" t="s">
        <v>21</v>
      </c>
      <c r="J70" s="12"/>
      <c r="K70" s="12"/>
      <c r="L70" s="13"/>
      <c r="M70" s="13"/>
      <c r="N70" s="13"/>
      <c r="O70" s="13"/>
      <c r="P70" s="14"/>
      <c r="Q70" s="14"/>
      <c r="R70" s="23" t="s">
        <v>21</v>
      </c>
      <c r="S70" s="15"/>
      <c r="T70" s="15"/>
      <c r="U70" s="16"/>
      <c r="V70" s="16"/>
      <c r="W70" s="16"/>
      <c r="X70" s="16"/>
      <c r="Y70" s="16"/>
      <c r="Z70" s="16"/>
      <c r="AA70" s="7"/>
    </row>
    <row r="71" spans="1:27" ht="12.75" x14ac:dyDescent="0.2">
      <c r="A71" s="8"/>
      <c r="B71" s="8" t="s">
        <v>180</v>
      </c>
      <c r="C71" s="8" t="s">
        <v>181</v>
      </c>
      <c r="D71" s="8">
        <v>2002</v>
      </c>
      <c r="E71" s="8"/>
      <c r="F71" s="25" t="s">
        <v>182</v>
      </c>
      <c r="G71" s="10" t="s">
        <v>183</v>
      </c>
      <c r="H71" s="10" t="s">
        <v>21</v>
      </c>
      <c r="I71" s="23" t="s">
        <v>21</v>
      </c>
      <c r="J71" s="12"/>
      <c r="K71" s="12"/>
      <c r="L71" s="13"/>
      <c r="M71" s="13"/>
      <c r="N71" s="13"/>
      <c r="O71" s="13"/>
      <c r="P71" s="14"/>
      <c r="Q71" s="14"/>
      <c r="R71" s="23" t="s">
        <v>21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2.75" x14ac:dyDescent="0.2">
      <c r="A72" s="8"/>
      <c r="B72" s="8" t="s">
        <v>184</v>
      </c>
      <c r="C72" s="8" t="s">
        <v>185</v>
      </c>
      <c r="D72" s="8">
        <v>2000</v>
      </c>
      <c r="E72" s="8"/>
      <c r="F72" s="10"/>
      <c r="G72" s="10"/>
      <c r="H72" s="10" t="s">
        <v>21</v>
      </c>
      <c r="I72" s="23" t="s">
        <v>21</v>
      </c>
      <c r="J72" s="12"/>
      <c r="K72" s="12"/>
      <c r="L72" s="13"/>
      <c r="M72" s="13"/>
      <c r="N72" s="13"/>
      <c r="O72" s="13"/>
      <c r="P72" s="14"/>
      <c r="Q72" s="14"/>
      <c r="R72" s="23" t="s">
        <v>21</v>
      </c>
      <c r="S72" s="15"/>
      <c r="T72" s="15"/>
      <c r="U72" s="16"/>
      <c r="V72" s="16"/>
      <c r="W72" s="16"/>
      <c r="X72" s="16"/>
      <c r="Y72" s="16"/>
      <c r="Z72" s="16"/>
      <c r="AA72" s="7"/>
    </row>
    <row r="73" spans="1:27" ht="12.75" x14ac:dyDescent="0.2">
      <c r="A73" s="8"/>
      <c r="B73" s="8" t="s">
        <v>105</v>
      </c>
      <c r="C73" s="8" t="s">
        <v>186</v>
      </c>
      <c r="D73" s="8"/>
      <c r="E73" s="8"/>
      <c r="F73" s="25" t="s">
        <v>187</v>
      </c>
      <c r="G73" s="10" t="s">
        <v>188</v>
      </c>
      <c r="H73" s="10" t="s">
        <v>21</v>
      </c>
      <c r="I73" s="23" t="s">
        <v>21</v>
      </c>
      <c r="J73" s="12"/>
      <c r="K73" s="12"/>
      <c r="L73" s="13"/>
      <c r="M73" s="13"/>
      <c r="N73" s="13"/>
      <c r="O73" s="13"/>
      <c r="P73" s="14"/>
      <c r="Q73" s="14"/>
      <c r="R73" s="23" t="s">
        <v>21</v>
      </c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2.75" x14ac:dyDescent="0.2">
      <c r="A74" s="8"/>
      <c r="B74" s="8" t="s">
        <v>189</v>
      </c>
      <c r="C74" s="8" t="s">
        <v>190</v>
      </c>
      <c r="D74" s="8">
        <v>2006</v>
      </c>
      <c r="E74" s="8"/>
      <c r="F74" s="25" t="s">
        <v>191</v>
      </c>
      <c r="G74" s="10" t="s">
        <v>192</v>
      </c>
      <c r="H74" s="10" t="s">
        <v>21</v>
      </c>
      <c r="I74" s="23" t="s">
        <v>21</v>
      </c>
      <c r="J74" s="12"/>
      <c r="K74" s="12"/>
      <c r="L74" s="13"/>
      <c r="M74" s="13"/>
      <c r="N74" s="13"/>
      <c r="O74" s="13"/>
      <c r="P74" s="14"/>
      <c r="Q74" s="14"/>
      <c r="R74" s="23" t="s">
        <v>21</v>
      </c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2.75" x14ac:dyDescent="0.2">
      <c r="A75" s="8"/>
      <c r="B75" s="8" t="s">
        <v>193</v>
      </c>
      <c r="C75" s="8" t="s">
        <v>194</v>
      </c>
      <c r="D75" s="8"/>
      <c r="E75" s="8"/>
      <c r="F75" s="10"/>
      <c r="G75" s="10"/>
      <c r="H75" s="10" t="s">
        <v>21</v>
      </c>
      <c r="I75" s="23" t="s">
        <v>21</v>
      </c>
      <c r="J75" s="29" t="b">
        <v>0</v>
      </c>
      <c r="K75" s="29" t="b">
        <v>0</v>
      </c>
      <c r="L75" s="30" t="b">
        <v>0</v>
      </c>
      <c r="M75" s="30" t="b">
        <v>0</v>
      </c>
      <c r="N75" s="30" t="b">
        <v>0</v>
      </c>
      <c r="O75" s="30" t="b">
        <v>0</v>
      </c>
      <c r="P75" s="30" t="b">
        <v>0</v>
      </c>
      <c r="Q75" s="30" t="b">
        <v>0</v>
      </c>
      <c r="R75" s="23" t="s">
        <v>21</v>
      </c>
      <c r="S75" s="31" t="b">
        <v>0</v>
      </c>
      <c r="T75" s="31" t="b">
        <v>0</v>
      </c>
      <c r="U75" s="24" t="b">
        <v>0</v>
      </c>
      <c r="V75" s="24" t="b">
        <v>0</v>
      </c>
      <c r="W75" s="24" t="b">
        <v>0</v>
      </c>
      <c r="X75" s="24" t="b">
        <v>0</v>
      </c>
      <c r="Y75" s="24" t="b">
        <v>0</v>
      </c>
      <c r="Z75" s="24" t="b">
        <v>0</v>
      </c>
      <c r="AA75" s="7"/>
    </row>
    <row r="76" spans="1:27" ht="12.75" x14ac:dyDescent="0.2">
      <c r="A76" s="8"/>
      <c r="B76" s="8" t="s">
        <v>195</v>
      </c>
      <c r="C76" s="8" t="s">
        <v>196</v>
      </c>
      <c r="D76" s="8">
        <v>2003</v>
      </c>
      <c r="E76" s="8"/>
      <c r="F76" s="25" t="s">
        <v>197</v>
      </c>
      <c r="G76" s="10" t="s">
        <v>198</v>
      </c>
      <c r="H76" s="10" t="s">
        <v>21</v>
      </c>
      <c r="I76" s="23" t="s">
        <v>21</v>
      </c>
      <c r="J76" s="12"/>
      <c r="K76" s="12"/>
      <c r="L76" s="13"/>
      <c r="M76" s="13"/>
      <c r="N76" s="13"/>
      <c r="O76" s="13"/>
      <c r="P76" s="14"/>
      <c r="Q76" s="14"/>
      <c r="R76" s="23" t="s">
        <v>21</v>
      </c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2.75" x14ac:dyDescent="0.2">
      <c r="A77" s="8"/>
      <c r="B77" s="8" t="s">
        <v>199</v>
      </c>
      <c r="C77" s="8" t="s">
        <v>200</v>
      </c>
      <c r="D77" s="8">
        <v>1968</v>
      </c>
      <c r="E77" s="8"/>
      <c r="F77" s="25" t="s">
        <v>201</v>
      </c>
      <c r="G77" s="10" t="s">
        <v>202</v>
      </c>
      <c r="H77" s="10" t="s">
        <v>21</v>
      </c>
      <c r="I77" s="23" t="s">
        <v>21</v>
      </c>
      <c r="J77" s="12"/>
      <c r="K77" s="12"/>
      <c r="L77" s="13"/>
      <c r="M77" s="13"/>
      <c r="N77" s="13"/>
      <c r="O77" s="13"/>
      <c r="P77" s="14"/>
      <c r="Q77" s="14"/>
      <c r="R77" s="23" t="s">
        <v>21</v>
      </c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2.75" x14ac:dyDescent="0.2">
      <c r="A78" s="8"/>
      <c r="B78" s="8" t="s">
        <v>203</v>
      </c>
      <c r="C78" s="8" t="s">
        <v>204</v>
      </c>
      <c r="D78" s="8">
        <v>2006</v>
      </c>
      <c r="E78" s="8"/>
      <c r="F78" s="25" t="s">
        <v>205</v>
      </c>
      <c r="G78" s="10" t="s">
        <v>206</v>
      </c>
      <c r="H78" s="10" t="s">
        <v>21</v>
      </c>
      <c r="I78" s="26" t="s">
        <v>21</v>
      </c>
      <c r="J78" s="12"/>
      <c r="K78" s="12"/>
      <c r="L78" s="13"/>
      <c r="M78" s="13"/>
      <c r="N78" s="13"/>
      <c r="O78" s="13"/>
      <c r="P78" s="14"/>
      <c r="Q78" s="14"/>
      <c r="R78" s="23" t="s">
        <v>21</v>
      </c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2.75" x14ac:dyDescent="0.2">
      <c r="A79" s="8"/>
      <c r="B79" s="8" t="s">
        <v>207</v>
      </c>
      <c r="C79" s="8" t="s">
        <v>208</v>
      </c>
      <c r="D79" s="8">
        <v>2007</v>
      </c>
      <c r="E79" s="22"/>
      <c r="F79" s="25" t="s">
        <v>209</v>
      </c>
      <c r="G79" s="10"/>
      <c r="H79" s="10" t="s">
        <v>21</v>
      </c>
      <c r="I79" s="23" t="s">
        <v>21</v>
      </c>
      <c r="J79" s="29" t="b">
        <v>0</v>
      </c>
      <c r="K79" s="29" t="b">
        <v>0</v>
      </c>
      <c r="L79" s="30" t="b">
        <v>0</v>
      </c>
      <c r="M79" s="30" t="b">
        <v>0</v>
      </c>
      <c r="N79" s="30" t="b">
        <v>0</v>
      </c>
      <c r="O79" s="30" t="b">
        <v>0</v>
      </c>
      <c r="P79" s="30" t="b">
        <v>0</v>
      </c>
      <c r="Q79" s="30" t="b">
        <v>0</v>
      </c>
      <c r="R79" s="23" t="s">
        <v>21</v>
      </c>
      <c r="S79" s="31" t="b">
        <v>0</v>
      </c>
      <c r="T79" s="31" t="b">
        <v>0</v>
      </c>
      <c r="U79" s="24" t="b">
        <v>0</v>
      </c>
      <c r="V79" s="24" t="b">
        <v>0</v>
      </c>
      <c r="W79" s="24" t="b">
        <v>0</v>
      </c>
      <c r="X79" s="24" t="b">
        <v>0</v>
      </c>
      <c r="Y79" s="24" t="b">
        <v>0</v>
      </c>
      <c r="Z79" s="24" t="b">
        <v>0</v>
      </c>
      <c r="AA79" s="7"/>
    </row>
    <row r="80" spans="1:27" ht="12.75" x14ac:dyDescent="0.2">
      <c r="A80" s="8"/>
      <c r="B80" s="8" t="s">
        <v>210</v>
      </c>
      <c r="C80" s="8" t="s">
        <v>211</v>
      </c>
      <c r="D80" s="8">
        <v>2001</v>
      </c>
      <c r="E80" s="8"/>
      <c r="F80" s="25" t="s">
        <v>212</v>
      </c>
      <c r="G80" s="10"/>
      <c r="H80" s="10" t="s">
        <v>21</v>
      </c>
      <c r="I80" s="23" t="s">
        <v>21</v>
      </c>
      <c r="J80" s="29" t="b">
        <v>0</v>
      </c>
      <c r="K80" s="29" t="b">
        <v>0</v>
      </c>
      <c r="L80" s="30" t="b">
        <v>0</v>
      </c>
      <c r="M80" s="30" t="b">
        <v>0</v>
      </c>
      <c r="N80" s="30" t="b">
        <v>0</v>
      </c>
      <c r="O80" s="30" t="b">
        <v>0</v>
      </c>
      <c r="P80" s="30" t="b">
        <v>0</v>
      </c>
      <c r="Q80" s="30" t="b">
        <v>0</v>
      </c>
      <c r="R80" s="23" t="s">
        <v>21</v>
      </c>
      <c r="S80" s="31" t="b">
        <v>0</v>
      </c>
      <c r="T80" s="31" t="b">
        <v>0</v>
      </c>
      <c r="U80" s="24" t="b">
        <v>0</v>
      </c>
      <c r="V80" s="24" t="b">
        <v>0</v>
      </c>
      <c r="W80" s="24" t="b">
        <v>0</v>
      </c>
      <c r="X80" s="24" t="b">
        <v>0</v>
      </c>
      <c r="Y80" s="24" t="b">
        <v>0</v>
      </c>
      <c r="Z80" s="24" t="b">
        <v>0</v>
      </c>
      <c r="AA80" s="7"/>
    </row>
    <row r="81" spans="1:27" ht="12.75" x14ac:dyDescent="0.2">
      <c r="A81" s="8"/>
      <c r="B81" s="8" t="s">
        <v>213</v>
      </c>
      <c r="C81" s="8" t="s">
        <v>214</v>
      </c>
      <c r="D81" s="8">
        <v>1989</v>
      </c>
      <c r="E81" s="8"/>
      <c r="F81" s="25" t="s">
        <v>215</v>
      </c>
      <c r="G81" s="10" t="s">
        <v>216</v>
      </c>
      <c r="H81" s="10" t="s">
        <v>21</v>
      </c>
      <c r="I81" s="23" t="s">
        <v>21</v>
      </c>
      <c r="J81" s="12"/>
      <c r="K81" s="12"/>
      <c r="L81" s="30" t="b">
        <v>0</v>
      </c>
      <c r="M81" s="13"/>
      <c r="N81" s="13"/>
      <c r="O81" s="13"/>
      <c r="P81" s="30" t="b">
        <v>0</v>
      </c>
      <c r="Q81" s="30" t="b">
        <v>1</v>
      </c>
      <c r="R81" s="23" t="s">
        <v>21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2.75" x14ac:dyDescent="0.2">
      <c r="A82" s="8"/>
      <c r="B82" s="8"/>
      <c r="C82" s="8"/>
      <c r="D82" s="8"/>
      <c r="E82" s="8"/>
      <c r="F82" s="10"/>
      <c r="G82" s="10"/>
      <c r="H82" s="10"/>
      <c r="I82" s="11"/>
      <c r="J82" s="12"/>
      <c r="K82" s="12"/>
      <c r="L82" s="13"/>
      <c r="M82" s="13"/>
      <c r="N82" s="13"/>
      <c r="O82" s="13"/>
      <c r="P82" s="14"/>
      <c r="Q82" s="14"/>
      <c r="R82" s="11"/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2.75" x14ac:dyDescent="0.2">
      <c r="A83" s="8"/>
      <c r="B83" s="8" t="s">
        <v>217</v>
      </c>
      <c r="C83" s="8"/>
      <c r="D83" s="8"/>
      <c r="E83" s="8"/>
      <c r="F83" s="10"/>
      <c r="G83" s="10"/>
      <c r="H83" s="10"/>
      <c r="I83" s="11"/>
      <c r="J83" s="12"/>
      <c r="K83" s="12"/>
      <c r="L83" s="13"/>
      <c r="M83" s="13"/>
      <c r="N83" s="13"/>
      <c r="O83" s="13"/>
      <c r="P83" s="14"/>
      <c r="Q83" s="14"/>
      <c r="R83" s="11"/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2.75" x14ac:dyDescent="0.2">
      <c r="A84" s="8"/>
      <c r="B84" s="8"/>
      <c r="C84" s="8"/>
      <c r="D84" s="8"/>
      <c r="E84" s="8"/>
      <c r="F84" s="10"/>
      <c r="G84" s="10"/>
      <c r="H84" s="10"/>
      <c r="I84" s="11"/>
      <c r="J84" s="12"/>
      <c r="K84" s="12"/>
      <c r="L84" s="13"/>
      <c r="M84" s="13"/>
      <c r="N84" s="13"/>
      <c r="O84" s="13"/>
      <c r="P84" s="14"/>
      <c r="Q84" s="14"/>
      <c r="R84" s="11"/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2.75" x14ac:dyDescent="0.2">
      <c r="A85" s="8"/>
      <c r="B85" s="8" t="s">
        <v>218</v>
      </c>
      <c r="C85" s="8"/>
      <c r="D85" s="8"/>
      <c r="E85" s="8"/>
      <c r="F85" s="10"/>
      <c r="G85" s="10"/>
      <c r="H85" s="10"/>
      <c r="I85" s="11"/>
      <c r="J85" s="12"/>
      <c r="K85" s="12"/>
      <c r="L85" s="13"/>
      <c r="M85" s="13"/>
      <c r="N85" s="13"/>
      <c r="O85" s="13"/>
      <c r="P85" s="14"/>
      <c r="Q85" s="14"/>
      <c r="R85" s="11"/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2.75" x14ac:dyDescent="0.2">
      <c r="A86" s="8"/>
      <c r="B86" s="8"/>
      <c r="C86" s="8"/>
      <c r="D86" s="8"/>
      <c r="E86" s="8"/>
      <c r="F86" s="10"/>
      <c r="G86" s="10"/>
      <c r="H86" s="10"/>
      <c r="I86" s="11"/>
      <c r="J86" s="12"/>
      <c r="K86" s="12"/>
      <c r="L86" s="13"/>
      <c r="M86" s="13"/>
      <c r="N86" s="13"/>
      <c r="O86" s="13"/>
      <c r="P86" s="14"/>
      <c r="Q86" s="14"/>
      <c r="R86" s="11"/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 x14ac:dyDescent="0.2">
      <c r="A87" s="8"/>
      <c r="B87" s="8" t="s">
        <v>219</v>
      </c>
      <c r="C87" s="8" t="s">
        <v>220</v>
      </c>
      <c r="D87" s="8">
        <v>2012</v>
      </c>
      <c r="E87" s="8"/>
      <c r="F87" s="25" t="str">
        <f>HYPERLINK("https://www.se-rwth.de/phdtheses/Diss-Schindler-Eine-Werkzeuginfrastruktur-zur-agilen-Entwicklung-mit-der-UML-P.pdf")</f>
        <v>https://www.se-rwth.de/phdtheses/Diss-Schindler-Eine-Werkzeuginfrastruktur-zur-agilen-Entwicklung-mit-der-UML-P.pdf</v>
      </c>
      <c r="G87" s="10"/>
      <c r="H87" s="19" t="str">
        <f t="shared" ref="H87:H118" si="2">IF(I87=R87,I87,IF(AND(I87="YES",R87="MAYBE"),"YES",IF(AND(I87="MAYBE",R87="YES"),"YES",IF(OR(AND(I87="NO",R87="YES"),AND(I87="YES",R87="NO")),"MAYBE","NO"))))</f>
        <v>NO</v>
      </c>
      <c r="I87" s="11" t="s">
        <v>21</v>
      </c>
      <c r="J87" s="12"/>
      <c r="K87" s="12"/>
      <c r="L87" s="13"/>
      <c r="M87" s="13"/>
      <c r="N87" s="13"/>
      <c r="O87" s="13"/>
      <c r="P87" s="14"/>
      <c r="Q87" s="14"/>
      <c r="R87" s="23" t="s">
        <v>21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 x14ac:dyDescent="0.2">
      <c r="A88" s="8"/>
      <c r="B88" s="8" t="s">
        <v>221</v>
      </c>
      <c r="C88" s="8" t="s">
        <v>222</v>
      </c>
      <c r="D88" s="8">
        <v>2013</v>
      </c>
      <c r="E88" s="8"/>
      <c r="F88" s="25" t="str">
        <f>HYPERLINK("https://ieeexplore.ieee.org/abstract/document/6630615/?casa_token=XN9u6Qk_FaUAAAAA:cPeF2VsSIhJUO0bP1KkDi8ufUFP8WYVNAjv7HTmr7VwDYyGSjmNO5h7tC8ICBZjkJiM--hgz-jod")</f>
        <v>https://ieeexplore.ieee.org/abstract/document/6630615/?casa_token=XN9u6Qk_FaUAAAAA:cPeF2VsSIhJUO0bP1KkDi8ufUFP8WYVNAjv7HTmr7VwDYyGSjmNO5h7tC8ICBZjkJiM--hgz-jod</v>
      </c>
      <c r="G88" s="10"/>
      <c r="H88" s="19" t="str">
        <f t="shared" si="2"/>
        <v>NO</v>
      </c>
      <c r="I88" s="11" t="s">
        <v>21</v>
      </c>
      <c r="J88" s="12"/>
      <c r="K88" s="12"/>
      <c r="L88" s="13"/>
      <c r="M88" s="13"/>
      <c r="N88" s="13"/>
      <c r="O88" s="13"/>
      <c r="P88" s="14"/>
      <c r="Q88" s="14"/>
      <c r="R88" s="23" t="s">
        <v>21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 x14ac:dyDescent="0.2">
      <c r="A89" s="8"/>
      <c r="B89" s="8" t="s">
        <v>223</v>
      </c>
      <c r="C89" s="8" t="s">
        <v>224</v>
      </c>
      <c r="D89" s="8">
        <v>2013</v>
      </c>
      <c r="E89" s="8"/>
      <c r="F89" s="25" t="str">
        <f>HYPERLINK("https://ieeexplore.ieee.org/abstract/document/6665172/")</f>
        <v>https://ieeexplore.ieee.org/abstract/document/6665172/</v>
      </c>
      <c r="G89" s="10"/>
      <c r="H89" s="19" t="str">
        <f t="shared" si="2"/>
        <v>NO</v>
      </c>
      <c r="I89" s="11" t="s">
        <v>21</v>
      </c>
      <c r="J89" s="12"/>
      <c r="K89" s="12"/>
      <c r="L89" s="13"/>
      <c r="M89" s="13"/>
      <c r="N89" s="13"/>
      <c r="O89" s="13"/>
      <c r="P89" s="14"/>
      <c r="Q89" s="14"/>
      <c r="R89" s="26" t="s">
        <v>21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 x14ac:dyDescent="0.2">
      <c r="A90" s="8"/>
      <c r="B90" s="8" t="s">
        <v>225</v>
      </c>
      <c r="C90" s="8" t="s">
        <v>226</v>
      </c>
      <c r="D90" s="8">
        <v>2014</v>
      </c>
      <c r="E90" s="8" t="s">
        <v>227</v>
      </c>
      <c r="F90" s="25" t="str">
        <f>HYPERLINK("https://arxiv.org/abs/1409.6578")</f>
        <v>https://arxiv.org/abs/1409.6578</v>
      </c>
      <c r="G90" s="10"/>
      <c r="H90" s="19" t="str">
        <f t="shared" si="2"/>
        <v>NO</v>
      </c>
      <c r="I90" s="11" t="s">
        <v>21</v>
      </c>
      <c r="J90" s="12"/>
      <c r="K90" s="12"/>
      <c r="L90" s="13"/>
      <c r="M90" s="13"/>
      <c r="N90" s="13"/>
      <c r="O90" s="13"/>
      <c r="P90" s="14"/>
      <c r="Q90" s="14"/>
      <c r="R90" s="23" t="s">
        <v>21</v>
      </c>
      <c r="S90" s="15"/>
      <c r="T90" s="15"/>
      <c r="U90" s="16"/>
      <c r="V90" s="16"/>
      <c r="W90" s="16"/>
      <c r="X90" s="16"/>
      <c r="Y90" s="16"/>
      <c r="Z90" s="16"/>
      <c r="AA90" s="7"/>
    </row>
    <row r="91" spans="1:27" ht="14.25" x14ac:dyDescent="0.2">
      <c r="A91" s="8"/>
      <c r="B91" s="8" t="s">
        <v>228</v>
      </c>
      <c r="C91" s="8" t="s">
        <v>229</v>
      </c>
      <c r="D91" s="8">
        <v>2015</v>
      </c>
      <c r="E91" s="8"/>
      <c r="F91" s="25" t="str">
        <f>HYPERLINK("https://ieeexplore.ieee.org/abstract/document/7113298/?casa_token=YXI391thVBEAAAAA:7iVLvDWl7ClPJDUm_xemvjz72BDgcLjj3ms8OuJB9jsK_RbqW1cVdmUPvLmkZzeiBwqL5mxwGybu")</f>
        <v>https://ieeexplore.ieee.org/abstract/document/7113298/?casa_token=YXI391thVBEAAAAA:7iVLvDWl7ClPJDUm_xemvjz72BDgcLjj3ms8OuJB9jsK_RbqW1cVdmUPvLmkZzeiBwqL5mxwGybu</v>
      </c>
      <c r="G91" s="10"/>
      <c r="H91" s="19" t="str">
        <f t="shared" si="2"/>
        <v>NO</v>
      </c>
      <c r="I91" s="11" t="s">
        <v>21</v>
      </c>
      <c r="J91" s="12"/>
      <c r="K91" s="12"/>
      <c r="L91" s="13"/>
      <c r="M91" s="13"/>
      <c r="N91" s="13"/>
      <c r="O91" s="13"/>
      <c r="P91" s="14"/>
      <c r="Q91" s="14"/>
      <c r="R91" s="23" t="s">
        <v>21</v>
      </c>
      <c r="S91" s="15"/>
      <c r="T91" s="15"/>
      <c r="U91" s="16"/>
      <c r="V91" s="16"/>
      <c r="W91" s="16"/>
      <c r="X91" s="16"/>
      <c r="Y91" s="16"/>
      <c r="Z91" s="16"/>
      <c r="AA91" s="7"/>
    </row>
    <row r="92" spans="1:27" ht="14.25" x14ac:dyDescent="0.2">
      <c r="A92" s="8"/>
      <c r="B92" s="8" t="s">
        <v>230</v>
      </c>
      <c r="C92" s="8" t="s">
        <v>231</v>
      </c>
      <c r="D92" s="8">
        <v>2016</v>
      </c>
      <c r="E92" s="8"/>
      <c r="F92" s="25" t="str">
        <f>HYPERLINK("https://link.springer.com/content/pdf/10.1007/978-3-319-33933-7.pdf")</f>
        <v>https://link.springer.com/content/pdf/10.1007/978-3-319-33933-7.pdf</v>
      </c>
      <c r="G92" s="10"/>
      <c r="H92" s="19" t="str">
        <f t="shared" si="2"/>
        <v>NO</v>
      </c>
      <c r="I92" s="11" t="s">
        <v>21</v>
      </c>
      <c r="J92" s="12"/>
      <c r="K92" s="12"/>
      <c r="L92" s="13"/>
      <c r="M92" s="13"/>
      <c r="N92" s="13"/>
      <c r="O92" s="13"/>
      <c r="P92" s="14"/>
      <c r="Q92" s="14"/>
      <c r="R92" s="23" t="s">
        <v>21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 x14ac:dyDescent="0.2">
      <c r="A93" s="8"/>
      <c r="B93" s="8" t="s">
        <v>232</v>
      </c>
      <c r="C93" s="8" t="s">
        <v>233</v>
      </c>
      <c r="D93" s="8">
        <v>2002</v>
      </c>
      <c r="E93" s="8"/>
      <c r="F93" s="25" t="str">
        <f>HYPERLINK("https://link.springer.com/chapter/10.1007/978-3-540-24626-8_21")</f>
        <v>https://link.springer.com/chapter/10.1007/978-3-540-24626-8_21</v>
      </c>
      <c r="G93" s="10"/>
      <c r="H93" s="19" t="str">
        <f t="shared" si="2"/>
        <v>NO</v>
      </c>
      <c r="I93" s="11" t="s">
        <v>21</v>
      </c>
      <c r="J93" s="12"/>
      <c r="K93" s="12"/>
      <c r="L93" s="13"/>
      <c r="M93" s="13"/>
      <c r="N93" s="13"/>
      <c r="O93" s="13"/>
      <c r="P93" s="14"/>
      <c r="Q93" s="14"/>
      <c r="R93" s="23" t="s">
        <v>21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 x14ac:dyDescent="0.2">
      <c r="A94" s="8"/>
      <c r="B94" s="8" t="s">
        <v>234</v>
      </c>
      <c r="C94" s="8" t="s">
        <v>235</v>
      </c>
      <c r="D94" s="8">
        <v>2011</v>
      </c>
      <c r="E94" s="8"/>
      <c r="F94" s="25" t="str">
        <f>HYPERLINK("http://se-rwth.de/publications/Der-Energie-Navigator.pdf")</f>
        <v>http://se-rwth.de/publications/Der-Energie-Navigator.pdf</v>
      </c>
      <c r="G94" s="10"/>
      <c r="H94" s="19" t="str">
        <f t="shared" si="2"/>
        <v>NO</v>
      </c>
      <c r="I94" s="11" t="s">
        <v>21</v>
      </c>
      <c r="J94" s="12"/>
      <c r="K94" s="12"/>
      <c r="L94" s="13"/>
      <c r="M94" s="13"/>
      <c r="N94" s="13"/>
      <c r="O94" s="13"/>
      <c r="P94" s="14"/>
      <c r="Q94" s="14"/>
      <c r="R94" s="23" t="s">
        <v>21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 x14ac:dyDescent="0.2">
      <c r="A95" s="8"/>
      <c r="B95" s="8" t="s">
        <v>236</v>
      </c>
      <c r="C95" s="8" t="s">
        <v>237</v>
      </c>
      <c r="D95" s="8">
        <v>2018</v>
      </c>
      <c r="E95" s="8"/>
      <c r="F95" s="25" t="str">
        <f>HYPERLINK("https://dl.acm.org/doi/abs/10.1145/3150227?casa_token=iWHhM1BlK80AAAAA:-evuthb6nGRtOg3wPyP4xztITHTfBHW5W12V1hSrstUp-0IhKFM5pPURAqqpEVMUqHMyZb2Uo-zd-5o")</f>
        <v>https://dl.acm.org/doi/abs/10.1145/3150227?casa_token=iWHhM1BlK80AAAAA:-evuthb6nGRtOg3wPyP4xztITHTfBHW5W12V1hSrstUp-0IhKFM5pPURAqqpEVMUqHMyZb2Uo-zd-5o</v>
      </c>
      <c r="G95" s="10"/>
      <c r="H95" s="19" t="str">
        <f t="shared" si="2"/>
        <v>NO</v>
      </c>
      <c r="I95" s="11" t="s">
        <v>21</v>
      </c>
      <c r="J95" s="12"/>
      <c r="K95" s="12"/>
      <c r="L95" s="13"/>
      <c r="M95" s="13"/>
      <c r="N95" s="13"/>
      <c r="O95" s="13"/>
      <c r="P95" s="14"/>
      <c r="Q95" s="14"/>
      <c r="R95" s="23" t="s">
        <v>21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 x14ac:dyDescent="0.2">
      <c r="A96" s="8"/>
      <c r="B96" s="8" t="s">
        <v>238</v>
      </c>
      <c r="C96" s="8" t="s">
        <v>239</v>
      </c>
      <c r="D96" s="8">
        <v>2011</v>
      </c>
      <c r="E96" s="8"/>
      <c r="F96" s="25" t="str">
        <f>HYPERLINK("https://dl.acm.org/doi/abs/10.1145/2025113.2025140?casa_token=jjwxJDe5GwAAAAAA:Sfsnq0Y6AkSGsHdWXEzwk2D3qMVklzM8BvsvJ-SzEOO5k-pfFDpU623JllBZ-LFOoGYHiJCTSYPZ8OM")</f>
        <v>https://dl.acm.org/doi/abs/10.1145/2025113.2025140?casa_token=jjwxJDe5GwAAAAAA:Sfsnq0Y6AkSGsHdWXEzwk2D3qMVklzM8BvsvJ-SzEOO5k-pfFDpU623JllBZ-LFOoGYHiJCTSYPZ8OM</v>
      </c>
      <c r="G96" s="10"/>
      <c r="H96" s="19" t="str">
        <f t="shared" si="2"/>
        <v>NO</v>
      </c>
      <c r="I96" s="11" t="s">
        <v>21</v>
      </c>
      <c r="J96" s="12"/>
      <c r="K96" s="12"/>
      <c r="L96" s="13"/>
      <c r="M96" s="13"/>
      <c r="N96" s="13"/>
      <c r="O96" s="13"/>
      <c r="P96" s="14"/>
      <c r="Q96" s="14"/>
      <c r="R96" s="23" t="s">
        <v>21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 x14ac:dyDescent="0.2">
      <c r="A97" s="8"/>
      <c r="B97" s="8" t="s">
        <v>238</v>
      </c>
      <c r="C97" s="8" t="s">
        <v>240</v>
      </c>
      <c r="D97" s="8">
        <v>2011</v>
      </c>
      <c r="E97" s="8"/>
      <c r="F97" s="25" t="str">
        <f>HYPERLINK("https://link.springer.com/chapter/10.1007/978-3-642-24485-8_44")</f>
        <v>https://link.springer.com/chapter/10.1007/978-3-642-24485-8_44</v>
      </c>
      <c r="G97" s="10"/>
      <c r="H97" s="19" t="str">
        <f t="shared" si="2"/>
        <v>NO</v>
      </c>
      <c r="I97" s="11" t="s">
        <v>21</v>
      </c>
      <c r="J97" s="12"/>
      <c r="K97" s="12"/>
      <c r="L97" s="13"/>
      <c r="M97" s="13"/>
      <c r="N97" s="13"/>
      <c r="O97" s="13"/>
      <c r="P97" s="14"/>
      <c r="Q97" s="14"/>
      <c r="R97" s="23" t="s">
        <v>21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 x14ac:dyDescent="0.2">
      <c r="A98" s="8"/>
      <c r="B98" s="8" t="s">
        <v>238</v>
      </c>
      <c r="C98" s="8" t="s">
        <v>241</v>
      </c>
      <c r="D98" s="8">
        <v>2010</v>
      </c>
      <c r="E98" s="8"/>
      <c r="F98" s="25" t="str">
        <f>HYPERLINK("https://link.springer.com/chapter/10.1007/978-3-642-21210-9_19")</f>
        <v>https://link.springer.com/chapter/10.1007/978-3-642-21210-9_19</v>
      </c>
      <c r="G98" s="10"/>
      <c r="H98" s="19" t="str">
        <f t="shared" si="2"/>
        <v>NO</v>
      </c>
      <c r="I98" s="11" t="s">
        <v>21</v>
      </c>
      <c r="J98" s="12"/>
      <c r="K98" s="12"/>
      <c r="L98" s="13"/>
      <c r="M98" s="13"/>
      <c r="N98" s="13"/>
      <c r="O98" s="13"/>
      <c r="P98" s="14"/>
      <c r="Q98" s="14"/>
      <c r="R98" s="23" t="s">
        <v>21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 x14ac:dyDescent="0.2">
      <c r="A99" s="8"/>
      <c r="B99" s="8" t="s">
        <v>242</v>
      </c>
      <c r="C99" s="8" t="s">
        <v>243</v>
      </c>
      <c r="D99" s="8">
        <v>2013</v>
      </c>
      <c r="E99" s="8"/>
      <c r="F99" s="25" t="str">
        <f>HYPERLINK("https://dl.acm.org/doi/abs/10.1145/2491627.2491632?casa_token=pLmMjMk9YEkAAAAA:UTC0ZmSHXvf1H1dMgTbK51bHd1CV-bbcAY9Wv9KTopOlxzjrwx3MLD0H0luymeLzqhM_r-NGZXXX7i8")</f>
        <v>https://dl.acm.org/doi/abs/10.1145/2491627.2491632?casa_token=pLmMjMk9YEkAAAAA:UTC0ZmSHXvf1H1dMgTbK51bHd1CV-bbcAY9Wv9KTopOlxzjrwx3MLD0H0luymeLzqhM_r-NGZXXX7i8</v>
      </c>
      <c r="G99" s="10"/>
      <c r="H99" s="19" t="str">
        <f t="shared" si="2"/>
        <v>NO</v>
      </c>
      <c r="I99" s="11" t="s">
        <v>21</v>
      </c>
      <c r="J99" s="12"/>
      <c r="K99" s="12"/>
      <c r="L99" s="13"/>
      <c r="M99" s="13"/>
      <c r="N99" s="13"/>
      <c r="O99" s="13"/>
      <c r="P99" s="14"/>
      <c r="Q99" s="14"/>
      <c r="R99" s="23" t="s">
        <v>21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 x14ac:dyDescent="0.2">
      <c r="A100" s="8"/>
      <c r="B100" s="8" t="s">
        <v>238</v>
      </c>
      <c r="C100" s="8" t="s">
        <v>244</v>
      </c>
      <c r="D100" s="8">
        <v>2011</v>
      </c>
      <c r="E100" s="8"/>
      <c r="F100" s="25" t="str">
        <f>HYPERLINK("https://link.springer.com/chapter/10.1007/978-3-642-22655-7_12")</f>
        <v>https://link.springer.com/chapter/10.1007/978-3-642-22655-7_12</v>
      </c>
      <c r="G100" s="10"/>
      <c r="H100" s="19" t="str">
        <f t="shared" si="2"/>
        <v>NO</v>
      </c>
      <c r="I100" s="11" t="s">
        <v>21</v>
      </c>
      <c r="J100" s="12"/>
      <c r="K100" s="12"/>
      <c r="L100" s="13"/>
      <c r="M100" s="13"/>
      <c r="N100" s="13"/>
      <c r="O100" s="13"/>
      <c r="P100" s="14"/>
      <c r="Q100" s="14"/>
      <c r="R100" s="23" t="s">
        <v>21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 x14ac:dyDescent="0.2">
      <c r="A101" s="8"/>
      <c r="B101" s="8" t="s">
        <v>245</v>
      </c>
      <c r="C101" s="8" t="s">
        <v>246</v>
      </c>
      <c r="D101" s="8">
        <v>2014</v>
      </c>
      <c r="E101" s="8"/>
      <c r="F101" s="25" t="str">
        <f>HYPERLINK("https://arxiv.org/abs/1408.5705")</f>
        <v>https://arxiv.org/abs/1408.5705</v>
      </c>
      <c r="G101" s="10"/>
      <c r="H101" s="19" t="str">
        <f t="shared" si="2"/>
        <v>NO</v>
      </c>
      <c r="I101" s="11" t="s">
        <v>21</v>
      </c>
      <c r="J101" s="12"/>
      <c r="K101" s="12"/>
      <c r="L101" s="13"/>
      <c r="M101" s="13"/>
      <c r="N101" s="13"/>
      <c r="O101" s="13"/>
      <c r="P101" s="14"/>
      <c r="Q101" s="14"/>
      <c r="R101" s="23" t="s">
        <v>21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 x14ac:dyDescent="0.2">
      <c r="A102" s="8"/>
      <c r="B102" s="8" t="s">
        <v>247</v>
      </c>
      <c r="C102" s="8" t="s">
        <v>248</v>
      </c>
      <c r="D102" s="8">
        <v>2014</v>
      </c>
      <c r="E102" s="22"/>
      <c r="F102" s="25" t="str">
        <f>HYPERLINK("https://arxiv.org/abs/1408.5690")</f>
        <v>https://arxiv.org/abs/1408.5690</v>
      </c>
      <c r="G102" s="10"/>
      <c r="H102" s="19" t="str">
        <f t="shared" si="2"/>
        <v>NO</v>
      </c>
      <c r="I102" s="11" t="s">
        <v>21</v>
      </c>
      <c r="J102" s="12"/>
      <c r="K102" s="12"/>
      <c r="L102" s="13"/>
      <c r="M102" s="13"/>
      <c r="N102" s="13"/>
      <c r="O102" s="13"/>
      <c r="P102" s="14"/>
      <c r="Q102" s="14"/>
      <c r="R102" s="27" t="s">
        <v>21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 x14ac:dyDescent="0.2">
      <c r="A103" s="8"/>
      <c r="B103" s="8" t="s">
        <v>249</v>
      </c>
      <c r="C103" s="8" t="s">
        <v>250</v>
      </c>
      <c r="D103" s="8">
        <v>2011</v>
      </c>
      <c r="E103" s="8"/>
      <c r="F103" s="17" t="str">
        <f>HYPERLINK("https://link.springer.com/chapter/10.1007/978-3-642-35992-7_9")</f>
        <v>https://link.springer.com/chapter/10.1007/978-3-642-35992-7_9</v>
      </c>
      <c r="G103" s="10"/>
      <c r="H103" s="19" t="str">
        <f t="shared" si="2"/>
        <v>NO</v>
      </c>
      <c r="I103" s="11" t="s">
        <v>21</v>
      </c>
      <c r="J103" s="12"/>
      <c r="K103" s="12"/>
      <c r="L103" s="13"/>
      <c r="M103" s="13"/>
      <c r="N103" s="13"/>
      <c r="O103" s="13"/>
      <c r="P103" s="14"/>
      <c r="Q103" s="14"/>
      <c r="R103" s="27" t="s">
        <v>21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 x14ac:dyDescent="0.2">
      <c r="A104" s="8"/>
      <c r="B104" s="8" t="s">
        <v>251</v>
      </c>
      <c r="C104" s="8" t="s">
        <v>252</v>
      </c>
      <c r="D104" s="8">
        <v>2019</v>
      </c>
      <c r="E104" s="8"/>
      <c r="F104" s="25" t="str">
        <f>HYPERLINK("https://idp.springer.com/authorize/casa?redirect_uri=https://link.springer.com/article/10.1007/s10270-017-0622-9&amp;casa_token=V52-UUOCAOcAAAAA:l9nJQ2Ut_DlJSGhlrwGV4WRy0nT0XigNb_mxd0EkeJ5_ZyvQPw30P3RGRsbxbS2C41Hzw7mWtIu-mWFEu3c")</f>
        <v>https://idp.springer.com/authorize/casa?redirect_uri=https://link.springer.com/article/10.1007/s10270-017-0622-9&amp;casa_token=V52-UUOCAOcAAAAA:l9nJQ2Ut_DlJSGhlrwGV4WRy0nT0XigNb_mxd0EkeJ5_ZyvQPw30P3RGRsbxbS2C41Hzw7mWtIu-mWFEu3c</v>
      </c>
      <c r="G104" s="10"/>
      <c r="H104" s="19" t="str">
        <f t="shared" si="2"/>
        <v>NO</v>
      </c>
      <c r="I104" s="11" t="s">
        <v>21</v>
      </c>
      <c r="J104" s="12"/>
      <c r="K104" s="12"/>
      <c r="L104" s="13"/>
      <c r="M104" s="13"/>
      <c r="N104" s="13"/>
      <c r="O104" s="13"/>
      <c r="P104" s="14"/>
      <c r="Q104" s="14"/>
      <c r="R104" s="23" t="s">
        <v>21</v>
      </c>
      <c r="S104" s="15"/>
      <c r="T104" s="15"/>
      <c r="U104" s="16"/>
      <c r="V104" s="16"/>
      <c r="W104" s="16"/>
      <c r="X104" s="16"/>
      <c r="Y104" s="16"/>
      <c r="Z104" s="16"/>
      <c r="AA104" s="7"/>
    </row>
    <row r="105" spans="1:27" ht="14.25" x14ac:dyDescent="0.2">
      <c r="A105" s="8"/>
      <c r="B105" s="8" t="s">
        <v>238</v>
      </c>
      <c r="C105" s="8" t="s">
        <v>253</v>
      </c>
      <c r="D105" s="8">
        <v>2013</v>
      </c>
      <c r="E105" s="8"/>
      <c r="F105" s="25" t="str">
        <f>HYPERLINK("https://dl.acm.org/doi/abs/10.1145/2491411.2491414?casa_token=KSQToXQNTBcAAAAA:XKOwvcpku3T5vlimiJ7TaoLoDCSGOCGnEzRGMtixTPUM8CaDQY6cXggYXMErKWuxbXyzrSoXPysekX8")</f>
        <v>https://dl.acm.org/doi/abs/10.1145/2491411.2491414?casa_token=KSQToXQNTBcAAAAA:XKOwvcpku3T5vlimiJ7TaoLoDCSGOCGnEzRGMtixTPUM8CaDQY6cXggYXMErKWuxbXyzrSoXPysekX8</v>
      </c>
      <c r="G105" s="10"/>
      <c r="H105" s="19" t="str">
        <f t="shared" si="2"/>
        <v>NO</v>
      </c>
      <c r="I105" s="11" t="s">
        <v>21</v>
      </c>
      <c r="J105" s="12"/>
      <c r="K105" s="12"/>
      <c r="L105" s="13"/>
      <c r="M105" s="13"/>
      <c r="N105" s="13"/>
      <c r="O105" s="13"/>
      <c r="P105" s="14"/>
      <c r="Q105" s="14"/>
      <c r="R105" s="23" t="s">
        <v>21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 x14ac:dyDescent="0.2">
      <c r="A106" s="8"/>
      <c r="B106" s="8" t="s">
        <v>254</v>
      </c>
      <c r="C106" s="8" t="s">
        <v>255</v>
      </c>
      <c r="D106" s="8">
        <v>1999</v>
      </c>
      <c r="E106" s="8"/>
      <c r="F106" s="25" t="str">
        <f>HYPERLINK("https://ieeexplore.ieee.org/abstract/document/777656/?casa_token=TDO19jDxno4AAAAA:Yfp1UHZIbEawVKyI_7-OzSzr592KCvBPjtLVCF8WSlkkRm2CkKYmiOHQQd3ibvPZ1PERk5qfu6gj")</f>
        <v>https://ieeexplore.ieee.org/abstract/document/777656/?casa_token=TDO19jDxno4AAAAA:Yfp1UHZIbEawVKyI_7-OzSzr592KCvBPjtLVCF8WSlkkRm2CkKYmiOHQQd3ibvPZ1PERk5qfu6gj</v>
      </c>
      <c r="G106" s="10"/>
      <c r="H106" s="19" t="str">
        <f t="shared" si="2"/>
        <v>NO</v>
      </c>
      <c r="I106" s="11" t="s">
        <v>21</v>
      </c>
      <c r="J106" s="12"/>
      <c r="K106" s="12"/>
      <c r="L106" s="13"/>
      <c r="M106" s="13"/>
      <c r="N106" s="13"/>
      <c r="O106" s="13"/>
      <c r="P106" s="14"/>
      <c r="Q106" s="14"/>
      <c r="R106" s="23" t="s">
        <v>21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 x14ac:dyDescent="0.2">
      <c r="A107" s="8"/>
      <c r="B107" s="8" t="s">
        <v>247</v>
      </c>
      <c r="C107" s="8" t="s">
        <v>256</v>
      </c>
      <c r="D107" s="8">
        <v>2014</v>
      </c>
      <c r="E107" s="8"/>
      <c r="F107" s="25" t="str">
        <f>HYPERLINK("https://arxiv.org/abs/1409.2310")</f>
        <v>https://arxiv.org/abs/1409.2310</v>
      </c>
      <c r="G107" s="10"/>
      <c r="H107" s="19" t="str">
        <f t="shared" si="2"/>
        <v>NO</v>
      </c>
      <c r="I107" s="11" t="s">
        <v>21</v>
      </c>
      <c r="J107" s="12"/>
      <c r="K107" s="12"/>
      <c r="L107" s="13"/>
      <c r="M107" s="13"/>
      <c r="N107" s="13"/>
      <c r="O107" s="13"/>
      <c r="P107" s="14"/>
      <c r="Q107" s="14"/>
      <c r="R107" s="23" t="s">
        <v>21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 x14ac:dyDescent="0.2">
      <c r="A108" s="8"/>
      <c r="B108" s="8" t="s">
        <v>257</v>
      </c>
      <c r="C108" s="8" t="s">
        <v>258</v>
      </c>
      <c r="D108" s="8">
        <v>2012</v>
      </c>
      <c r="E108" s="8"/>
      <c r="F108" s="25" t="str">
        <f>HYPERLINK("https://dl.acm.org/doi/abs/10.1145/2491617.2491619?casa_token=TV62cq9AcFcAAAAA:kvNZzYr3dzPALkhVR3k2noah6ObnR9F6us7CSmx1KjPN9anbKpEKx4e9PJtIsATs6erfpPGwduVbpco")</f>
        <v>https://dl.acm.org/doi/abs/10.1145/2491617.2491619?casa_token=TV62cq9AcFcAAAAA:kvNZzYr3dzPALkhVR3k2noah6ObnR9F6us7CSmx1KjPN9anbKpEKx4e9PJtIsATs6erfpPGwduVbpco</v>
      </c>
      <c r="G108" s="10"/>
      <c r="H108" s="19" t="str">
        <f t="shared" si="2"/>
        <v>MAYBE</v>
      </c>
      <c r="I108" s="23" t="s">
        <v>259</v>
      </c>
      <c r="J108" s="29" t="b">
        <v>1</v>
      </c>
      <c r="K108" s="29" t="b">
        <v>1</v>
      </c>
      <c r="L108" s="13"/>
      <c r="M108" s="13"/>
      <c r="N108" s="13"/>
      <c r="O108" s="13"/>
      <c r="P108" s="14"/>
      <c r="Q108" s="14"/>
      <c r="R108" s="23" t="s">
        <v>21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 x14ac:dyDescent="0.2">
      <c r="A109" s="8"/>
      <c r="B109" s="8" t="s">
        <v>260</v>
      </c>
      <c r="C109" s="8" t="s">
        <v>261</v>
      </c>
      <c r="D109" s="8">
        <v>2015</v>
      </c>
      <c r="E109" s="8"/>
      <c r="F109" s="25" t="str">
        <f>HYPERLINK("https://dl.acm.org/doi/abs/10.1145/2791060.2791092?casa_token=cSXfxOPTJ2wAAAAA:AVC5Tn5fBOc-ta5PDy5SrH_7d2MCAo4-RVYIGEleSf7LtIYI3pOfVEdrLwUwbye3W1MKwu2SjX_Q8cE")</f>
        <v>https://dl.acm.org/doi/abs/10.1145/2791060.2791092?casa_token=cSXfxOPTJ2wAAAAA:AVC5Tn5fBOc-ta5PDy5SrH_7d2MCAo4-RVYIGEleSf7LtIYI3pOfVEdrLwUwbye3W1MKwu2SjX_Q8cE</v>
      </c>
      <c r="G109" s="10"/>
      <c r="H109" s="19" t="str">
        <f t="shared" si="2"/>
        <v>NO</v>
      </c>
      <c r="I109" s="11" t="s">
        <v>21</v>
      </c>
      <c r="J109" s="12"/>
      <c r="K109" s="12"/>
      <c r="L109" s="13"/>
      <c r="M109" s="13"/>
      <c r="N109" s="13"/>
      <c r="O109" s="13"/>
      <c r="P109" s="14"/>
      <c r="Q109" s="14"/>
      <c r="R109" s="23" t="s">
        <v>21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 x14ac:dyDescent="0.2">
      <c r="A110" s="8"/>
      <c r="B110" s="8" t="s">
        <v>262</v>
      </c>
      <c r="C110" s="8" t="s">
        <v>263</v>
      </c>
      <c r="D110" s="8">
        <v>2017</v>
      </c>
      <c r="E110" s="8"/>
      <c r="F110" s="25" t="str">
        <f>HYPERLINK("http://monticore.de/MontiCore_Reference-Manual.2017.pdf")</f>
        <v>http://monticore.de/MontiCore_Reference-Manual.2017.pdf</v>
      </c>
      <c r="G110" s="10"/>
      <c r="H110" s="19" t="str">
        <f t="shared" si="2"/>
        <v>NO</v>
      </c>
      <c r="I110" s="11" t="s">
        <v>21</v>
      </c>
      <c r="J110" s="12"/>
      <c r="K110" s="12"/>
      <c r="L110" s="13"/>
      <c r="M110" s="13"/>
      <c r="N110" s="13"/>
      <c r="O110" s="13"/>
      <c r="P110" s="14"/>
      <c r="Q110" s="14"/>
      <c r="R110" s="23" t="s">
        <v>21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 x14ac:dyDescent="0.2">
      <c r="A111" s="8"/>
      <c r="B111" s="8" t="s">
        <v>238</v>
      </c>
      <c r="C111" s="8" t="s">
        <v>264</v>
      </c>
      <c r="D111" s="8">
        <v>2011</v>
      </c>
      <c r="E111" s="8"/>
      <c r="F111" s="25" t="str">
        <f>HYPERLINK("https://link.springer.com/chapter/10.1007/978-3-642-24485-8_12")</f>
        <v>https://link.springer.com/chapter/10.1007/978-3-642-24485-8_12</v>
      </c>
      <c r="G111" s="10"/>
      <c r="H111" s="19" t="str">
        <f t="shared" si="2"/>
        <v>NO</v>
      </c>
      <c r="I111" s="11" t="s">
        <v>21</v>
      </c>
      <c r="J111" s="12"/>
      <c r="K111" s="12"/>
      <c r="L111" s="13"/>
      <c r="M111" s="13"/>
      <c r="N111" s="13"/>
      <c r="O111" s="13"/>
      <c r="P111" s="14"/>
      <c r="Q111" s="14"/>
      <c r="R111" s="23" t="s">
        <v>21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 x14ac:dyDescent="0.2">
      <c r="A112" s="8"/>
      <c r="B112" s="8" t="s">
        <v>265</v>
      </c>
      <c r="C112" s="8" t="s">
        <v>266</v>
      </c>
      <c r="D112" s="8">
        <v>2012</v>
      </c>
      <c r="E112" s="8"/>
      <c r="F112" s="25" t="str">
        <f>HYPERLINK("https://www.academia.edu/download/30674551/icsea_2012_7_30_10390.pdf")</f>
        <v>https://www.academia.edu/download/30674551/icsea_2012_7_30_10390.pdf</v>
      </c>
      <c r="G112" s="10"/>
      <c r="H112" s="19" t="str">
        <f t="shared" si="2"/>
        <v>NO</v>
      </c>
      <c r="I112" s="11" t="s">
        <v>21</v>
      </c>
      <c r="J112" s="12"/>
      <c r="K112" s="12"/>
      <c r="L112" s="13"/>
      <c r="M112" s="13"/>
      <c r="N112" s="13"/>
      <c r="O112" s="13"/>
      <c r="P112" s="14"/>
      <c r="Q112" s="14"/>
      <c r="R112" s="23" t="s">
        <v>21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 x14ac:dyDescent="0.2">
      <c r="A113" s="8"/>
      <c r="B113" s="8" t="s">
        <v>267</v>
      </c>
      <c r="C113" s="8" t="s">
        <v>268</v>
      </c>
      <c r="D113" s="8">
        <v>2013</v>
      </c>
      <c r="E113" s="8"/>
      <c r="F113" s="25" t="str">
        <f>HYPERLINK("https://link.springer.com/chapter/10.1007/978-3-642-39614-4_2")</f>
        <v>https://link.springer.com/chapter/10.1007/978-3-642-39614-4_2</v>
      </c>
      <c r="G113" s="10"/>
      <c r="H113" s="19" t="str">
        <f t="shared" si="2"/>
        <v>NO</v>
      </c>
      <c r="I113" s="11" t="s">
        <v>21</v>
      </c>
      <c r="J113" s="12"/>
      <c r="K113" s="12"/>
      <c r="L113" s="13"/>
      <c r="M113" s="13"/>
      <c r="N113" s="13"/>
      <c r="O113" s="13"/>
      <c r="P113" s="14"/>
      <c r="Q113" s="14"/>
      <c r="R113" s="23" t="s">
        <v>21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 x14ac:dyDescent="0.2">
      <c r="A114" s="8"/>
      <c r="B114" s="8" t="s">
        <v>269</v>
      </c>
      <c r="C114" s="8" t="s">
        <v>270</v>
      </c>
      <c r="D114" s="8">
        <v>2013</v>
      </c>
      <c r="E114" s="8"/>
      <c r="F114" s="25" t="str">
        <f>HYPERLINK("https://link.springer.com/chapter/10.1007/978-3-319-02654-1_5")</f>
        <v>https://link.springer.com/chapter/10.1007/978-3-319-02654-1_5</v>
      </c>
      <c r="G114" s="10"/>
      <c r="H114" s="19" t="str">
        <f t="shared" si="2"/>
        <v>NO</v>
      </c>
      <c r="I114" s="11" t="s">
        <v>21</v>
      </c>
      <c r="J114" s="12"/>
      <c r="K114" s="12"/>
      <c r="L114" s="13"/>
      <c r="M114" s="13"/>
      <c r="N114" s="13"/>
      <c r="O114" s="13"/>
      <c r="P114" s="14"/>
      <c r="Q114" s="14"/>
      <c r="R114" s="27" t="s">
        <v>21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 x14ac:dyDescent="0.2">
      <c r="A115" s="8"/>
      <c r="B115" s="8" t="s">
        <v>238</v>
      </c>
      <c r="C115" s="8" t="s">
        <v>271</v>
      </c>
      <c r="D115" s="8">
        <v>2011</v>
      </c>
      <c r="E115" s="22"/>
      <c r="F115" s="25" t="str">
        <f>HYPERLINK("https://link.springer.com/chapter/10.1007/978-3-642-22655-7_14")</f>
        <v>https://link.springer.com/chapter/10.1007/978-3-642-22655-7_14</v>
      </c>
      <c r="G115" s="10"/>
      <c r="H115" s="19" t="str">
        <f t="shared" si="2"/>
        <v>NO</v>
      </c>
      <c r="I115" s="11" t="s">
        <v>21</v>
      </c>
      <c r="J115" s="12"/>
      <c r="K115" s="12"/>
      <c r="L115" s="13"/>
      <c r="M115" s="13"/>
      <c r="N115" s="13"/>
      <c r="O115" s="13"/>
      <c r="P115" s="14"/>
      <c r="Q115" s="14"/>
      <c r="R115" s="23" t="s">
        <v>21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 x14ac:dyDescent="0.2">
      <c r="A116" s="8"/>
      <c r="B116" s="8" t="s">
        <v>272</v>
      </c>
      <c r="C116" s="8" t="s">
        <v>273</v>
      </c>
      <c r="D116" s="8">
        <v>2015</v>
      </c>
      <c r="E116" s="8"/>
      <c r="F116" s="25" t="str">
        <f>HYPERLINK("https://dl.acm.org/doi/abs/10.1145/2791060.2791077?casa_token=MkVMhvwNMNwAAAAA:RBYTEPbG3iRAldpwhq_K9NZo2jXY_HzemaMj7HRvmlJWy_mP9MiwFwC69fFYk9ZhN3XKpa7w6Wkrqoo")</f>
        <v>https://dl.acm.org/doi/abs/10.1145/2791060.2791077?casa_token=MkVMhvwNMNwAAAAA:RBYTEPbG3iRAldpwhq_K9NZo2jXY_HzemaMj7HRvmlJWy_mP9MiwFwC69fFYk9ZhN3XKpa7w6Wkrqoo</v>
      </c>
      <c r="G116" s="10"/>
      <c r="H116" s="19" t="str">
        <f t="shared" si="2"/>
        <v>NO</v>
      </c>
      <c r="I116" s="11" t="s">
        <v>21</v>
      </c>
      <c r="J116" s="12"/>
      <c r="K116" s="12"/>
      <c r="L116" s="13"/>
      <c r="M116" s="13"/>
      <c r="N116" s="13"/>
      <c r="O116" s="13"/>
      <c r="P116" s="14"/>
      <c r="Q116" s="14"/>
      <c r="R116" s="23" t="s">
        <v>21</v>
      </c>
      <c r="S116" s="15"/>
      <c r="T116" s="15"/>
      <c r="U116" s="16"/>
      <c r="V116" s="16"/>
      <c r="W116" s="16"/>
      <c r="X116" s="16"/>
      <c r="Y116" s="16"/>
      <c r="Z116" s="16"/>
      <c r="AA116" s="7"/>
    </row>
    <row r="117" spans="1:27" ht="14.25" x14ac:dyDescent="0.2">
      <c r="A117" s="8"/>
      <c r="B117" s="8" t="s">
        <v>247</v>
      </c>
      <c r="C117" s="8" t="s">
        <v>274</v>
      </c>
      <c r="D117" s="8">
        <v>2014</v>
      </c>
      <c r="E117" s="22"/>
      <c r="F117" s="25" t="str">
        <f>HYPERLINK("https://arxiv.org/abs/1409.0394")</f>
        <v>https://arxiv.org/abs/1409.0394</v>
      </c>
      <c r="G117" s="10"/>
      <c r="H117" s="19" t="str">
        <f t="shared" si="2"/>
        <v>NO</v>
      </c>
      <c r="I117" s="11" t="s">
        <v>21</v>
      </c>
      <c r="J117" s="12"/>
      <c r="K117" s="12"/>
      <c r="L117" s="13"/>
      <c r="M117" s="13"/>
      <c r="N117" s="13"/>
      <c r="O117" s="13"/>
      <c r="P117" s="14"/>
      <c r="Q117" s="14"/>
      <c r="R117" s="27" t="s">
        <v>21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 x14ac:dyDescent="0.2">
      <c r="A118" s="8"/>
      <c r="B118" s="8" t="s">
        <v>275</v>
      </c>
      <c r="C118" s="8" t="s">
        <v>276</v>
      </c>
      <c r="D118" s="8">
        <v>2013</v>
      </c>
      <c r="E118" s="22"/>
      <c r="F118" s="25" t="str">
        <f>HYPERLINK("https://dl.acm.org/doi/abs/10.1145/2430502.2430518?casa_token=Vuk3zlrSX8kAAAAA:npZ0CzzqCcxVYVniZKNXbqRcC6tgVhj7S7TFELfy_uOecy0X6-FlsPYY78Ea-DzyNBaRs64XlRDjaBE")</f>
        <v>https://dl.acm.org/doi/abs/10.1145/2430502.2430518?casa_token=Vuk3zlrSX8kAAAAA:npZ0CzzqCcxVYVniZKNXbqRcC6tgVhj7S7TFELfy_uOecy0X6-FlsPYY78Ea-DzyNBaRs64XlRDjaBE</v>
      </c>
      <c r="G118" s="10"/>
      <c r="H118" s="19" t="str">
        <f t="shared" si="2"/>
        <v>NO</v>
      </c>
      <c r="I118" s="11" t="s">
        <v>21</v>
      </c>
      <c r="J118" s="12"/>
      <c r="K118" s="12"/>
      <c r="L118" s="13"/>
      <c r="M118" s="13"/>
      <c r="N118" s="13"/>
      <c r="O118" s="13"/>
      <c r="P118" s="14"/>
      <c r="Q118" s="14"/>
      <c r="R118" s="23" t="s">
        <v>21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 x14ac:dyDescent="0.2">
      <c r="A119" s="8"/>
      <c r="B119" s="8" t="s">
        <v>277</v>
      </c>
      <c r="C119" s="8" t="s">
        <v>278</v>
      </c>
      <c r="D119" s="8">
        <v>2012</v>
      </c>
      <c r="E119" s="8"/>
      <c r="F119" s="25" t="str">
        <f>HYPERLINK("https://ieeexplore.ieee.org/abstract/document/6229812/?casa_token=O1Ozv8tiQAoAAAAA:BFex1vhnp2KqDa-M7njZIDX0HX7BBkSRxM5sc9bfcwCGn5XucMpkTXuerprQPHnBckZIrNduslra")</f>
        <v>https://ieeexplore.ieee.org/abstract/document/6229812/?casa_token=O1Ozv8tiQAoAAAAA:BFex1vhnp2KqDa-M7njZIDX0HX7BBkSRxM5sc9bfcwCGn5XucMpkTXuerprQPHnBckZIrNduslra</v>
      </c>
      <c r="G119" s="10"/>
      <c r="H119" s="19" t="str">
        <f t="shared" ref="H119:H150" si="3">IF(I119=R119,I119,IF(AND(I119="YES",R119="MAYBE"),"YES",IF(AND(I119="MAYBE",R119="YES"),"YES",IF(OR(AND(I119="NO",R119="YES"),AND(I119="YES",R119="NO")),"MAYBE","NO"))))</f>
        <v>NO</v>
      </c>
      <c r="I119" s="11" t="s">
        <v>21</v>
      </c>
      <c r="J119" s="12"/>
      <c r="K119" s="12"/>
      <c r="L119" s="13"/>
      <c r="M119" s="13"/>
      <c r="N119" s="13"/>
      <c r="O119" s="13"/>
      <c r="P119" s="14"/>
      <c r="Q119" s="14"/>
      <c r="R119" s="23" t="s">
        <v>21</v>
      </c>
      <c r="S119" s="15"/>
      <c r="T119" s="15"/>
      <c r="U119" s="16"/>
      <c r="V119" s="16"/>
      <c r="W119" s="16"/>
      <c r="X119" s="16"/>
      <c r="Y119" s="16"/>
      <c r="Z119" s="16"/>
      <c r="AA119" s="7"/>
    </row>
    <row r="120" spans="1:27" ht="14.25" x14ac:dyDescent="0.2">
      <c r="A120" s="8"/>
      <c r="B120" s="8" t="s">
        <v>279</v>
      </c>
      <c r="C120" s="8" t="s">
        <v>280</v>
      </c>
      <c r="D120" s="8">
        <v>2003</v>
      </c>
      <c r="E120" s="8"/>
      <c r="F120" s="25" t="str">
        <f>HYPERLINK("https://openaccess.city.ac.uk/id/eprint/280/")</f>
        <v>https://openaccess.city.ac.uk/id/eprint/280/</v>
      </c>
      <c r="G120" s="10"/>
      <c r="H120" s="19" t="str">
        <f t="shared" si="3"/>
        <v>NO</v>
      </c>
      <c r="I120" s="11" t="s">
        <v>21</v>
      </c>
      <c r="J120" s="12"/>
      <c r="K120" s="12"/>
      <c r="L120" s="13"/>
      <c r="M120" s="13"/>
      <c r="N120" s="13"/>
      <c r="O120" s="13"/>
      <c r="P120" s="14"/>
      <c r="Q120" s="14"/>
      <c r="R120" s="23" t="s">
        <v>21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 x14ac:dyDescent="0.2">
      <c r="A121" s="8"/>
      <c r="B121" s="8" t="s">
        <v>238</v>
      </c>
      <c r="C121" s="8" t="s">
        <v>281</v>
      </c>
      <c r="D121" s="8">
        <v>2014</v>
      </c>
      <c r="E121" s="8"/>
      <c r="F121" s="25" t="str">
        <f>HYPERLINK("https://dl.acm.org/doi/abs/10.1145/2568225.2568237?casa_token=sS81g-99FNkAAAAA:mzb-LaHSr5R294DOB4-myF1IYv0kx3idmpWwh_4FzSswlvMavZESJgLyVWA5_FWLLb3brxkAqqEelBc")</f>
        <v>https://dl.acm.org/doi/abs/10.1145/2568225.2568237?casa_token=sS81g-99FNkAAAAA:mzb-LaHSr5R294DOB4-myF1IYv0kx3idmpWwh_4FzSswlvMavZESJgLyVWA5_FWLLb3brxkAqqEelBc</v>
      </c>
      <c r="G121" s="10"/>
      <c r="H121" s="19" t="str">
        <f t="shared" si="3"/>
        <v>NO</v>
      </c>
      <c r="I121" s="11" t="s">
        <v>21</v>
      </c>
      <c r="J121" s="12"/>
      <c r="K121" s="12"/>
      <c r="L121" s="13"/>
      <c r="M121" s="13"/>
      <c r="N121" s="13"/>
      <c r="O121" s="13"/>
      <c r="P121" s="14"/>
      <c r="Q121" s="14"/>
      <c r="R121" s="23" t="s">
        <v>21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 x14ac:dyDescent="0.2">
      <c r="A122" s="8"/>
      <c r="B122" s="8" t="s">
        <v>282</v>
      </c>
      <c r="C122" s="8" t="s">
        <v>283</v>
      </c>
      <c r="D122" s="8">
        <v>2014</v>
      </c>
      <c r="E122" s="8"/>
      <c r="F122" s="25" t="str">
        <f>HYPERLINK("https://arxiv.org/abs/1409.2306")</f>
        <v>https://arxiv.org/abs/1409.2306</v>
      </c>
      <c r="G122" s="10"/>
      <c r="H122" s="19" t="str">
        <f t="shared" si="3"/>
        <v>NO</v>
      </c>
      <c r="I122" s="11" t="s">
        <v>21</v>
      </c>
      <c r="J122" s="12"/>
      <c r="K122" s="12"/>
      <c r="L122" s="13"/>
      <c r="M122" s="13"/>
      <c r="N122" s="13"/>
      <c r="O122" s="13"/>
      <c r="P122" s="14"/>
      <c r="Q122" s="14"/>
      <c r="R122" s="23" t="s">
        <v>21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 x14ac:dyDescent="0.2">
      <c r="A123" s="8"/>
      <c r="B123" s="8" t="s">
        <v>284</v>
      </c>
      <c r="C123" s="8" t="s">
        <v>285</v>
      </c>
      <c r="D123" s="8">
        <v>2015</v>
      </c>
      <c r="E123" s="8"/>
      <c r="F123" s="25" t="str">
        <f>HYPERLINK("https://ieeexplore.ieee.org/abstract/document/7323085/?casa_token=HtHxeto3obQAAAAA:l-zz-5cpnHLKGGksTTB23CNsIJTcYCMj4sB3OG_W_r090gi49Gpn-amsMEEGXCs99rkSogdoxONg")</f>
        <v>https://ieeexplore.ieee.org/abstract/document/7323085/?casa_token=HtHxeto3obQAAAAA:l-zz-5cpnHLKGGksTTB23CNsIJTcYCMj4sB3OG_W_r090gi49Gpn-amsMEEGXCs99rkSogdoxONg</v>
      </c>
      <c r="G123" s="10"/>
      <c r="H123" s="19" t="str">
        <f t="shared" si="3"/>
        <v>NO</v>
      </c>
      <c r="I123" s="11" t="s">
        <v>21</v>
      </c>
      <c r="J123" s="12"/>
      <c r="K123" s="12"/>
      <c r="L123" s="13"/>
      <c r="M123" s="13"/>
      <c r="N123" s="13"/>
      <c r="O123" s="13"/>
      <c r="P123" s="14"/>
      <c r="Q123" s="14"/>
      <c r="R123" s="23" t="s">
        <v>21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 x14ac:dyDescent="0.2">
      <c r="A124" s="8"/>
      <c r="B124" s="8" t="s">
        <v>286</v>
      </c>
      <c r="C124" s="8" t="s">
        <v>287</v>
      </c>
      <c r="D124" s="8">
        <v>2011</v>
      </c>
      <c r="E124" s="8"/>
      <c r="F124" s="25" t="str">
        <f>HYPERLINK("https://www.researchgate.net/profile/Markus_Voelter/publication/228988592_Language_and_IDE_Modularization_Extension_and_Composition_with_MPS/links/00463523c45874405d000000.pdf")</f>
        <v>https://www.researchgate.net/profile/Markus_Voelter/publication/228988592_Language_and_IDE_Modularization_Extension_and_Composition_with_MPS/links/00463523c45874405d000000.pdf</v>
      </c>
      <c r="G124" s="10"/>
      <c r="H124" s="19" t="str">
        <f t="shared" si="3"/>
        <v>NO</v>
      </c>
      <c r="I124" s="11" t="s">
        <v>21</v>
      </c>
      <c r="J124" s="12"/>
      <c r="K124" s="12"/>
      <c r="L124" s="13"/>
      <c r="M124" s="13"/>
      <c r="N124" s="13"/>
      <c r="O124" s="13"/>
      <c r="P124" s="14"/>
      <c r="Q124" s="14"/>
      <c r="R124" s="23" t="s">
        <v>21</v>
      </c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4.25" x14ac:dyDescent="0.2">
      <c r="A125" s="8"/>
      <c r="B125" s="8" t="s">
        <v>288</v>
      </c>
      <c r="C125" s="8" t="s">
        <v>289</v>
      </c>
      <c r="D125" s="8">
        <v>2007</v>
      </c>
      <c r="E125" s="8"/>
      <c r="F125" s="25" t="str">
        <f>HYPERLINK("https://ieeexplore.ieee.org/abstract/document/4076458/?casa_token=NhojxNcmeDEAAAAA:HOa-64MdqV2DxyhztUYNq9zF9Bh3LnTQLGtqYgad24u5g7WtguMpvQ_Ef54RKTm_UTbs-YVVh5hx")</f>
        <v>https://ieeexplore.ieee.org/abstract/document/4076458/?casa_token=NhojxNcmeDEAAAAA:HOa-64MdqV2DxyhztUYNq9zF9Bh3LnTQLGtqYgad24u5g7WtguMpvQ_Ef54RKTm_UTbs-YVVh5hx</v>
      </c>
      <c r="G125" s="10"/>
      <c r="H125" s="19" t="str">
        <f t="shared" si="3"/>
        <v>NO</v>
      </c>
      <c r="I125" s="11" t="s">
        <v>21</v>
      </c>
      <c r="J125" s="12"/>
      <c r="K125" s="12"/>
      <c r="L125" s="13"/>
      <c r="M125" s="13"/>
      <c r="N125" s="13"/>
      <c r="O125" s="13"/>
      <c r="P125" s="14"/>
      <c r="Q125" s="14"/>
      <c r="R125" s="23" t="s">
        <v>21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 x14ac:dyDescent="0.2">
      <c r="A126" s="8"/>
      <c r="B126" s="8" t="s">
        <v>290</v>
      </c>
      <c r="C126" s="8" t="s">
        <v>291</v>
      </c>
      <c r="D126" s="8">
        <v>2018</v>
      </c>
      <c r="E126" s="8"/>
      <c r="F126" s="25" t="str">
        <f>HYPERLINK("https://www.sciencedirect.com/science/article/pii/S1477842418300496")</f>
        <v>https://www.sciencedirect.com/science/article/pii/S1477842418300496</v>
      </c>
      <c r="G126" s="10"/>
      <c r="H126" s="19" t="str">
        <f t="shared" si="3"/>
        <v>NO</v>
      </c>
      <c r="I126" s="11" t="s">
        <v>21</v>
      </c>
      <c r="J126" s="12"/>
      <c r="K126" s="12"/>
      <c r="L126" s="13"/>
      <c r="M126" s="13"/>
      <c r="N126" s="13"/>
      <c r="O126" s="13"/>
      <c r="P126" s="14"/>
      <c r="Q126" s="14"/>
      <c r="R126" s="26" t="s">
        <v>21</v>
      </c>
      <c r="S126" s="15"/>
      <c r="T126" s="15"/>
      <c r="U126" s="16"/>
      <c r="V126" s="16"/>
      <c r="W126" s="16"/>
      <c r="X126" s="16"/>
      <c r="Y126" s="16"/>
      <c r="Z126" s="16"/>
      <c r="AA126" s="7"/>
    </row>
    <row r="127" spans="1:27" ht="14.25" x14ac:dyDescent="0.2">
      <c r="A127" s="8"/>
      <c r="B127" s="8" t="s">
        <v>292</v>
      </c>
      <c r="C127" s="8" t="s">
        <v>293</v>
      </c>
      <c r="D127" s="8">
        <v>2014</v>
      </c>
      <c r="E127" s="8"/>
      <c r="F127" s="25" t="str">
        <f>HYPERLINK("https://dl.acm.org/doi/abs/10.1145/2648511.2648529?casa_token=VF7k0sennE8AAAAA:tZAgu4Riv2r8WJy8IMFQT0B-uoWNDA8JLNlJ5HQCNHvAW24BLAWhGh7rVbB2fONJ2j9OjR420NAn9UE")</f>
        <v>https://dl.acm.org/doi/abs/10.1145/2648511.2648529?casa_token=VF7k0sennE8AAAAA:tZAgu4Riv2r8WJy8IMFQT0B-uoWNDA8JLNlJ5HQCNHvAW24BLAWhGh7rVbB2fONJ2j9OjR420NAn9UE</v>
      </c>
      <c r="G127" s="10"/>
      <c r="H127" s="19" t="str">
        <f t="shared" si="3"/>
        <v>NO</v>
      </c>
      <c r="I127" s="11" t="s">
        <v>21</v>
      </c>
      <c r="J127" s="12"/>
      <c r="K127" s="12"/>
      <c r="L127" s="13"/>
      <c r="M127" s="13"/>
      <c r="N127" s="13"/>
      <c r="O127" s="13"/>
      <c r="P127" s="14"/>
      <c r="Q127" s="14"/>
      <c r="R127" s="23" t="s">
        <v>21</v>
      </c>
      <c r="S127" s="15"/>
      <c r="T127" s="15"/>
      <c r="U127" s="16"/>
      <c r="V127" s="16"/>
      <c r="W127" s="16"/>
      <c r="X127" s="16"/>
      <c r="Y127" s="16"/>
      <c r="Z127" s="16"/>
      <c r="AA127" s="7"/>
    </row>
    <row r="128" spans="1:27" ht="14.25" x14ac:dyDescent="0.2">
      <c r="A128" s="8"/>
      <c r="B128" s="8" t="s">
        <v>294</v>
      </c>
      <c r="C128" s="8" t="s">
        <v>295</v>
      </c>
      <c r="D128" s="8">
        <v>2015</v>
      </c>
      <c r="E128" s="8"/>
      <c r="F128" s="25" t="str">
        <f>HYPERLINK("https://ieeexplore.ieee.org/abstract/document/7338233/?casa_token=FWt65RH8awQAAAAA:k_r2RMupvqNwKYdpY4QSEVuv1luaoEF7joHTHNjOXOtetoZm8SWbAEv4mAKDmBXN3jZZkp6SNX_K")</f>
        <v>https://ieeexplore.ieee.org/abstract/document/7338233/?casa_token=FWt65RH8awQAAAAA:k_r2RMupvqNwKYdpY4QSEVuv1luaoEF7joHTHNjOXOtetoZm8SWbAEv4mAKDmBXN3jZZkp6SNX_K</v>
      </c>
      <c r="G128" s="10"/>
      <c r="H128" s="19" t="str">
        <f t="shared" si="3"/>
        <v>NO</v>
      </c>
      <c r="I128" s="11" t="s">
        <v>21</v>
      </c>
      <c r="J128" s="12"/>
      <c r="K128" s="12"/>
      <c r="L128" s="13"/>
      <c r="M128" s="13"/>
      <c r="N128" s="13"/>
      <c r="O128" s="13"/>
      <c r="P128" s="14"/>
      <c r="Q128" s="14"/>
      <c r="R128" s="23" t="s">
        <v>21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4.25" x14ac:dyDescent="0.2">
      <c r="A129" s="8"/>
      <c r="B129" s="8" t="s">
        <v>296</v>
      </c>
      <c r="C129" s="8" t="s">
        <v>297</v>
      </c>
      <c r="D129" s="8">
        <v>2015</v>
      </c>
      <c r="E129" s="8"/>
      <c r="F129" s="25" t="str">
        <f>HYPERLINK("https://arxiv.org/abs/1505.00904")</f>
        <v>https://arxiv.org/abs/1505.00904</v>
      </c>
      <c r="G129" s="10"/>
      <c r="H129" s="19" t="str">
        <f t="shared" si="3"/>
        <v>NO</v>
      </c>
      <c r="I129" s="11" t="s">
        <v>21</v>
      </c>
      <c r="J129" s="12"/>
      <c r="K129" s="12"/>
      <c r="L129" s="13"/>
      <c r="M129" s="13"/>
      <c r="N129" s="13"/>
      <c r="O129" s="13"/>
      <c r="P129" s="14"/>
      <c r="Q129" s="14"/>
      <c r="R129" s="23" t="s">
        <v>21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 x14ac:dyDescent="0.2">
      <c r="A130" s="8"/>
      <c r="B130" s="8" t="s">
        <v>298</v>
      </c>
      <c r="C130" s="8" t="s">
        <v>299</v>
      </c>
      <c r="D130" s="8">
        <v>2014</v>
      </c>
      <c r="E130" s="8"/>
      <c r="F130" s="25" t="str">
        <f>HYPERLINK("https://arxiv.org/abs/1409.2388")</f>
        <v>https://arxiv.org/abs/1409.2388</v>
      </c>
      <c r="G130" s="10"/>
      <c r="H130" s="19" t="str">
        <f t="shared" si="3"/>
        <v>NO</v>
      </c>
      <c r="I130" s="11" t="s">
        <v>21</v>
      </c>
      <c r="J130" s="12"/>
      <c r="K130" s="12"/>
      <c r="L130" s="13"/>
      <c r="M130" s="13"/>
      <c r="N130" s="13"/>
      <c r="O130" s="13"/>
      <c r="P130" s="14"/>
      <c r="Q130" s="14"/>
      <c r="R130" s="23" t="s">
        <v>21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 x14ac:dyDescent="0.2">
      <c r="A131" s="8"/>
      <c r="B131" s="8" t="s">
        <v>300</v>
      </c>
      <c r="C131" s="8" t="s">
        <v>301</v>
      </c>
      <c r="D131" s="8">
        <v>2015</v>
      </c>
      <c r="E131" s="8"/>
      <c r="F131" s="25" t="str">
        <f>HYPERLINK("https://ieeexplore.ieee.org/abstract/document/7353610/")</f>
        <v>https://ieeexplore.ieee.org/abstract/document/7353610/</v>
      </c>
      <c r="G131" s="10"/>
      <c r="H131" s="19" t="str">
        <f t="shared" si="3"/>
        <v>NO</v>
      </c>
      <c r="I131" s="11" t="s">
        <v>21</v>
      </c>
      <c r="J131" s="12"/>
      <c r="K131" s="12"/>
      <c r="L131" s="13"/>
      <c r="M131" s="13"/>
      <c r="N131" s="13"/>
      <c r="O131" s="13"/>
      <c r="P131" s="14"/>
      <c r="Q131" s="14"/>
      <c r="R131" s="23" t="s">
        <v>21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 x14ac:dyDescent="0.2">
      <c r="A132" s="8"/>
      <c r="B132" s="8" t="s">
        <v>302</v>
      </c>
      <c r="C132" s="8" t="s">
        <v>303</v>
      </c>
      <c r="D132" s="8">
        <v>2015</v>
      </c>
      <c r="E132" s="8"/>
      <c r="F132" s="25" t="str">
        <f>HYPERLINK("https://link.springer.com/chapter/10.1007/978-3-319-27869-8_7")</f>
        <v>https://link.springer.com/chapter/10.1007/978-3-319-27869-8_7</v>
      </c>
      <c r="G132" s="10"/>
      <c r="H132" s="19" t="str">
        <f t="shared" si="3"/>
        <v>NO</v>
      </c>
      <c r="I132" s="11" t="s">
        <v>21</v>
      </c>
      <c r="J132" s="12"/>
      <c r="K132" s="12"/>
      <c r="L132" s="13"/>
      <c r="M132" s="13"/>
      <c r="N132" s="13"/>
      <c r="O132" s="13"/>
      <c r="P132" s="14"/>
      <c r="Q132" s="14"/>
      <c r="R132" s="23" t="s">
        <v>21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 x14ac:dyDescent="0.2">
      <c r="A133" s="8"/>
      <c r="B133" s="8" t="s">
        <v>304</v>
      </c>
      <c r="C133" s="8" t="s">
        <v>305</v>
      </c>
      <c r="D133" s="8">
        <v>2011</v>
      </c>
      <c r="E133" s="8"/>
      <c r="F133" s="25" t="str">
        <f>HYPERLINK("https://dl.acm.org/doi/abs/10.1145/2093157.2093163?casa_token=bHEvU3VBh8wAAAAA:078hX3mkaBXIZPdHnW7lXRE2ADTwHL3uLGNnp5Y2mpvozcSeo899MRLSkNZEPQgWmqtLCfwC3RRv3pM")</f>
        <v>https://dl.acm.org/doi/abs/10.1145/2093157.2093163?casa_token=bHEvU3VBh8wAAAAA:078hX3mkaBXIZPdHnW7lXRE2ADTwHL3uLGNnp5Y2mpvozcSeo899MRLSkNZEPQgWmqtLCfwC3RRv3pM</v>
      </c>
      <c r="G133" s="10"/>
      <c r="H133" s="19" t="str">
        <f t="shared" si="3"/>
        <v>NO</v>
      </c>
      <c r="I133" s="11" t="s">
        <v>21</v>
      </c>
      <c r="J133" s="12"/>
      <c r="K133" s="12"/>
      <c r="L133" s="13"/>
      <c r="M133" s="13"/>
      <c r="N133" s="13"/>
      <c r="O133" s="13"/>
      <c r="P133" s="14"/>
      <c r="Q133" s="14"/>
      <c r="R133" s="23" t="s">
        <v>21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 x14ac:dyDescent="0.2">
      <c r="A134" s="8"/>
      <c r="B134" s="8" t="s">
        <v>306</v>
      </c>
      <c r="C134" s="8" t="s">
        <v>307</v>
      </c>
      <c r="D134" s="8">
        <v>2013</v>
      </c>
      <c r="E134" s="8"/>
      <c r="F134" s="25" t="str">
        <f>HYPERLINK("https://www.sciencedirect.com/science/article/pii/S0167642311001572")</f>
        <v>https://www.sciencedirect.com/science/article/pii/S0167642311001572</v>
      </c>
      <c r="G134" s="10"/>
      <c r="H134" s="19" t="str">
        <f t="shared" si="3"/>
        <v>NO</v>
      </c>
      <c r="I134" s="11" t="s">
        <v>21</v>
      </c>
      <c r="J134" s="12"/>
      <c r="K134" s="12"/>
      <c r="L134" s="13"/>
      <c r="M134" s="13"/>
      <c r="N134" s="13"/>
      <c r="O134" s="13"/>
      <c r="P134" s="14"/>
      <c r="Q134" s="14"/>
      <c r="R134" s="32" t="s">
        <v>21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 x14ac:dyDescent="0.2">
      <c r="A135" s="8"/>
      <c r="B135" s="8" t="s">
        <v>308</v>
      </c>
      <c r="C135" s="8" t="s">
        <v>309</v>
      </c>
      <c r="D135" s="8">
        <v>2016</v>
      </c>
      <c r="E135" s="8"/>
      <c r="F135" s="25" t="str">
        <f>HYPERLINK("https://dl.acm.org/doi/abs/10.1145/2934466.2934470?casa_token=D_Ux-NXhrAQAAAAA:U9zCDMbqkLplhRurJLKYht6zTzJYIpBROxwplumD-2RHs-HJjXBC8QmJckpYcy9_JaJQ_WP_2ra_D3Y")</f>
        <v>https://dl.acm.org/doi/abs/10.1145/2934466.2934470?casa_token=D_Ux-NXhrAQAAAAA:U9zCDMbqkLplhRurJLKYht6zTzJYIpBROxwplumD-2RHs-HJjXBC8QmJckpYcy9_JaJQ_WP_2ra_D3Y</v>
      </c>
      <c r="G135" s="10"/>
      <c r="H135" s="19" t="str">
        <f t="shared" si="3"/>
        <v>NO</v>
      </c>
      <c r="I135" s="11" t="s">
        <v>21</v>
      </c>
      <c r="J135" s="12"/>
      <c r="K135" s="12"/>
      <c r="L135" s="13"/>
      <c r="M135" s="13"/>
      <c r="N135" s="13"/>
      <c r="O135" s="13"/>
      <c r="P135" s="14"/>
      <c r="Q135" s="14"/>
      <c r="R135" s="23" t="s">
        <v>21</v>
      </c>
      <c r="S135" s="15"/>
      <c r="T135" s="15"/>
      <c r="U135" s="16"/>
      <c r="V135" s="16"/>
      <c r="W135" s="16"/>
      <c r="X135" s="16"/>
      <c r="Y135" s="16"/>
      <c r="Z135" s="16"/>
      <c r="AA135" s="7"/>
    </row>
    <row r="136" spans="1:27" ht="14.25" x14ac:dyDescent="0.2">
      <c r="A136" s="8"/>
      <c r="B136" s="8" t="s">
        <v>304</v>
      </c>
      <c r="C136" s="8" t="s">
        <v>310</v>
      </c>
      <c r="D136" s="8">
        <v>2013</v>
      </c>
      <c r="E136" s="8"/>
      <c r="F136" s="25" t="str">
        <f>HYPERLINK("https://dl.acm.org/doi/abs/10.1145/2480362.2480654?casa_token=vd5uNXkCFmkAAAAA:vG4RMhblQMULSmZIjRp_1JdE14C7Sud9_4Xsqm23OQ5rKN02nrVqPbZfUepUFbYuTuh7Vk7Tk6XAXgc")</f>
        <v>https://dl.acm.org/doi/abs/10.1145/2480362.2480654?casa_token=vd5uNXkCFmkAAAAA:vG4RMhblQMULSmZIjRp_1JdE14C7Sud9_4Xsqm23OQ5rKN02nrVqPbZfUepUFbYuTuh7Vk7Tk6XAXgc</v>
      </c>
      <c r="G136" s="10"/>
      <c r="H136" s="19" t="str">
        <f t="shared" si="3"/>
        <v>NO</v>
      </c>
      <c r="I136" s="11" t="s">
        <v>21</v>
      </c>
      <c r="J136" s="12"/>
      <c r="K136" s="12"/>
      <c r="L136" s="13"/>
      <c r="M136" s="13"/>
      <c r="N136" s="13"/>
      <c r="O136" s="13"/>
      <c r="P136" s="14"/>
      <c r="Q136" s="14"/>
      <c r="R136" s="27" t="s">
        <v>21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 x14ac:dyDescent="0.2">
      <c r="A137" s="8"/>
      <c r="B137" s="8" t="s">
        <v>311</v>
      </c>
      <c r="C137" s="8" t="s">
        <v>312</v>
      </c>
      <c r="D137" s="8">
        <v>2012</v>
      </c>
      <c r="E137" s="8"/>
      <c r="F137" s="25" t="str">
        <f>HYPERLINK("https://link.springer.com/chapter/10.1007/978-3-642-36089-3_19")</f>
        <v>https://link.springer.com/chapter/10.1007/978-3-642-36089-3_19</v>
      </c>
      <c r="G137" s="10"/>
      <c r="H137" s="19" t="str">
        <f t="shared" si="3"/>
        <v>NO</v>
      </c>
      <c r="I137" s="11" t="s">
        <v>21</v>
      </c>
      <c r="J137" s="12"/>
      <c r="K137" s="12"/>
      <c r="L137" s="13"/>
      <c r="M137" s="13"/>
      <c r="N137" s="13"/>
      <c r="O137" s="13"/>
      <c r="P137" s="14"/>
      <c r="Q137" s="14"/>
      <c r="R137" s="23" t="s">
        <v>21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4.25" x14ac:dyDescent="0.2">
      <c r="A138" s="8"/>
      <c r="B138" s="8" t="s">
        <v>247</v>
      </c>
      <c r="C138" s="8" t="s">
        <v>313</v>
      </c>
      <c r="D138" s="8">
        <v>2014</v>
      </c>
      <c r="E138" s="8"/>
      <c r="F138" s="25" t="str">
        <f>HYPERLINK("https://arxiv.org/abs/1408.5692")</f>
        <v>https://arxiv.org/abs/1408.5692</v>
      </c>
      <c r="G138" s="10"/>
      <c r="H138" s="19" t="str">
        <f t="shared" si="3"/>
        <v>NO</v>
      </c>
      <c r="I138" s="11" t="s">
        <v>21</v>
      </c>
      <c r="J138" s="12"/>
      <c r="K138" s="12"/>
      <c r="L138" s="13"/>
      <c r="M138" s="13"/>
      <c r="N138" s="13"/>
      <c r="O138" s="13"/>
      <c r="P138" s="14"/>
      <c r="Q138" s="14"/>
      <c r="R138" s="23" t="s">
        <v>21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 x14ac:dyDescent="0.2">
      <c r="A139" s="8"/>
      <c r="B139" s="8" t="s">
        <v>314</v>
      </c>
      <c r="C139" s="8" t="s">
        <v>315</v>
      </c>
      <c r="D139" s="8">
        <v>2014</v>
      </c>
      <c r="E139" s="8"/>
      <c r="F139" s="25" t="str">
        <f>HYPERLINK("https://dl.acm.org/doi/abs/10.1145/2584469.2584478?casa_token=PUgeVlOOkC4AAAAA:2P3RliiLCIJRLz7siJ7lR1OUQnFBRRVJTab1Unzz3X70WI2Nc7T-Bhd_Gt4vHv3Sw-ZTa5OQHne67Ko")</f>
        <v>https://dl.acm.org/doi/abs/10.1145/2584469.2584478?casa_token=PUgeVlOOkC4AAAAA:2P3RliiLCIJRLz7siJ7lR1OUQnFBRRVJTab1Unzz3X70WI2Nc7T-Bhd_Gt4vHv3Sw-ZTa5OQHne67Ko</v>
      </c>
      <c r="G139" s="10"/>
      <c r="H139" s="19" t="str">
        <f t="shared" si="3"/>
        <v>NO</v>
      </c>
      <c r="I139" s="11" t="s">
        <v>21</v>
      </c>
      <c r="J139" s="12"/>
      <c r="K139" s="12"/>
      <c r="L139" s="13"/>
      <c r="M139" s="13"/>
      <c r="N139" s="13"/>
      <c r="O139" s="13"/>
      <c r="P139" s="14"/>
      <c r="Q139" s="14"/>
      <c r="R139" s="23" t="s">
        <v>21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 x14ac:dyDescent="0.2">
      <c r="A140" s="8"/>
      <c r="B140" s="8" t="s">
        <v>316</v>
      </c>
      <c r="C140" s="8" t="s">
        <v>317</v>
      </c>
      <c r="D140" s="8">
        <v>2018</v>
      </c>
      <c r="E140" s="8"/>
      <c r="F140" s="25" t="str">
        <f>HYPERLINK("https://www.frontiersin.org/articles/10.3389/fninf.2018.00068/full")</f>
        <v>https://www.frontiersin.org/articles/10.3389/fninf.2018.00068/full</v>
      </c>
      <c r="G140" s="10"/>
      <c r="H140" s="19" t="str">
        <f t="shared" si="3"/>
        <v>NO</v>
      </c>
      <c r="I140" s="11" t="s">
        <v>21</v>
      </c>
      <c r="J140" s="12"/>
      <c r="K140" s="12"/>
      <c r="L140" s="13"/>
      <c r="M140" s="13"/>
      <c r="N140" s="13"/>
      <c r="O140" s="13"/>
      <c r="P140" s="14"/>
      <c r="Q140" s="14"/>
      <c r="R140" s="23" t="s">
        <v>21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 x14ac:dyDescent="0.2">
      <c r="A141" s="8"/>
      <c r="B141" s="8" t="s">
        <v>267</v>
      </c>
      <c r="C141" s="8" t="s">
        <v>318</v>
      </c>
      <c r="D141" s="8">
        <v>2016</v>
      </c>
      <c r="E141" s="8"/>
      <c r="F141" s="25" t="str">
        <f>HYPERLINK("https://www.sciencedirect.com/science/article/pii/S1477842415300208")</f>
        <v>https://www.sciencedirect.com/science/article/pii/S1477842415300208</v>
      </c>
      <c r="G141" s="10"/>
      <c r="H141" s="19" t="str">
        <f t="shared" si="3"/>
        <v>NO</v>
      </c>
      <c r="I141" s="11" t="s">
        <v>21</v>
      </c>
      <c r="J141" s="12"/>
      <c r="K141" s="12"/>
      <c r="L141" s="13"/>
      <c r="M141" s="13"/>
      <c r="N141" s="13"/>
      <c r="O141" s="13"/>
      <c r="P141" s="14"/>
      <c r="Q141" s="14"/>
      <c r="R141" s="23" t="s">
        <v>21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 x14ac:dyDescent="0.2">
      <c r="A142" s="8"/>
      <c r="B142" s="8" t="s">
        <v>319</v>
      </c>
      <c r="C142" s="8" t="s">
        <v>320</v>
      </c>
      <c r="D142" s="8">
        <v>2018</v>
      </c>
      <c r="E142" s="8"/>
      <c r="F142" s="25" t="str">
        <f>HYPERLINK("http://www.sse-rwth.de/publications/Model-Based-Generation-of-Enterprise-Information-Systems.pdf")</f>
        <v>http://www.sse-rwth.de/publications/Model-Based-Generation-of-Enterprise-Information-Systems.pdf</v>
      </c>
      <c r="G142" s="10"/>
      <c r="H142" s="19" t="str">
        <f t="shared" si="3"/>
        <v>NO</v>
      </c>
      <c r="I142" s="11" t="s">
        <v>21</v>
      </c>
      <c r="J142" s="12"/>
      <c r="K142" s="12"/>
      <c r="L142" s="13"/>
      <c r="M142" s="13"/>
      <c r="N142" s="13"/>
      <c r="O142" s="13"/>
      <c r="P142" s="14"/>
      <c r="Q142" s="14"/>
      <c r="R142" s="23" t="s">
        <v>21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 x14ac:dyDescent="0.2">
      <c r="A143" s="8"/>
      <c r="B143" s="8" t="s">
        <v>321</v>
      </c>
      <c r="C143" s="8" t="s">
        <v>322</v>
      </c>
      <c r="D143" s="8">
        <v>2015</v>
      </c>
      <c r="E143" s="8"/>
      <c r="F143" s="25" t="str">
        <f>HYPERLINK("https://ieeexplore.ieee.org/abstract/document/7321156/?casa_token=Pzg1l2e_pJoAAAAA:wt1Fw4x6srTmA99xG_6fjkjlLSqJULo2gdEM5Q1gveNKr8xszZEVpVNblJU1NmMYihuOZDx3GuUT")</f>
        <v>https://ieeexplore.ieee.org/abstract/document/7321156/?casa_token=Pzg1l2e_pJoAAAAA:wt1Fw4x6srTmA99xG_6fjkjlLSqJULo2gdEM5Q1gveNKr8xszZEVpVNblJU1NmMYihuOZDx3GuUT</v>
      </c>
      <c r="G143" s="10"/>
      <c r="H143" s="19" t="str">
        <f t="shared" si="3"/>
        <v>NO</v>
      </c>
      <c r="I143" s="11" t="s">
        <v>21</v>
      </c>
      <c r="J143" s="12"/>
      <c r="K143" s="12"/>
      <c r="L143" s="13"/>
      <c r="M143" s="13"/>
      <c r="N143" s="13"/>
      <c r="O143" s="13"/>
      <c r="P143" s="14"/>
      <c r="Q143" s="14"/>
      <c r="R143" s="23" t="s">
        <v>21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 x14ac:dyDescent="0.2">
      <c r="A144" s="8"/>
      <c r="B144" s="8" t="s">
        <v>323</v>
      </c>
      <c r="C144" s="8" t="s">
        <v>324</v>
      </c>
      <c r="D144" s="8">
        <v>2017</v>
      </c>
      <c r="E144" s="8"/>
      <c r="F144" s="17" t="str">
        <f>HYPERLINK("https://ieeexplore.ieee.org/abstract/document/8101255/?casa_token=HPRLaR6TowcAAAAA:6TWw8s3m9ob5cGSgMHSZsVQSFSS7XNoT_fzbePKQ8hlV_aGEvYgITJNKKDfx_o1RB5PRveazD_kP")</f>
        <v>https://ieeexplore.ieee.org/abstract/document/8101255/?casa_token=HPRLaR6TowcAAAAA:6TWw8s3m9ob5cGSgMHSZsVQSFSS7XNoT_fzbePKQ8hlV_aGEvYgITJNKKDfx_o1RB5PRveazD_kP</v>
      </c>
      <c r="G144" s="10"/>
      <c r="H144" s="19" t="str">
        <f t="shared" si="3"/>
        <v>NO</v>
      </c>
      <c r="I144" s="11" t="s">
        <v>21</v>
      </c>
      <c r="J144" s="12"/>
      <c r="K144" s="12"/>
      <c r="L144" s="13"/>
      <c r="M144" s="13"/>
      <c r="N144" s="13"/>
      <c r="O144" s="13"/>
      <c r="P144" s="14"/>
      <c r="Q144" s="14"/>
      <c r="R144" s="26" t="s">
        <v>21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 x14ac:dyDescent="0.2">
      <c r="A145" s="8"/>
      <c r="B145" s="8" t="s">
        <v>325</v>
      </c>
      <c r="C145" s="8" t="s">
        <v>326</v>
      </c>
      <c r="D145" s="8">
        <v>2014</v>
      </c>
      <c r="E145" s="8"/>
      <c r="F145" s="25" t="str">
        <f>HYPERLINK("https://link.springer.com/chapter/10.1007/978-3-319-12718-7_8")</f>
        <v>https://link.springer.com/chapter/10.1007/978-3-319-12718-7_8</v>
      </c>
      <c r="G145" s="10"/>
      <c r="H145" s="19" t="str">
        <f t="shared" si="3"/>
        <v>NO</v>
      </c>
      <c r="I145" s="11" t="s">
        <v>21</v>
      </c>
      <c r="J145" s="12"/>
      <c r="K145" s="12"/>
      <c r="L145" s="13"/>
      <c r="M145" s="13"/>
      <c r="N145" s="13"/>
      <c r="O145" s="13"/>
      <c r="P145" s="14"/>
      <c r="Q145" s="14"/>
      <c r="R145" s="23" t="s">
        <v>21</v>
      </c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 x14ac:dyDescent="0.2">
      <c r="A146" s="8"/>
      <c r="B146" s="8" t="s">
        <v>327</v>
      </c>
      <c r="C146" s="8" t="s">
        <v>328</v>
      </c>
      <c r="D146" s="8">
        <v>2017</v>
      </c>
      <c r="E146" s="8"/>
      <c r="F146" s="25" t="str">
        <f>HYPERLINK("https://www.se-rwth.de/phdtheses/Diss-Nazari-MontiCore-Efficient-Development-of-Composed-Modeling-Language-Essentials.pdf")</f>
        <v>https://www.se-rwth.de/phdtheses/Diss-Nazari-MontiCore-Efficient-Development-of-Composed-Modeling-Language-Essentials.pdf</v>
      </c>
      <c r="G146" s="10"/>
      <c r="H146" s="19" t="str">
        <f t="shared" si="3"/>
        <v>NO</v>
      </c>
      <c r="I146" s="11" t="s">
        <v>21</v>
      </c>
      <c r="J146" s="12"/>
      <c r="K146" s="12"/>
      <c r="L146" s="13"/>
      <c r="M146" s="13"/>
      <c r="N146" s="13"/>
      <c r="O146" s="13"/>
      <c r="P146" s="14"/>
      <c r="Q146" s="14"/>
      <c r="R146" s="23" t="s">
        <v>21</v>
      </c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4.25" x14ac:dyDescent="0.2">
      <c r="A147" s="8"/>
      <c r="B147" s="8" t="s">
        <v>247</v>
      </c>
      <c r="C147" s="8" t="s">
        <v>329</v>
      </c>
      <c r="D147" s="8">
        <v>2014</v>
      </c>
      <c r="E147" s="8"/>
      <c r="F147" s="25" t="str">
        <f>HYPERLINK("https://arxiv.org/abs/1412.2962")</f>
        <v>https://arxiv.org/abs/1412.2962</v>
      </c>
      <c r="G147" s="10"/>
      <c r="H147" s="19" t="str">
        <f t="shared" si="3"/>
        <v>NO</v>
      </c>
      <c r="I147" s="11" t="s">
        <v>21</v>
      </c>
      <c r="J147" s="12"/>
      <c r="K147" s="12"/>
      <c r="L147" s="13"/>
      <c r="M147" s="13"/>
      <c r="N147" s="13"/>
      <c r="O147" s="13"/>
      <c r="P147" s="14"/>
      <c r="Q147" s="14"/>
      <c r="R147" s="23" t="s">
        <v>21</v>
      </c>
      <c r="S147" s="15"/>
      <c r="T147" s="15"/>
      <c r="U147" s="16"/>
      <c r="V147" s="16"/>
      <c r="W147" s="16"/>
      <c r="X147" s="16"/>
      <c r="Y147" s="16"/>
      <c r="Z147" s="16"/>
      <c r="AA147" s="7"/>
    </row>
    <row r="148" spans="1:27" ht="14.25" x14ac:dyDescent="0.2">
      <c r="A148" s="8"/>
      <c r="B148" s="8" t="s">
        <v>232</v>
      </c>
      <c r="C148" s="8" t="s">
        <v>330</v>
      </c>
      <c r="D148" s="8">
        <v>2013</v>
      </c>
      <c r="E148" s="8"/>
      <c r="F148" s="25" t="str">
        <f>HYPERLINK("https://dl.acm.org/doi/abs/10.1145/2489812.2489814?casa_token=jKTmgwsu5ioAAAAA:onnOH_NB7nNkT_epdby_hyT9Fq9IVWMpSH6Iueb5Nb-Ny4jCvVUHlYNjh5OxvdxYxf6y8_nkq1rCnU4")</f>
        <v>https://dl.acm.org/doi/abs/10.1145/2489812.2489814?casa_token=jKTmgwsu5ioAAAAA:onnOH_NB7nNkT_epdby_hyT9Fq9IVWMpSH6Iueb5Nb-Ny4jCvVUHlYNjh5OxvdxYxf6y8_nkq1rCnU4</v>
      </c>
      <c r="G148" s="10"/>
      <c r="H148" s="19" t="str">
        <f t="shared" si="3"/>
        <v>NO</v>
      </c>
      <c r="I148" s="11" t="s">
        <v>21</v>
      </c>
      <c r="J148" s="12"/>
      <c r="K148" s="12"/>
      <c r="L148" s="13"/>
      <c r="M148" s="13"/>
      <c r="N148" s="13"/>
      <c r="O148" s="13"/>
      <c r="P148" s="14"/>
      <c r="Q148" s="14"/>
      <c r="R148" s="23" t="s">
        <v>21</v>
      </c>
      <c r="S148" s="15"/>
      <c r="T148" s="15"/>
      <c r="U148" s="16"/>
      <c r="V148" s="16"/>
      <c r="W148" s="16"/>
      <c r="X148" s="16"/>
      <c r="Y148" s="16"/>
      <c r="Z148" s="16"/>
      <c r="AA148" s="7"/>
    </row>
    <row r="149" spans="1:27" ht="14.25" x14ac:dyDescent="0.2">
      <c r="A149" s="8"/>
      <c r="B149" s="8" t="s">
        <v>331</v>
      </c>
      <c r="C149" s="8" t="s">
        <v>332</v>
      </c>
      <c r="D149" s="8">
        <v>2013</v>
      </c>
      <c r="E149" s="8"/>
      <c r="F149" s="17" t="str">
        <f>HYPERLINK("https://link.springer.com/chapter/10.1007/978-3-642-40561-7_13")</f>
        <v>https://link.springer.com/chapter/10.1007/978-3-642-40561-7_13</v>
      </c>
      <c r="G149" s="10"/>
      <c r="H149" s="19" t="str">
        <f t="shared" si="3"/>
        <v>NO</v>
      </c>
      <c r="I149" s="11" t="s">
        <v>21</v>
      </c>
      <c r="J149" s="12"/>
      <c r="K149" s="12"/>
      <c r="L149" s="13"/>
      <c r="M149" s="13"/>
      <c r="N149" s="13"/>
      <c r="O149" s="13"/>
      <c r="P149" s="14"/>
      <c r="Q149" s="14"/>
      <c r="R149" s="27" t="s">
        <v>21</v>
      </c>
      <c r="S149" s="15"/>
      <c r="T149" s="15"/>
      <c r="U149" s="16"/>
      <c r="V149" s="16"/>
      <c r="W149" s="16"/>
      <c r="X149" s="16"/>
      <c r="Y149" s="16"/>
      <c r="Z149" s="16"/>
      <c r="AA149" s="7"/>
    </row>
    <row r="150" spans="1:27" ht="14.25" x14ac:dyDescent="0.2">
      <c r="A150" s="8"/>
      <c r="B150" s="8" t="s">
        <v>242</v>
      </c>
      <c r="C150" s="8" t="s">
        <v>333</v>
      </c>
      <c r="D150" s="8">
        <v>2015</v>
      </c>
      <c r="E150" s="8"/>
      <c r="F150" s="25" t="str">
        <f>HYPERLINK("https://idp.springer.com/authorize/casa?redirect_uri=https://link.springer.com/article/10.1007/s10009-015-0387-9&amp;casa_token=T4dDCXoI9qgAAAAA:Z_cJJI7d-3REAes0HEdev_jjNtySisHkzbqwTJuMHPY45okcwySK_mDHUmssA2XhODelTJWdZoekdaDYFwk")</f>
        <v>https://idp.springer.com/authorize/casa?redirect_uri=https://link.springer.com/article/10.1007/s10009-015-0387-9&amp;casa_token=T4dDCXoI9qgAAAAA:Z_cJJI7d-3REAes0HEdev_jjNtySisHkzbqwTJuMHPY45okcwySK_mDHUmssA2XhODelTJWdZoekdaDYFwk</v>
      </c>
      <c r="G150" s="10"/>
      <c r="H150" s="19" t="str">
        <f t="shared" si="3"/>
        <v>NO</v>
      </c>
      <c r="I150" s="11" t="s">
        <v>21</v>
      </c>
      <c r="J150" s="12"/>
      <c r="K150" s="12"/>
      <c r="L150" s="13"/>
      <c r="M150" s="13"/>
      <c r="N150" s="13"/>
      <c r="O150" s="13"/>
      <c r="P150" s="14"/>
      <c r="Q150" s="14"/>
      <c r="R150" s="23" t="s">
        <v>21</v>
      </c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4.25" x14ac:dyDescent="0.2">
      <c r="A151" s="8"/>
      <c r="B151" s="8" t="s">
        <v>334</v>
      </c>
      <c r="C151" s="8" t="s">
        <v>335</v>
      </c>
      <c r="D151" s="8">
        <v>2017</v>
      </c>
      <c r="E151" s="8"/>
      <c r="F151" s="25" t="str">
        <f>HYPERLINK("https://ieeexplore.ieee.org/abstract/document/7884615/?casa_token=_cZBDJZMQIIAAAAA:OLTh_uygTqPQldXVb0FURNpPr7lYC4s2rNUgJRKrZD_3gAfIghZL_JlnZSNPrseSHJCpRNnPk1vW")</f>
        <v>https://ieeexplore.ieee.org/abstract/document/7884615/?casa_token=_cZBDJZMQIIAAAAA:OLTh_uygTqPQldXVb0FURNpPr7lYC4s2rNUgJRKrZD_3gAfIghZL_JlnZSNPrseSHJCpRNnPk1vW</v>
      </c>
      <c r="G151" s="10"/>
      <c r="H151" s="19" t="str">
        <f t="shared" ref="H151:H182" si="4">IF(I151=R151,I151,IF(AND(I151="YES",R151="MAYBE"),"YES",IF(AND(I151="MAYBE",R151="YES"),"YES",IF(OR(AND(I151="NO",R151="YES"),AND(I151="YES",R151="NO")),"MAYBE","NO"))))</f>
        <v>NO</v>
      </c>
      <c r="I151" s="11" t="s">
        <v>21</v>
      </c>
      <c r="J151" s="12"/>
      <c r="K151" s="12"/>
      <c r="L151" s="13"/>
      <c r="M151" s="13"/>
      <c r="N151" s="13"/>
      <c r="O151" s="13"/>
      <c r="P151" s="14"/>
      <c r="Q151" s="14"/>
      <c r="R151" s="23" t="s">
        <v>21</v>
      </c>
      <c r="S151" s="15"/>
      <c r="T151" s="15"/>
      <c r="U151" s="16"/>
      <c r="V151" s="16"/>
      <c r="W151" s="16"/>
      <c r="X151" s="16"/>
      <c r="Y151" s="16"/>
      <c r="Z151" s="16"/>
      <c r="AA151" s="7"/>
    </row>
    <row r="152" spans="1:27" ht="14.25" x14ac:dyDescent="0.2">
      <c r="A152" s="8"/>
      <c r="B152" s="8" t="s">
        <v>336</v>
      </c>
      <c r="C152" s="8" t="s">
        <v>337</v>
      </c>
      <c r="D152" s="8">
        <v>2017</v>
      </c>
      <c r="E152" s="8"/>
      <c r="F152" s="25" t="str">
        <f>HYPERLINK("https://se-rwth.de/publications/OCL-Framework-to-Verify-Extra-Functional-Properties-in-Component-and-Connector-Models.pdf")</f>
        <v>https://se-rwth.de/publications/OCL-Framework-to-Verify-Extra-Functional-Properties-in-Component-and-Connector-Models.pdf</v>
      </c>
      <c r="G152" s="10"/>
      <c r="H152" s="19" t="str">
        <f t="shared" si="4"/>
        <v>NO</v>
      </c>
      <c r="I152" s="11" t="s">
        <v>21</v>
      </c>
      <c r="J152" s="12"/>
      <c r="K152" s="12"/>
      <c r="L152" s="13"/>
      <c r="M152" s="13"/>
      <c r="N152" s="13"/>
      <c r="O152" s="13"/>
      <c r="P152" s="14"/>
      <c r="Q152" s="14"/>
      <c r="R152" s="23" t="s">
        <v>21</v>
      </c>
      <c r="S152" s="15"/>
      <c r="T152" s="15"/>
      <c r="U152" s="16"/>
      <c r="V152" s="16"/>
      <c r="W152" s="16"/>
      <c r="X152" s="16"/>
      <c r="Y152" s="16"/>
      <c r="Z152" s="16"/>
      <c r="AA152" s="7"/>
    </row>
    <row r="153" spans="1:27" ht="14.25" x14ac:dyDescent="0.2">
      <c r="A153" s="8"/>
      <c r="B153" s="8" t="s">
        <v>304</v>
      </c>
      <c r="C153" s="8" t="s">
        <v>338</v>
      </c>
      <c r="D153" s="8">
        <v>2016</v>
      </c>
      <c r="E153" s="8"/>
      <c r="F153" s="25" t="str">
        <f>HYPERLINK("https://www.sciencedirect.com/science/article/pii/S235222081500142X")</f>
        <v>https://www.sciencedirect.com/science/article/pii/S235222081500142X</v>
      </c>
      <c r="G153" s="10"/>
      <c r="H153" s="19" t="str">
        <f t="shared" si="4"/>
        <v>NO</v>
      </c>
      <c r="I153" s="11" t="s">
        <v>21</v>
      </c>
      <c r="J153" s="12"/>
      <c r="K153" s="12"/>
      <c r="L153" s="13"/>
      <c r="M153" s="13"/>
      <c r="N153" s="13"/>
      <c r="O153" s="13"/>
      <c r="P153" s="14"/>
      <c r="Q153" s="14"/>
      <c r="R153" s="23" t="s">
        <v>21</v>
      </c>
      <c r="S153" s="15"/>
      <c r="T153" s="15"/>
      <c r="U153" s="16"/>
      <c r="V153" s="16"/>
      <c r="W153" s="16"/>
      <c r="X153" s="16"/>
      <c r="Y153" s="16"/>
      <c r="Z153" s="16"/>
      <c r="AA153" s="7"/>
    </row>
    <row r="154" spans="1:27" ht="14.25" x14ac:dyDescent="0.2">
      <c r="A154" s="8"/>
      <c r="B154" s="8" t="s">
        <v>339</v>
      </c>
      <c r="C154" s="8" t="s">
        <v>340</v>
      </c>
      <c r="D154" s="8">
        <v>2017</v>
      </c>
      <c r="E154" s="8"/>
      <c r="F154" s="25" t="str">
        <f>HYPERLINK("https://link.springer.com/chapter/10.1007/978-3-319-67425-4_5")</f>
        <v>https://link.springer.com/chapter/10.1007/978-3-319-67425-4_5</v>
      </c>
      <c r="G154" s="10"/>
      <c r="H154" s="19" t="str">
        <f t="shared" si="4"/>
        <v>NO</v>
      </c>
      <c r="I154" s="11" t="s">
        <v>21</v>
      </c>
      <c r="J154" s="12"/>
      <c r="K154" s="12"/>
      <c r="L154" s="13"/>
      <c r="M154" s="13"/>
      <c r="N154" s="13"/>
      <c r="O154" s="13"/>
      <c r="P154" s="14"/>
      <c r="Q154" s="14"/>
      <c r="R154" s="26" t="s">
        <v>21</v>
      </c>
      <c r="S154" s="15"/>
      <c r="T154" s="15"/>
      <c r="U154" s="16"/>
      <c r="V154" s="16"/>
      <c r="W154" s="16"/>
      <c r="X154" s="16"/>
      <c r="Y154" s="16"/>
      <c r="Z154" s="16"/>
      <c r="AA154" s="7"/>
    </row>
    <row r="155" spans="1:27" ht="14.25" x14ac:dyDescent="0.2">
      <c r="A155" s="8"/>
      <c r="B155" s="8" t="s">
        <v>341</v>
      </c>
      <c r="C155" s="8" t="s">
        <v>342</v>
      </c>
      <c r="D155" s="8">
        <v>2018</v>
      </c>
      <c r="E155" s="8"/>
      <c r="F155" s="25" t="str">
        <f>HYPERLINK("https://www.sciencedirect.com/science/article/pii/S1477842417300416")</f>
        <v>https://www.sciencedirect.com/science/article/pii/S1477842417300416</v>
      </c>
      <c r="G155" s="10"/>
      <c r="H155" s="19" t="str">
        <f t="shared" si="4"/>
        <v>NO</v>
      </c>
      <c r="I155" s="11" t="s">
        <v>21</v>
      </c>
      <c r="J155" s="12"/>
      <c r="K155" s="12"/>
      <c r="L155" s="13"/>
      <c r="M155" s="13"/>
      <c r="N155" s="13"/>
      <c r="O155" s="13"/>
      <c r="P155" s="14"/>
      <c r="Q155" s="14"/>
      <c r="R155" s="23" t="s">
        <v>21</v>
      </c>
      <c r="S155" s="15"/>
      <c r="T155" s="15"/>
      <c r="U155" s="16"/>
      <c r="V155" s="16"/>
      <c r="W155" s="16"/>
      <c r="X155" s="16"/>
      <c r="Y155" s="16"/>
      <c r="Z155" s="16"/>
      <c r="AA155" s="7"/>
    </row>
    <row r="156" spans="1:27" ht="14.25" x14ac:dyDescent="0.2">
      <c r="A156" s="8"/>
      <c r="B156" s="8" t="s">
        <v>343</v>
      </c>
      <c r="C156" s="8" t="s">
        <v>344</v>
      </c>
      <c r="D156" s="8">
        <v>2017</v>
      </c>
      <c r="E156" s="8"/>
      <c r="F156" s="25" t="str">
        <f>HYPERLINK("https://www.academia.edu/download/55044545/icsea_2017_full.pdf#page=225")</f>
        <v>https://www.academia.edu/download/55044545/icsea_2017_full.pdf#page=225</v>
      </c>
      <c r="G156" s="10"/>
      <c r="H156" s="19" t="str">
        <f t="shared" si="4"/>
        <v>NO</v>
      </c>
      <c r="I156" s="11" t="s">
        <v>21</v>
      </c>
      <c r="J156" s="12"/>
      <c r="K156" s="12"/>
      <c r="L156" s="13"/>
      <c r="M156" s="13"/>
      <c r="N156" s="13"/>
      <c r="O156" s="13"/>
      <c r="P156" s="14"/>
      <c r="Q156" s="14"/>
      <c r="R156" s="26" t="s">
        <v>21</v>
      </c>
      <c r="S156" s="15"/>
      <c r="T156" s="15"/>
      <c r="U156" s="16"/>
      <c r="V156" s="16"/>
      <c r="W156" s="16"/>
      <c r="X156" s="16"/>
      <c r="Y156" s="16"/>
      <c r="Z156" s="16"/>
      <c r="AA156" s="7"/>
    </row>
    <row r="157" spans="1:27" ht="14.25" x14ac:dyDescent="0.2">
      <c r="A157" s="8"/>
      <c r="B157" s="8" t="s">
        <v>345</v>
      </c>
      <c r="C157" s="8" t="s">
        <v>346</v>
      </c>
      <c r="D157" s="8">
        <v>2016</v>
      </c>
      <c r="E157" s="8"/>
      <c r="F157" s="25" t="str">
        <f>HYPERLINK("https://arxiv.org/abs/1606.00585")</f>
        <v>https://arxiv.org/abs/1606.00585</v>
      </c>
      <c r="G157" s="10"/>
      <c r="H157" s="19" t="str">
        <f t="shared" si="4"/>
        <v>NO</v>
      </c>
      <c r="I157" s="11" t="s">
        <v>21</v>
      </c>
      <c r="J157" s="12"/>
      <c r="K157" s="12"/>
      <c r="L157" s="13"/>
      <c r="M157" s="13"/>
      <c r="N157" s="13"/>
      <c r="O157" s="13"/>
      <c r="P157" s="14"/>
      <c r="Q157" s="14"/>
      <c r="R157" s="23" t="s">
        <v>21</v>
      </c>
      <c r="S157" s="15"/>
      <c r="T157" s="15"/>
      <c r="U157" s="16"/>
      <c r="V157" s="16"/>
      <c r="W157" s="16"/>
      <c r="X157" s="16"/>
      <c r="Y157" s="16"/>
      <c r="Z157" s="16"/>
      <c r="AA157" s="7"/>
    </row>
    <row r="158" spans="1:27" ht="14.25" x14ac:dyDescent="0.2">
      <c r="A158" s="8"/>
      <c r="B158" s="8" t="s">
        <v>347</v>
      </c>
      <c r="C158" s="8" t="s">
        <v>348</v>
      </c>
      <c r="D158" s="8">
        <v>2013</v>
      </c>
      <c r="E158" s="8"/>
      <c r="F158" s="25" t="str">
        <f>HYPERLINK("http://se-rwth.de/publications/Towards_Compositional_Domain_Specific_Languages.pdf")</f>
        <v>http://se-rwth.de/publications/Towards_Compositional_Domain_Specific_Languages.pdf</v>
      </c>
      <c r="G158" s="10"/>
      <c r="H158" s="19" t="str">
        <f t="shared" si="4"/>
        <v>NO</v>
      </c>
      <c r="I158" s="11" t="s">
        <v>21</v>
      </c>
      <c r="J158" s="12"/>
      <c r="K158" s="12"/>
      <c r="L158" s="13"/>
      <c r="M158" s="13"/>
      <c r="N158" s="13"/>
      <c r="O158" s="13"/>
      <c r="P158" s="14"/>
      <c r="Q158" s="14"/>
      <c r="R158" s="27" t="s">
        <v>21</v>
      </c>
      <c r="S158" s="15"/>
      <c r="T158" s="15"/>
      <c r="U158" s="16"/>
      <c r="V158" s="16"/>
      <c r="W158" s="16"/>
      <c r="X158" s="16"/>
      <c r="Y158" s="16"/>
      <c r="Z158" s="16"/>
      <c r="AA158" s="7"/>
    </row>
    <row r="159" spans="1:27" ht="14.25" x14ac:dyDescent="0.2">
      <c r="A159" s="8"/>
      <c r="B159" s="8" t="s">
        <v>349</v>
      </c>
      <c r="C159" s="8" t="s">
        <v>350</v>
      </c>
      <c r="D159" s="8">
        <v>2016</v>
      </c>
      <c r="E159" s="8"/>
      <c r="F159" s="25" t="str">
        <f>HYPERLINK("http://se-rwth.de/publications/Consistent-Extra-Functional-Properties-Tagging-for-Component-and-Connector-Models.pdf")</f>
        <v>http://se-rwth.de/publications/Consistent-Extra-Functional-Properties-Tagging-for-Component-and-Connector-Models.pdf</v>
      </c>
      <c r="G159" s="10"/>
      <c r="H159" s="19" t="str">
        <f t="shared" si="4"/>
        <v>NO</v>
      </c>
      <c r="I159" s="11" t="s">
        <v>21</v>
      </c>
      <c r="J159" s="12"/>
      <c r="K159" s="12"/>
      <c r="L159" s="13"/>
      <c r="M159" s="13"/>
      <c r="N159" s="13"/>
      <c r="O159" s="13"/>
      <c r="P159" s="14"/>
      <c r="Q159" s="14"/>
      <c r="R159" s="26" t="s">
        <v>21</v>
      </c>
      <c r="S159" s="15"/>
      <c r="T159" s="15"/>
      <c r="U159" s="16"/>
      <c r="V159" s="16"/>
      <c r="W159" s="16"/>
      <c r="X159" s="16"/>
      <c r="Y159" s="16"/>
      <c r="Z159" s="16"/>
      <c r="AA159" s="7"/>
    </row>
    <row r="160" spans="1:27" ht="14.25" x14ac:dyDescent="0.2">
      <c r="A160" s="8"/>
      <c r="B160" s="8" t="s">
        <v>351</v>
      </c>
      <c r="C160" s="8" t="s">
        <v>352</v>
      </c>
      <c r="D160" s="8">
        <v>2016</v>
      </c>
      <c r="E160" s="8"/>
      <c r="F160" s="17" t="str">
        <f>HYPERLINK("https://arxiv.org/abs/1606.04682")</f>
        <v>https://arxiv.org/abs/1606.04682</v>
      </c>
      <c r="G160" s="10"/>
      <c r="H160" s="19" t="str">
        <f t="shared" si="4"/>
        <v>NO</v>
      </c>
      <c r="I160" s="11" t="s">
        <v>21</v>
      </c>
      <c r="J160" s="12"/>
      <c r="K160" s="12"/>
      <c r="L160" s="13"/>
      <c r="M160" s="13"/>
      <c r="N160" s="13"/>
      <c r="O160" s="13"/>
      <c r="P160" s="14"/>
      <c r="Q160" s="14"/>
      <c r="R160" s="27" t="s">
        <v>21</v>
      </c>
      <c r="S160" s="15"/>
      <c r="T160" s="15"/>
      <c r="U160" s="16"/>
      <c r="V160" s="16"/>
      <c r="W160" s="16"/>
      <c r="X160" s="16"/>
      <c r="Y160" s="16"/>
      <c r="Z160" s="16"/>
      <c r="AA160" s="7"/>
    </row>
    <row r="161" spans="1:27" ht="14.25" x14ac:dyDescent="0.2">
      <c r="A161" s="8"/>
      <c r="B161" s="8" t="s">
        <v>353</v>
      </c>
      <c r="C161" s="8" t="s">
        <v>354</v>
      </c>
      <c r="D161" s="8">
        <v>2014</v>
      </c>
      <c r="E161" s="8"/>
      <c r="F161" s="25" t="str">
        <f>HYPERLINK("https://tore.tuhh.de/handle/11420/1220")</f>
        <v>https://tore.tuhh.de/handle/11420/1220</v>
      </c>
      <c r="G161" s="10"/>
      <c r="H161" s="19" t="str">
        <f t="shared" si="4"/>
        <v>NO</v>
      </c>
      <c r="I161" s="11" t="s">
        <v>21</v>
      </c>
      <c r="J161" s="12"/>
      <c r="K161" s="12"/>
      <c r="L161" s="13"/>
      <c r="M161" s="13"/>
      <c r="N161" s="13"/>
      <c r="O161" s="13"/>
      <c r="P161" s="14"/>
      <c r="Q161" s="14"/>
      <c r="R161" s="23" t="s">
        <v>21</v>
      </c>
      <c r="S161" s="15"/>
      <c r="T161" s="15"/>
      <c r="U161" s="16"/>
      <c r="V161" s="16"/>
      <c r="W161" s="16"/>
      <c r="X161" s="16"/>
      <c r="Y161" s="16"/>
      <c r="Z161" s="16"/>
      <c r="AA161" s="7"/>
    </row>
    <row r="162" spans="1:27" ht="14.25" x14ac:dyDescent="0.2">
      <c r="A162" s="8"/>
      <c r="B162" s="8" t="s">
        <v>355</v>
      </c>
      <c r="C162" s="8" t="s">
        <v>356</v>
      </c>
      <c r="D162" s="8">
        <v>2016</v>
      </c>
      <c r="E162" s="22"/>
      <c r="F162" s="25" t="str">
        <f>HYPERLINK("https://dl.acm.org/doi/abs/10.1145/2889443.2889445?casa_token=J0NMPkPM0ZUAAAAA:y-GS3Ljuna4wDPGyTEEh3hTl8vah4MUQIb3f0XhSzuW6CQAQ_6KDqCvBWM1_6WIsSF4eY40YBylYAPk")</f>
        <v>https://dl.acm.org/doi/abs/10.1145/2889443.2889445?casa_token=J0NMPkPM0ZUAAAAA:y-GS3Ljuna4wDPGyTEEh3hTl8vah4MUQIb3f0XhSzuW6CQAQ_6KDqCvBWM1_6WIsSF4eY40YBylYAPk</v>
      </c>
      <c r="G162" s="10"/>
      <c r="H162" s="19" t="str">
        <f t="shared" si="4"/>
        <v>NO</v>
      </c>
      <c r="I162" s="11" t="s">
        <v>21</v>
      </c>
      <c r="J162" s="12"/>
      <c r="K162" s="12"/>
      <c r="L162" s="13"/>
      <c r="M162" s="13"/>
      <c r="N162" s="13"/>
      <c r="O162" s="13"/>
      <c r="P162" s="14"/>
      <c r="Q162" s="14"/>
      <c r="R162" s="23" t="s">
        <v>21</v>
      </c>
      <c r="S162" s="15"/>
      <c r="T162" s="15"/>
      <c r="U162" s="16"/>
      <c r="V162" s="16"/>
      <c r="W162" s="16"/>
      <c r="X162" s="16"/>
      <c r="Y162" s="16"/>
      <c r="Z162" s="16"/>
      <c r="AA162" s="7"/>
    </row>
    <row r="163" spans="1:27" ht="14.25" x14ac:dyDescent="0.2">
      <c r="A163" s="8"/>
      <c r="B163" s="8" t="s">
        <v>247</v>
      </c>
      <c r="C163" s="8" t="s">
        <v>357</v>
      </c>
      <c r="D163" s="8">
        <v>2015</v>
      </c>
      <c r="E163" s="8"/>
      <c r="F163" s="25" t="str">
        <f>HYPERLINK("https://dl.acm.org/doi/abs/10.1145/2802059.2802064?casa_token=ZAbWm4P8DRsAAAAA:ZEfTi_D0Z8pUE8sBhTQWZ5ARaq-899huuqT1Lb9ZXFwTc60FNGri6sqPG5YFfxrIdjXfm4Hs47BDGzE")</f>
        <v>https://dl.acm.org/doi/abs/10.1145/2802059.2802064?casa_token=ZAbWm4P8DRsAAAAA:ZEfTi_D0Z8pUE8sBhTQWZ5ARaq-899huuqT1Lb9ZXFwTc60FNGri6sqPG5YFfxrIdjXfm4Hs47BDGzE</v>
      </c>
      <c r="G163" s="10"/>
      <c r="H163" s="19" t="str">
        <f t="shared" si="4"/>
        <v>NO</v>
      </c>
      <c r="I163" s="11" t="s">
        <v>21</v>
      </c>
      <c r="J163" s="12"/>
      <c r="K163" s="12"/>
      <c r="L163" s="13"/>
      <c r="M163" s="13"/>
      <c r="N163" s="13"/>
      <c r="O163" s="13"/>
      <c r="P163" s="14"/>
      <c r="Q163" s="14"/>
      <c r="R163" s="23" t="s">
        <v>21</v>
      </c>
      <c r="S163" s="15"/>
      <c r="T163" s="15"/>
      <c r="U163" s="16"/>
      <c r="V163" s="16"/>
      <c r="W163" s="16"/>
      <c r="X163" s="16"/>
      <c r="Y163" s="16"/>
      <c r="Z163" s="16"/>
      <c r="AA163" s="7"/>
    </row>
    <row r="164" spans="1:27" ht="14.25" x14ac:dyDescent="0.2">
      <c r="A164" s="8"/>
      <c r="B164" s="8" t="s">
        <v>358</v>
      </c>
      <c r="C164" s="8" t="s">
        <v>359</v>
      </c>
      <c r="D164" s="8">
        <v>2013</v>
      </c>
      <c r="E164" s="8"/>
      <c r="F164" s="25" t="str">
        <f>HYPERLINK("https://www.hal.inserm.fr/I3S/tel-00935083")</f>
        <v>https://www.hal.inserm.fr/I3S/tel-00935083</v>
      </c>
      <c r="G164" s="10"/>
      <c r="H164" s="19" t="str">
        <f t="shared" si="4"/>
        <v>NO</v>
      </c>
      <c r="I164" s="11" t="s">
        <v>21</v>
      </c>
      <c r="J164" s="12"/>
      <c r="K164" s="12"/>
      <c r="L164" s="13"/>
      <c r="M164" s="13"/>
      <c r="N164" s="13"/>
      <c r="O164" s="13"/>
      <c r="P164" s="14"/>
      <c r="Q164" s="14"/>
      <c r="R164" s="27" t="s">
        <v>21</v>
      </c>
      <c r="S164" s="15"/>
      <c r="T164" s="15"/>
      <c r="U164" s="16"/>
      <c r="V164" s="16"/>
      <c r="W164" s="16"/>
      <c r="X164" s="16"/>
      <c r="Y164" s="16"/>
      <c r="Z164" s="16"/>
      <c r="AA164" s="7"/>
    </row>
    <row r="165" spans="1:27" ht="14.25" x14ac:dyDescent="0.2">
      <c r="A165" s="8"/>
      <c r="B165" s="8" t="s">
        <v>360</v>
      </c>
      <c r="C165" s="8" t="s">
        <v>361</v>
      </c>
      <c r="D165" s="8">
        <v>2016</v>
      </c>
      <c r="E165" s="8"/>
      <c r="F165" s="25" t="str">
        <f>HYPERLINK("https://books.google.de/books?hl=de&amp;lr=&amp;id=BWAuDwAAQBAJ&amp;oi=fnd&amp;pg=PR13&amp;ots=P30tcaTaU5&amp;sig=_NYyJNgf9LNCI5YpBsFAoB-41VI")</f>
        <v>https://books.google.de/books?hl=de&amp;lr=&amp;id=BWAuDwAAQBAJ&amp;oi=fnd&amp;pg=PR13&amp;ots=P30tcaTaU5&amp;sig=_NYyJNgf9LNCI5YpBsFAoB-41VI</v>
      </c>
      <c r="G165" s="10"/>
      <c r="H165" s="19" t="str">
        <f t="shared" si="4"/>
        <v>NO</v>
      </c>
      <c r="I165" s="11" t="s">
        <v>21</v>
      </c>
      <c r="J165" s="12"/>
      <c r="K165" s="12"/>
      <c r="L165" s="13"/>
      <c r="M165" s="13"/>
      <c r="N165" s="13"/>
      <c r="O165" s="13"/>
      <c r="P165" s="14"/>
      <c r="Q165" s="14"/>
      <c r="R165" s="23" t="s">
        <v>21</v>
      </c>
      <c r="S165" s="15"/>
      <c r="T165" s="15"/>
      <c r="U165" s="16"/>
      <c r="V165" s="16"/>
      <c r="W165" s="16"/>
      <c r="X165" s="16"/>
      <c r="Y165" s="16"/>
      <c r="Z165" s="16"/>
      <c r="AA165" s="7"/>
    </row>
    <row r="166" spans="1:27" ht="14.25" x14ac:dyDescent="0.2">
      <c r="A166" s="8"/>
      <c r="B166" s="8" t="s">
        <v>362</v>
      </c>
      <c r="C166" s="8" t="s">
        <v>363</v>
      </c>
      <c r="D166" s="8">
        <v>2016</v>
      </c>
      <c r="E166" s="8"/>
      <c r="F166" s="25" t="str">
        <f>HYPERLINK("https://arxiv.org/abs/1601.02452")</f>
        <v>https://arxiv.org/abs/1601.02452</v>
      </c>
      <c r="G166" s="10"/>
      <c r="H166" s="19" t="str">
        <f t="shared" si="4"/>
        <v>NO</v>
      </c>
      <c r="I166" s="11" t="s">
        <v>21</v>
      </c>
      <c r="J166" s="12"/>
      <c r="K166" s="12"/>
      <c r="L166" s="13"/>
      <c r="M166" s="13"/>
      <c r="N166" s="13"/>
      <c r="O166" s="13"/>
      <c r="P166" s="14"/>
      <c r="Q166" s="14"/>
      <c r="R166" s="23" t="s">
        <v>21</v>
      </c>
      <c r="S166" s="15"/>
      <c r="T166" s="15"/>
      <c r="U166" s="16"/>
      <c r="V166" s="16"/>
      <c r="W166" s="16"/>
      <c r="X166" s="16"/>
      <c r="Y166" s="16"/>
      <c r="Z166" s="16"/>
      <c r="AA166" s="7"/>
    </row>
    <row r="167" spans="1:27" ht="14.25" x14ac:dyDescent="0.2">
      <c r="A167" s="8"/>
      <c r="B167" s="8" t="s">
        <v>364</v>
      </c>
      <c r="C167" s="8" t="s">
        <v>365</v>
      </c>
      <c r="D167" s="8">
        <v>2018</v>
      </c>
      <c r="E167" s="8"/>
      <c r="F167" s="25" t="str">
        <f>HYPERLINK("https://dl.acm.org/doi/abs/10.1145/3276604.3276621?casa_token=eRoMfDOcZqkAAAAA:wu-7NOPttIwKhhA4YnMk68mKFQ62X5UCYZEQAgqBE0c_pbuRUY-VfQUC087KEYbHaNeveyuomeqrig8")</f>
        <v>https://dl.acm.org/doi/abs/10.1145/3276604.3276621?casa_token=eRoMfDOcZqkAAAAA:wu-7NOPttIwKhhA4YnMk68mKFQ62X5UCYZEQAgqBE0c_pbuRUY-VfQUC087KEYbHaNeveyuomeqrig8</v>
      </c>
      <c r="G167" s="10"/>
      <c r="H167" s="19" t="str">
        <f t="shared" si="4"/>
        <v>NO</v>
      </c>
      <c r="I167" s="11" t="s">
        <v>21</v>
      </c>
      <c r="J167" s="12"/>
      <c r="K167" s="12"/>
      <c r="L167" s="13"/>
      <c r="M167" s="13"/>
      <c r="N167" s="13"/>
      <c r="O167" s="13"/>
      <c r="P167" s="14"/>
      <c r="Q167" s="14"/>
      <c r="R167" s="23" t="s">
        <v>21</v>
      </c>
      <c r="S167" s="15"/>
      <c r="T167" s="15"/>
      <c r="U167" s="16"/>
      <c r="V167" s="16"/>
      <c r="W167" s="16"/>
      <c r="X167" s="16"/>
      <c r="Y167" s="16"/>
      <c r="Z167" s="16"/>
      <c r="AA167" s="7"/>
    </row>
    <row r="168" spans="1:27" ht="14.25" x14ac:dyDescent="0.2">
      <c r="A168" s="8"/>
      <c r="B168" s="8" t="s">
        <v>366</v>
      </c>
      <c r="C168" s="8" t="s">
        <v>367</v>
      </c>
      <c r="D168" s="8">
        <v>2019</v>
      </c>
      <c r="E168" s="8"/>
      <c r="F168" s="25" t="str">
        <f>HYPERLINK("https://www.sse-rwth.de/publications/Model-Based-Engineering-for-Avionics-Will-Specification-and-Formal-Verification-Based-on-Broys-Streams-Become-Feasible.pdf")</f>
        <v>https://www.sse-rwth.de/publications/Model-Based-Engineering-for-Avionics-Will-Specification-and-Formal-Verification-Based-on-Broys-Streams-Become-Feasible.pdf</v>
      </c>
      <c r="G168" s="10"/>
      <c r="H168" s="19" t="str">
        <f t="shared" si="4"/>
        <v>NO</v>
      </c>
      <c r="I168" s="11" t="s">
        <v>21</v>
      </c>
      <c r="J168" s="12"/>
      <c r="K168" s="12"/>
      <c r="L168" s="13"/>
      <c r="M168" s="13"/>
      <c r="N168" s="13"/>
      <c r="O168" s="13"/>
      <c r="P168" s="14"/>
      <c r="Q168" s="14"/>
      <c r="R168" s="23" t="s">
        <v>21</v>
      </c>
      <c r="S168" s="15"/>
      <c r="T168" s="15"/>
      <c r="U168" s="16"/>
      <c r="V168" s="16"/>
      <c r="W168" s="16"/>
      <c r="X168" s="16"/>
      <c r="Y168" s="16"/>
      <c r="Z168" s="16"/>
      <c r="AA168" s="7"/>
    </row>
    <row r="169" spans="1:27" ht="14.25" x14ac:dyDescent="0.2">
      <c r="A169" s="8"/>
      <c r="B169" s="8" t="s">
        <v>368</v>
      </c>
      <c r="C169" s="8" t="s">
        <v>369</v>
      </c>
      <c r="D169" s="8">
        <v>2015</v>
      </c>
      <c r="E169" s="8"/>
      <c r="F169" s="9" t="str">
        <f>HYPERLINK("https://dl.acm.org/doi/abs/10.1145/2846696.2846700?casa_token=URKkZGLy4u4AAAAA:nfOlpPeI37jF-amv8J0I4DGljg9k-gFx148-HB2mW-_kxeNiT0WCAjcZZmqJiXe_6aRTs8-tP4xXj2Q")</f>
        <v>https://dl.acm.org/doi/abs/10.1145/2846696.2846700?casa_token=URKkZGLy4u4AAAAA:nfOlpPeI37jF-amv8J0I4DGljg9k-gFx148-HB2mW-_kxeNiT0WCAjcZZmqJiXe_6aRTs8-tP4xXj2Q</v>
      </c>
      <c r="G169" s="10"/>
      <c r="H169" s="19" t="str">
        <f t="shared" si="4"/>
        <v>NO</v>
      </c>
      <c r="I169" s="11" t="s">
        <v>21</v>
      </c>
      <c r="J169" s="12"/>
      <c r="K169" s="12"/>
      <c r="L169" s="13"/>
      <c r="M169" s="13"/>
      <c r="N169" s="13"/>
      <c r="O169" s="13"/>
      <c r="P169" s="14"/>
      <c r="Q169" s="14"/>
      <c r="R169" s="26" t="s">
        <v>21</v>
      </c>
      <c r="S169" s="15"/>
      <c r="T169" s="15"/>
      <c r="U169" s="16"/>
      <c r="V169" s="16"/>
      <c r="W169" s="16"/>
      <c r="X169" s="16"/>
      <c r="Y169" s="16"/>
      <c r="Z169" s="16"/>
      <c r="AA169" s="7"/>
    </row>
    <row r="170" spans="1:27" ht="14.25" x14ac:dyDescent="0.2">
      <c r="A170" s="8"/>
      <c r="B170" s="8" t="s">
        <v>370</v>
      </c>
      <c r="C170" s="8" t="s">
        <v>371</v>
      </c>
      <c r="D170" s="8">
        <v>2019</v>
      </c>
      <c r="E170" s="8"/>
      <c r="F170" s="25" t="str">
        <f>HYPERLINK("https://www.sciencedirect.com/science/article/pii/S0950584919301259")</f>
        <v>https://www.sciencedirect.com/science/article/pii/S0950584919301259</v>
      </c>
      <c r="G170" s="10"/>
      <c r="H170" s="19" t="str">
        <f t="shared" si="4"/>
        <v>NO</v>
      </c>
      <c r="I170" s="11" t="s">
        <v>21</v>
      </c>
      <c r="J170" s="12"/>
      <c r="K170" s="12"/>
      <c r="L170" s="13"/>
      <c r="M170" s="13"/>
      <c r="N170" s="13"/>
      <c r="O170" s="13"/>
      <c r="P170" s="14"/>
      <c r="Q170" s="14"/>
      <c r="R170" s="23" t="s">
        <v>21</v>
      </c>
      <c r="S170" s="15"/>
      <c r="T170" s="15"/>
      <c r="U170" s="16"/>
      <c r="V170" s="16"/>
      <c r="W170" s="16"/>
      <c r="X170" s="16"/>
      <c r="Y170" s="16"/>
      <c r="Z170" s="16"/>
      <c r="AA170" s="7"/>
    </row>
    <row r="171" spans="1:27" ht="14.25" x14ac:dyDescent="0.2">
      <c r="A171" s="8"/>
      <c r="B171" s="8" t="s">
        <v>372</v>
      </c>
      <c r="C171" s="8" t="s">
        <v>373</v>
      </c>
      <c r="D171" s="8">
        <v>2014</v>
      </c>
      <c r="E171" s="8"/>
      <c r="F171" s="25" t="str">
        <f>HYPERLINK("https://arxiv.org/abs/1412.2961")</f>
        <v>https://arxiv.org/abs/1412.2961</v>
      </c>
      <c r="G171" s="10"/>
      <c r="H171" s="19" t="str">
        <f t="shared" si="4"/>
        <v>NO</v>
      </c>
      <c r="I171" s="11" t="s">
        <v>21</v>
      </c>
      <c r="J171" s="12"/>
      <c r="K171" s="12"/>
      <c r="L171" s="13"/>
      <c r="M171" s="13"/>
      <c r="N171" s="13"/>
      <c r="O171" s="13"/>
      <c r="P171" s="14"/>
      <c r="Q171" s="14"/>
      <c r="R171" s="23" t="s">
        <v>21</v>
      </c>
      <c r="S171" s="15"/>
      <c r="T171" s="15"/>
      <c r="U171" s="16"/>
      <c r="V171" s="16"/>
      <c r="W171" s="16"/>
      <c r="X171" s="16"/>
      <c r="Y171" s="16"/>
      <c r="Z171" s="16"/>
      <c r="AA171" s="7"/>
    </row>
    <row r="172" spans="1:27" ht="14.25" x14ac:dyDescent="0.2">
      <c r="A172" s="8"/>
      <c r="B172" s="8" t="s">
        <v>374</v>
      </c>
      <c r="C172" s="8" t="s">
        <v>375</v>
      </c>
      <c r="D172" s="8">
        <v>2019</v>
      </c>
      <c r="E172" s="8"/>
      <c r="F172" s="25" t="str">
        <f>HYPERLINK("https://idp.springer.com/authorize/casa?redirect_uri=https://link.springer.com/article/10.1007/s10270-018-0682-5&amp;casa_token=yn54YT2z38MAAAAA:HxGVJ2txHG-FmI_gfN-_TydBg3be-Y2Ofpzq7jTzvBE7T5gzq3eCgJFAjLuQnnbAS-8WLF0AhhabtKQ4o-c")</f>
        <v>https://idp.springer.com/authorize/casa?redirect_uri=https://link.springer.com/article/10.1007/s10270-018-0682-5&amp;casa_token=yn54YT2z38MAAAAA:HxGVJ2txHG-FmI_gfN-_TydBg3be-Y2Ofpzq7jTzvBE7T5gzq3eCgJFAjLuQnnbAS-8WLF0AhhabtKQ4o-c</v>
      </c>
      <c r="G172" s="10"/>
      <c r="H172" s="19" t="str">
        <f t="shared" si="4"/>
        <v>NO</v>
      </c>
      <c r="I172" s="11" t="s">
        <v>21</v>
      </c>
      <c r="J172" s="12"/>
      <c r="K172" s="12"/>
      <c r="L172" s="13"/>
      <c r="M172" s="13"/>
      <c r="N172" s="13"/>
      <c r="O172" s="13"/>
      <c r="P172" s="14"/>
      <c r="Q172" s="14"/>
      <c r="R172" s="23" t="s">
        <v>21</v>
      </c>
      <c r="S172" s="15"/>
      <c r="T172" s="15"/>
      <c r="U172" s="16"/>
      <c r="V172" s="16"/>
      <c r="W172" s="16"/>
      <c r="X172" s="16"/>
      <c r="Y172" s="16"/>
      <c r="Z172" s="16"/>
      <c r="AA172" s="7"/>
    </row>
    <row r="173" spans="1:27" ht="14.25" x14ac:dyDescent="0.2">
      <c r="A173" s="8"/>
      <c r="B173" s="8" t="s">
        <v>376</v>
      </c>
      <c r="C173" s="8" t="s">
        <v>377</v>
      </c>
      <c r="D173" s="8">
        <v>2018</v>
      </c>
      <c r="E173" s="8"/>
      <c r="F173" s="25" t="str">
        <f>HYPERLINK("https://www.scitepress.org/papers/2018/66019/66019.pdf")</f>
        <v>https://www.scitepress.org/papers/2018/66019/66019.pdf</v>
      </c>
      <c r="G173" s="10"/>
      <c r="H173" s="19" t="str">
        <f t="shared" si="4"/>
        <v>NO</v>
      </c>
      <c r="I173" s="11" t="s">
        <v>21</v>
      </c>
      <c r="J173" s="12"/>
      <c r="K173" s="12"/>
      <c r="L173" s="13"/>
      <c r="M173" s="13"/>
      <c r="N173" s="13"/>
      <c r="O173" s="13"/>
      <c r="P173" s="14"/>
      <c r="Q173" s="14"/>
      <c r="R173" s="23" t="s">
        <v>21</v>
      </c>
      <c r="S173" s="15"/>
      <c r="T173" s="15"/>
      <c r="U173" s="16"/>
      <c r="V173" s="16"/>
      <c r="W173" s="16"/>
      <c r="X173" s="16"/>
      <c r="Y173" s="16"/>
      <c r="Z173" s="16"/>
      <c r="AA173" s="7"/>
    </row>
    <row r="174" spans="1:27" ht="14.25" x14ac:dyDescent="0.2">
      <c r="A174" s="8"/>
      <c r="B174" s="8" t="s">
        <v>378</v>
      </c>
      <c r="C174" s="8" t="s">
        <v>379</v>
      </c>
      <c r="D174" s="8">
        <v>2016</v>
      </c>
      <c r="E174" s="8"/>
      <c r="F174" s="25" t="str">
        <f>HYPERLINK("https://tel.archives-ouvertes.fr/tel-01343950/")</f>
        <v>https://tel.archives-ouvertes.fr/tel-01343950/</v>
      </c>
      <c r="G174" s="10"/>
      <c r="H174" s="19" t="str">
        <f t="shared" si="4"/>
        <v>NO</v>
      </c>
      <c r="I174" s="11" t="s">
        <v>21</v>
      </c>
      <c r="J174" s="12"/>
      <c r="K174" s="12"/>
      <c r="L174" s="13"/>
      <c r="M174" s="13"/>
      <c r="N174" s="13"/>
      <c r="O174" s="13"/>
      <c r="P174" s="14"/>
      <c r="Q174" s="14"/>
      <c r="R174" s="23" t="s">
        <v>21</v>
      </c>
      <c r="S174" s="15"/>
      <c r="T174" s="15"/>
      <c r="U174" s="16"/>
      <c r="V174" s="16"/>
      <c r="W174" s="16"/>
      <c r="X174" s="16"/>
      <c r="Y174" s="16"/>
      <c r="Z174" s="16"/>
      <c r="AA174" s="7"/>
    </row>
    <row r="175" spans="1:27" ht="14.25" x14ac:dyDescent="0.2">
      <c r="A175" s="8"/>
      <c r="B175" s="8" t="s">
        <v>380</v>
      </c>
      <c r="C175" s="8" t="s">
        <v>381</v>
      </c>
      <c r="D175" s="8">
        <v>2016</v>
      </c>
      <c r="E175" s="8"/>
      <c r="F175" s="25" t="str">
        <f>HYPERLINK("https://www.se-rwth.de/publications/Extendable-Toolchain-for-Automatic-Compatibility-Checks.pdf")</f>
        <v>https://www.se-rwth.de/publications/Extendable-Toolchain-for-Automatic-Compatibility-Checks.pdf</v>
      </c>
      <c r="G175" s="10"/>
      <c r="H175" s="19" t="str">
        <f t="shared" si="4"/>
        <v>NO</v>
      </c>
      <c r="I175" s="11" t="s">
        <v>21</v>
      </c>
      <c r="J175" s="12"/>
      <c r="K175" s="12"/>
      <c r="L175" s="13"/>
      <c r="M175" s="13"/>
      <c r="N175" s="13"/>
      <c r="O175" s="13"/>
      <c r="P175" s="14"/>
      <c r="Q175" s="14"/>
      <c r="R175" s="23" t="s">
        <v>21</v>
      </c>
      <c r="S175" s="15"/>
      <c r="T175" s="15"/>
      <c r="U175" s="16"/>
      <c r="V175" s="16"/>
      <c r="W175" s="16"/>
      <c r="X175" s="16"/>
      <c r="Y175" s="16"/>
      <c r="Z175" s="16"/>
      <c r="AA175" s="7"/>
    </row>
    <row r="176" spans="1:27" ht="14.25" x14ac:dyDescent="0.2">
      <c r="A176" s="8"/>
      <c r="B176" s="8" t="s">
        <v>382</v>
      </c>
      <c r="C176" s="8" t="s">
        <v>383</v>
      </c>
      <c r="D176" s="8">
        <v>2015</v>
      </c>
      <c r="E176" s="8"/>
      <c r="F176" s="25" t="str">
        <f>HYPERLINK("https://arxiv.org/abs/1509.02654")</f>
        <v>https://arxiv.org/abs/1509.02654</v>
      </c>
      <c r="G176" s="10"/>
      <c r="H176" s="19" t="str">
        <f t="shared" si="4"/>
        <v>NO</v>
      </c>
      <c r="I176" s="11" t="s">
        <v>21</v>
      </c>
      <c r="J176" s="12"/>
      <c r="K176" s="12"/>
      <c r="L176" s="13"/>
      <c r="M176" s="13"/>
      <c r="N176" s="13"/>
      <c r="O176" s="13"/>
      <c r="P176" s="14"/>
      <c r="Q176" s="14"/>
      <c r="R176" s="26" t="s">
        <v>21</v>
      </c>
      <c r="S176" s="15"/>
      <c r="T176" s="15"/>
      <c r="U176" s="16"/>
      <c r="V176" s="16"/>
      <c r="W176" s="16"/>
      <c r="X176" s="16"/>
      <c r="Y176" s="16"/>
      <c r="Z176" s="16"/>
      <c r="AA176" s="7"/>
    </row>
    <row r="177" spans="1:27" ht="14.25" x14ac:dyDescent="0.2">
      <c r="A177" s="8"/>
      <c r="B177" s="8" t="s">
        <v>384</v>
      </c>
      <c r="C177" s="8" t="s">
        <v>385</v>
      </c>
      <c r="D177" s="8">
        <v>2015</v>
      </c>
      <c r="E177" s="8"/>
      <c r="F177" s="25" t="str">
        <f>HYPERLINK("https://ieeexplore.ieee.org/abstract/document/7313460/?casa_token=UY_ahbMMzm0AAAAA:aAgVnPk-ozDzz16U3JeSmw_6lYGC3CjzhfnnMV--9Lh8zN-EFJS18ekOjFR4r4pe-SPTWgMEeuZA")</f>
        <v>https://ieeexplore.ieee.org/abstract/document/7313460/?casa_token=UY_ahbMMzm0AAAAA:aAgVnPk-ozDzz16U3JeSmw_6lYGC3CjzhfnnMV--9Lh8zN-EFJS18ekOjFR4r4pe-SPTWgMEeuZA</v>
      </c>
      <c r="G177" s="10"/>
      <c r="H177" s="19" t="str">
        <f t="shared" si="4"/>
        <v>NO</v>
      </c>
      <c r="I177" s="11" t="s">
        <v>21</v>
      </c>
      <c r="J177" s="12"/>
      <c r="K177" s="12"/>
      <c r="L177" s="13"/>
      <c r="M177" s="13"/>
      <c r="N177" s="13"/>
      <c r="O177" s="13"/>
      <c r="P177" s="14"/>
      <c r="Q177" s="14"/>
      <c r="R177" s="23" t="s">
        <v>21</v>
      </c>
      <c r="S177" s="15"/>
      <c r="T177" s="15"/>
      <c r="U177" s="16"/>
      <c r="V177" s="16"/>
      <c r="W177" s="16"/>
      <c r="X177" s="16"/>
      <c r="Y177" s="16"/>
      <c r="Z177" s="16"/>
      <c r="AA177" s="7"/>
    </row>
    <row r="178" spans="1:27" ht="14.25" x14ac:dyDescent="0.2">
      <c r="A178" s="8"/>
      <c r="B178" s="8" t="s">
        <v>386</v>
      </c>
      <c r="C178" s="8" t="s">
        <v>387</v>
      </c>
      <c r="D178" s="8">
        <v>2017</v>
      </c>
      <c r="E178" s="8"/>
      <c r="F178" s="25" t="str">
        <f>HYPERLINK("https://www.inderscienceonline.com/doi/abs/10.1504/IJSSC.2017.089006")</f>
        <v>https://www.inderscienceonline.com/doi/abs/10.1504/IJSSC.2017.089006</v>
      </c>
      <c r="G178" s="10"/>
      <c r="H178" s="19" t="str">
        <f t="shared" si="4"/>
        <v>NO</v>
      </c>
      <c r="I178" s="11" t="s">
        <v>21</v>
      </c>
      <c r="J178" s="12"/>
      <c r="K178" s="12"/>
      <c r="L178" s="13"/>
      <c r="M178" s="13"/>
      <c r="N178" s="13"/>
      <c r="O178" s="13"/>
      <c r="P178" s="14"/>
      <c r="Q178" s="14"/>
      <c r="R178" s="23" t="s">
        <v>21</v>
      </c>
      <c r="S178" s="15"/>
      <c r="T178" s="15"/>
      <c r="U178" s="16"/>
      <c r="V178" s="16"/>
      <c r="W178" s="16"/>
      <c r="X178" s="16"/>
      <c r="Y178" s="16"/>
      <c r="Z178" s="16"/>
      <c r="AA178" s="7"/>
    </row>
    <row r="179" spans="1:27" ht="14.25" x14ac:dyDescent="0.2">
      <c r="A179" s="8"/>
      <c r="B179" s="8" t="s">
        <v>247</v>
      </c>
      <c r="C179" s="8" t="s">
        <v>388</v>
      </c>
      <c r="D179" s="8">
        <v>2016</v>
      </c>
      <c r="E179" s="8"/>
      <c r="F179" s="25" t="e">
        <f>HYPERLINK("https://www.researchgate.net/profile/Daniel-Tuchscherer/publication/308937118_PID-Regler-Entwicklung_mit_C_Boost_und_ROS_als_Alternative_zu_Simulink/links/58fdacf6aca2723d79dc1489/PID-Regler-Entwicklung-mit-C-Boost-und-ROS-als-Alternative-zu-Simulink.pdf#"&amp;"page=9")</f>
        <v>#VALUE!</v>
      </c>
      <c r="G179" s="10"/>
      <c r="H179" s="19" t="str">
        <f t="shared" si="4"/>
        <v>NO</v>
      </c>
      <c r="I179" s="11" t="s">
        <v>21</v>
      </c>
      <c r="J179" s="12"/>
      <c r="K179" s="12"/>
      <c r="L179" s="13"/>
      <c r="M179" s="13"/>
      <c r="N179" s="13"/>
      <c r="O179" s="13"/>
      <c r="P179" s="14"/>
      <c r="Q179" s="14"/>
      <c r="R179" s="23" t="s">
        <v>21</v>
      </c>
      <c r="S179" s="15"/>
      <c r="T179" s="15"/>
      <c r="U179" s="16"/>
      <c r="V179" s="16"/>
      <c r="W179" s="16"/>
      <c r="X179" s="16"/>
      <c r="Y179" s="16"/>
      <c r="Z179" s="16"/>
      <c r="AA179" s="7"/>
    </row>
    <row r="180" spans="1:27" ht="14.25" x14ac:dyDescent="0.2">
      <c r="A180" s="8"/>
      <c r="B180" s="8" t="s">
        <v>389</v>
      </c>
      <c r="C180" s="8" t="s">
        <v>390</v>
      </c>
      <c r="D180" s="8">
        <v>2018</v>
      </c>
      <c r="E180" s="8"/>
      <c r="F180" s="25" t="str">
        <f>HYPERLINK("http://ceur-ws.org/Vol-2245/flexmde_paper_3.pdf")</f>
        <v>http://ceur-ws.org/Vol-2245/flexmde_paper_3.pdf</v>
      </c>
      <c r="G180" s="10"/>
      <c r="H180" s="19" t="str">
        <f t="shared" si="4"/>
        <v>NO</v>
      </c>
      <c r="I180" s="11" t="s">
        <v>21</v>
      </c>
      <c r="J180" s="12"/>
      <c r="K180" s="12"/>
      <c r="L180" s="13"/>
      <c r="M180" s="13"/>
      <c r="N180" s="13"/>
      <c r="O180" s="13"/>
      <c r="P180" s="14"/>
      <c r="Q180" s="14"/>
      <c r="R180" s="23" t="s">
        <v>21</v>
      </c>
      <c r="S180" s="15"/>
      <c r="T180" s="15"/>
      <c r="U180" s="16"/>
      <c r="V180" s="16"/>
      <c r="W180" s="16"/>
      <c r="X180" s="16"/>
      <c r="Y180" s="16"/>
      <c r="Z180" s="16"/>
      <c r="AA180" s="7"/>
    </row>
    <row r="181" spans="1:27" ht="14.25" x14ac:dyDescent="0.2">
      <c r="A181" s="8"/>
      <c r="B181" s="8" t="s">
        <v>391</v>
      </c>
      <c r="C181" s="8" t="s">
        <v>392</v>
      </c>
      <c r="D181" s="8">
        <v>2020</v>
      </c>
      <c r="E181" s="8"/>
      <c r="F181" s="25" t="str">
        <f>HYPERLINK("https://se-rwth.de/publications/Generated-Enterprise-Information-Systems-MDSE-for-Maintainable-Co-Development-of-Frontend-and-Backend.pdf")</f>
        <v>https://se-rwth.de/publications/Generated-Enterprise-Information-Systems-MDSE-for-Maintainable-Co-Development-of-Frontend-and-Backend.pdf</v>
      </c>
      <c r="G181" s="10"/>
      <c r="H181" s="19" t="str">
        <f t="shared" si="4"/>
        <v>NO</v>
      </c>
      <c r="I181" s="11" t="s">
        <v>21</v>
      </c>
      <c r="J181" s="12"/>
      <c r="K181" s="12"/>
      <c r="L181" s="13"/>
      <c r="M181" s="13"/>
      <c r="N181" s="13"/>
      <c r="O181" s="13"/>
      <c r="P181" s="14"/>
      <c r="Q181" s="14"/>
      <c r="R181" s="23" t="s">
        <v>21</v>
      </c>
      <c r="S181" s="15"/>
      <c r="T181" s="15"/>
      <c r="U181" s="16"/>
      <c r="V181" s="16"/>
      <c r="W181" s="16"/>
      <c r="X181" s="16"/>
      <c r="Y181" s="16"/>
      <c r="Z181" s="16"/>
      <c r="AA181" s="7"/>
    </row>
    <row r="182" spans="1:27" ht="14.25" x14ac:dyDescent="0.2">
      <c r="A182" s="8"/>
      <c r="B182" s="8" t="s">
        <v>393</v>
      </c>
      <c r="C182" s="8" t="s">
        <v>394</v>
      </c>
      <c r="D182" s="8">
        <v>2019</v>
      </c>
      <c r="E182" s="8"/>
      <c r="F182" s="25" t="str">
        <f>HYPERLINK("https://leicester.figshare.com/articles/Innovations_in_model-based_software_and_systems_engineering/10203941")</f>
        <v>https://leicester.figshare.com/articles/Innovations_in_model-based_software_and_systems_engineering/10203941</v>
      </c>
      <c r="G182" s="10"/>
      <c r="H182" s="19" t="str">
        <f t="shared" si="4"/>
        <v>NO</v>
      </c>
      <c r="I182" s="11" t="s">
        <v>21</v>
      </c>
      <c r="J182" s="12"/>
      <c r="K182" s="12"/>
      <c r="L182" s="13"/>
      <c r="M182" s="13"/>
      <c r="N182" s="13"/>
      <c r="O182" s="13"/>
      <c r="P182" s="14"/>
      <c r="Q182" s="14"/>
      <c r="R182" s="27" t="s">
        <v>21</v>
      </c>
      <c r="S182" s="15"/>
      <c r="T182" s="15"/>
      <c r="U182" s="16"/>
      <c r="V182" s="16"/>
      <c r="W182" s="16"/>
      <c r="X182" s="16"/>
      <c r="Y182" s="16"/>
      <c r="Z182" s="16"/>
      <c r="AA182" s="7"/>
    </row>
    <row r="183" spans="1:27" ht="14.25" x14ac:dyDescent="0.2">
      <c r="A183" s="8"/>
      <c r="B183" s="8" t="s">
        <v>395</v>
      </c>
      <c r="C183" s="8" t="s">
        <v>396</v>
      </c>
      <c r="D183" s="8">
        <v>2017</v>
      </c>
      <c r="E183" s="8"/>
      <c r="F183" s="25" t="str">
        <f>HYPERLINK("https://se-rwth.de/publications/Modeling-Robotics-Tasks-for-Better-Separation-of-Concerns-Platform-Independence-and-Reuse.pdf")</f>
        <v>https://se-rwth.de/publications/Modeling-Robotics-Tasks-for-Better-Separation-of-Concerns-Platform-Independence-and-Reuse.pdf</v>
      </c>
      <c r="G183" s="10"/>
      <c r="H183" s="19" t="str">
        <f t="shared" ref="H183:H214" si="5">IF(I183=R183,I183,IF(AND(I183="YES",R183="MAYBE"),"YES",IF(AND(I183="MAYBE",R183="YES"),"YES",IF(OR(AND(I183="NO",R183="YES"),AND(I183="YES",R183="NO")),"MAYBE","NO"))))</f>
        <v>NO</v>
      </c>
      <c r="I183" s="11" t="s">
        <v>21</v>
      </c>
      <c r="J183" s="12"/>
      <c r="K183" s="12"/>
      <c r="L183" s="13"/>
      <c r="M183" s="13"/>
      <c r="N183" s="13"/>
      <c r="O183" s="13"/>
      <c r="P183" s="14"/>
      <c r="Q183" s="14"/>
      <c r="R183" s="23" t="s">
        <v>21</v>
      </c>
      <c r="S183" s="15"/>
      <c r="T183" s="15"/>
      <c r="U183" s="16"/>
      <c r="V183" s="16"/>
      <c r="W183" s="16"/>
      <c r="X183" s="16"/>
      <c r="Y183" s="16"/>
      <c r="Z183" s="16"/>
      <c r="AA183" s="7"/>
    </row>
    <row r="184" spans="1:27" ht="14.25" x14ac:dyDescent="0.2">
      <c r="A184" s="8"/>
      <c r="B184" s="8" t="s">
        <v>397</v>
      </c>
      <c r="C184" s="8" t="s">
        <v>398</v>
      </c>
      <c r="D184" s="8">
        <v>2018</v>
      </c>
      <c r="E184" s="8"/>
      <c r="F184" s="25" t="str">
        <f>HYPERLINK("https://link.springer.com/chapter/10.1007/978-3-319-95246-8_23")</f>
        <v>https://link.springer.com/chapter/10.1007/978-3-319-95246-8_23</v>
      </c>
      <c r="G184" s="10"/>
      <c r="H184" s="19" t="str">
        <f t="shared" si="5"/>
        <v>NO</v>
      </c>
      <c r="I184" s="11" t="s">
        <v>21</v>
      </c>
      <c r="J184" s="12"/>
      <c r="K184" s="12"/>
      <c r="L184" s="13"/>
      <c r="M184" s="13"/>
      <c r="N184" s="13"/>
      <c r="O184" s="13"/>
      <c r="P184" s="14"/>
      <c r="Q184" s="14"/>
      <c r="R184" s="23" t="s">
        <v>21</v>
      </c>
      <c r="S184" s="15"/>
      <c r="T184" s="15"/>
      <c r="U184" s="16"/>
      <c r="V184" s="16"/>
      <c r="W184" s="16"/>
      <c r="X184" s="16"/>
      <c r="Y184" s="16"/>
      <c r="Z184" s="16"/>
      <c r="AA184" s="7"/>
    </row>
    <row r="185" spans="1:27" ht="14.25" x14ac:dyDescent="0.2">
      <c r="A185" s="8"/>
      <c r="B185" s="8" t="s">
        <v>399</v>
      </c>
      <c r="C185" s="8" t="s">
        <v>400</v>
      </c>
      <c r="D185" s="8">
        <v>2017</v>
      </c>
      <c r="E185" s="8"/>
      <c r="F185" s="25" t="str">
        <f>HYPERLINK("http://www.se-rwth.de/publications/Investigating-the-Effects-of-Integrating-Handcrafted-Code-in-Model-Driven-Engineering.pdf")</f>
        <v>http://www.se-rwth.de/publications/Investigating-the-Effects-of-Integrating-Handcrafted-Code-in-Model-Driven-Engineering.pdf</v>
      </c>
      <c r="G185" s="10"/>
      <c r="H185" s="19" t="str">
        <f t="shared" si="5"/>
        <v>NO</v>
      </c>
      <c r="I185" s="11" t="s">
        <v>21</v>
      </c>
      <c r="J185" s="12"/>
      <c r="K185" s="12"/>
      <c r="L185" s="13"/>
      <c r="M185" s="13"/>
      <c r="N185" s="13"/>
      <c r="O185" s="13"/>
      <c r="P185" s="14"/>
      <c r="Q185" s="14"/>
      <c r="R185" s="23" t="s">
        <v>21</v>
      </c>
      <c r="S185" s="15"/>
      <c r="T185" s="15"/>
      <c r="U185" s="16"/>
      <c r="V185" s="16"/>
      <c r="W185" s="16"/>
      <c r="X185" s="16"/>
      <c r="Y185" s="16"/>
      <c r="Z185" s="16"/>
      <c r="AA185" s="7"/>
    </row>
    <row r="186" spans="1:27" ht="14.25" x14ac:dyDescent="0.2">
      <c r="A186" s="8"/>
      <c r="B186" s="8" t="s">
        <v>401</v>
      </c>
      <c r="C186" s="8" t="s">
        <v>402</v>
      </c>
      <c r="D186" s="8">
        <v>2017</v>
      </c>
      <c r="E186" s="8"/>
      <c r="F186" s="25" t="str">
        <f>HYPERLINK("http://ftp.informatik.rwth-aachen.de/Publications/AIB/2017/2017-06.pdf")</f>
        <v>http://ftp.informatik.rwth-aachen.de/Publications/AIB/2017/2017-06.pdf</v>
      </c>
      <c r="G186" s="10"/>
      <c r="H186" s="19" t="str">
        <f t="shared" si="5"/>
        <v>NO</v>
      </c>
      <c r="I186" s="11" t="s">
        <v>21</v>
      </c>
      <c r="J186" s="12"/>
      <c r="K186" s="12"/>
      <c r="L186" s="13"/>
      <c r="M186" s="13"/>
      <c r="N186" s="13"/>
      <c r="O186" s="13"/>
      <c r="P186" s="14"/>
      <c r="Q186" s="14"/>
      <c r="R186" s="23" t="s">
        <v>21</v>
      </c>
      <c r="S186" s="15"/>
      <c r="T186" s="15"/>
      <c r="U186" s="16"/>
      <c r="V186" s="16"/>
      <c r="W186" s="16"/>
      <c r="X186" s="16"/>
      <c r="Y186" s="16"/>
      <c r="Z186" s="16"/>
      <c r="AA186" s="7"/>
    </row>
    <row r="187" spans="1:27" ht="14.25" x14ac:dyDescent="0.2">
      <c r="A187" s="8"/>
      <c r="B187" s="8" t="s">
        <v>403</v>
      </c>
      <c r="C187" s="8" t="s">
        <v>404</v>
      </c>
      <c r="D187" s="8">
        <v>2018</v>
      </c>
      <c r="E187" s="8"/>
      <c r="F187" s="25" t="str">
        <f>HYPERLINK("https://se-rwth.de/publications/Retrofitting-Type-safe-Interfaces-into-Template-based-Code-Generators.pdf")</f>
        <v>https://se-rwth.de/publications/Retrofitting-Type-safe-Interfaces-into-Template-based-Code-Generators.pdf</v>
      </c>
      <c r="G187" s="10"/>
      <c r="H187" s="19" t="str">
        <f t="shared" si="5"/>
        <v>NO</v>
      </c>
      <c r="I187" s="11" t="s">
        <v>21</v>
      </c>
      <c r="J187" s="12"/>
      <c r="K187" s="12"/>
      <c r="L187" s="13"/>
      <c r="M187" s="13"/>
      <c r="N187" s="13"/>
      <c r="O187" s="13"/>
      <c r="P187" s="14"/>
      <c r="Q187" s="14"/>
      <c r="R187" s="23" t="s">
        <v>21</v>
      </c>
      <c r="S187" s="15"/>
      <c r="T187" s="15"/>
      <c r="U187" s="16"/>
      <c r="V187" s="16"/>
      <c r="W187" s="16"/>
      <c r="X187" s="16"/>
      <c r="Y187" s="16"/>
      <c r="Z187" s="16"/>
      <c r="AA187" s="7"/>
    </row>
    <row r="188" spans="1:27" ht="14.25" x14ac:dyDescent="0.2">
      <c r="A188" s="8"/>
      <c r="B188" s="8" t="s">
        <v>405</v>
      </c>
      <c r="C188" s="8" t="s">
        <v>406</v>
      </c>
      <c r="D188" s="8">
        <v>2012</v>
      </c>
      <c r="E188" s="8"/>
      <c r="F188" s="25" t="str">
        <f>HYPERLINK("https://link.springer.com/chapter/10.1007/978-3-642-38370-0_6")</f>
        <v>https://link.springer.com/chapter/10.1007/978-3-642-38370-0_6</v>
      </c>
      <c r="G188" s="10"/>
      <c r="H188" s="19" t="str">
        <f t="shared" si="5"/>
        <v>NO</v>
      </c>
      <c r="I188" s="11" t="s">
        <v>21</v>
      </c>
      <c r="J188" s="12"/>
      <c r="K188" s="12"/>
      <c r="L188" s="13"/>
      <c r="M188" s="13"/>
      <c r="N188" s="13"/>
      <c r="O188" s="13"/>
      <c r="P188" s="14"/>
      <c r="Q188" s="14"/>
      <c r="R188" s="23" t="s">
        <v>21</v>
      </c>
      <c r="S188" s="15"/>
      <c r="T188" s="15"/>
      <c r="U188" s="16"/>
      <c r="V188" s="16"/>
      <c r="W188" s="16"/>
      <c r="X188" s="16"/>
      <c r="Y188" s="16"/>
      <c r="Z188" s="16"/>
      <c r="AA188" s="7"/>
    </row>
    <row r="189" spans="1:27" ht="14.25" x14ac:dyDescent="0.2">
      <c r="A189" s="8"/>
      <c r="B189" s="8" t="s">
        <v>407</v>
      </c>
      <c r="C189" s="8" t="s">
        <v>408</v>
      </c>
      <c r="D189" s="8">
        <v>2017</v>
      </c>
      <c r="E189" s="8"/>
      <c r="F189" s="25" t="str">
        <f>HYPERLINK("https://ieeexplore.ieee.org/abstract/document/8227294/?casa_token=RPX-WVaMpcMAAAAA:yhnPAHSVnuJFIGXBfX3y58o_8E7XINylSX7FlIdE4fP99ylEPsbb98_wSfIFZ0cPwG4dGUSOAxfg")</f>
        <v>https://ieeexplore.ieee.org/abstract/document/8227294/?casa_token=RPX-WVaMpcMAAAAA:yhnPAHSVnuJFIGXBfX3y58o_8E7XINylSX7FlIdE4fP99ylEPsbb98_wSfIFZ0cPwG4dGUSOAxfg</v>
      </c>
      <c r="G189" s="10"/>
      <c r="H189" s="19" t="str">
        <f t="shared" si="5"/>
        <v>NO</v>
      </c>
      <c r="I189" s="11" t="s">
        <v>21</v>
      </c>
      <c r="J189" s="12"/>
      <c r="K189" s="12"/>
      <c r="L189" s="13"/>
      <c r="M189" s="13"/>
      <c r="N189" s="13"/>
      <c r="O189" s="13"/>
      <c r="P189" s="14"/>
      <c r="Q189" s="14"/>
      <c r="R189" s="23" t="s">
        <v>21</v>
      </c>
      <c r="S189" s="15"/>
      <c r="T189" s="15"/>
      <c r="U189" s="16"/>
      <c r="V189" s="16"/>
      <c r="W189" s="16"/>
      <c r="X189" s="16"/>
      <c r="Y189" s="16"/>
      <c r="Z189" s="16"/>
      <c r="AA189" s="7"/>
    </row>
    <row r="190" spans="1:27" ht="14.25" x14ac:dyDescent="0.2">
      <c r="A190" s="8"/>
      <c r="B190" s="8" t="s">
        <v>247</v>
      </c>
      <c r="C190" s="8" t="s">
        <v>409</v>
      </c>
      <c r="D190" s="8">
        <v>2015</v>
      </c>
      <c r="E190" s="8"/>
      <c r="F190" s="25" t="str">
        <f>HYPERLINK("https://dl.acm.org/doi/abs/10.1145/2814204.2814224?casa_token=69QmLPCmIsIAAAAA:ZvD-BzSGaIerHhg3AVRKokm8R-m2LR9pNQi3Z93tCYGB_ZJ9qnrslQ7R2Oy2C0jss0yUoza8cuxC404")</f>
        <v>https://dl.acm.org/doi/abs/10.1145/2814204.2814224?casa_token=69QmLPCmIsIAAAAA:ZvD-BzSGaIerHhg3AVRKokm8R-m2LR9pNQi3Z93tCYGB_ZJ9qnrslQ7R2Oy2C0jss0yUoza8cuxC404</v>
      </c>
      <c r="G190" s="10"/>
      <c r="H190" s="19" t="str">
        <f t="shared" si="5"/>
        <v>NO</v>
      </c>
      <c r="I190" s="11" t="s">
        <v>21</v>
      </c>
      <c r="J190" s="12"/>
      <c r="K190" s="12"/>
      <c r="L190" s="13"/>
      <c r="M190" s="13"/>
      <c r="N190" s="13"/>
      <c r="O190" s="13"/>
      <c r="P190" s="14"/>
      <c r="Q190" s="14"/>
      <c r="R190" s="23" t="s">
        <v>21</v>
      </c>
      <c r="S190" s="15"/>
      <c r="T190" s="15"/>
      <c r="U190" s="16"/>
      <c r="V190" s="16"/>
      <c r="W190" s="16"/>
      <c r="X190" s="16"/>
      <c r="Y190" s="16"/>
      <c r="Z190" s="16"/>
      <c r="AA190" s="7"/>
    </row>
    <row r="191" spans="1:27" ht="14.25" x14ac:dyDescent="0.2">
      <c r="A191" s="8"/>
      <c r="B191" s="8" t="s">
        <v>410</v>
      </c>
      <c r="C191" s="8" t="s">
        <v>411</v>
      </c>
      <c r="D191" s="8">
        <v>2013</v>
      </c>
      <c r="E191" s="8"/>
      <c r="F191" s="25" t="str">
        <f>HYPERLINK("https://search.proquest.com/openview/e0875be4b5bbf1856deef32f64e2d5d1/1?pq-origsite=gscholar&amp;cbl=60389")</f>
        <v>https://search.proquest.com/openview/e0875be4b5bbf1856deef32f64e2d5d1/1?pq-origsite=gscholar&amp;cbl=60389</v>
      </c>
      <c r="G191" s="10"/>
      <c r="H191" s="19" t="str">
        <f t="shared" si="5"/>
        <v>NO</v>
      </c>
      <c r="I191" s="11" t="s">
        <v>21</v>
      </c>
      <c r="J191" s="12"/>
      <c r="K191" s="12"/>
      <c r="L191" s="13"/>
      <c r="M191" s="13"/>
      <c r="N191" s="13"/>
      <c r="O191" s="13"/>
      <c r="P191" s="14"/>
      <c r="Q191" s="14"/>
      <c r="R191" s="23" t="s">
        <v>21</v>
      </c>
      <c r="S191" s="15"/>
      <c r="T191" s="15"/>
      <c r="U191" s="16"/>
      <c r="V191" s="16"/>
      <c r="W191" s="16"/>
      <c r="X191" s="16"/>
      <c r="Y191" s="16"/>
      <c r="Z191" s="16"/>
      <c r="AA191" s="7"/>
    </row>
    <row r="192" spans="1:27" ht="14.25" x14ac:dyDescent="0.2">
      <c r="A192" s="8"/>
      <c r="B192" s="8" t="s">
        <v>412</v>
      </c>
      <c r="C192" s="8" t="s">
        <v>413</v>
      </c>
      <c r="D192" s="8">
        <v>2014</v>
      </c>
      <c r="E192" s="8"/>
      <c r="F192" s="25" t="str">
        <f>HYPERLINK("https://ieeexplore.ieee.org/abstract/document/6787355/?casa_token=d9HptdWApxkAAAAA:fO4fdD5t4F1JWOUKerq-a6YpSbvAVLaZ3F-HUMl9ecnn6r-f4WYuRcPRxTGUNbTt5uOvnTtoRiKL")</f>
        <v>https://ieeexplore.ieee.org/abstract/document/6787355/?casa_token=d9HptdWApxkAAAAA:fO4fdD5t4F1JWOUKerq-a6YpSbvAVLaZ3F-HUMl9ecnn6r-f4WYuRcPRxTGUNbTt5uOvnTtoRiKL</v>
      </c>
      <c r="G192" s="10"/>
      <c r="H192" s="19" t="str">
        <f t="shared" si="5"/>
        <v>NO</v>
      </c>
      <c r="I192" s="11" t="s">
        <v>21</v>
      </c>
      <c r="J192" s="12"/>
      <c r="K192" s="12"/>
      <c r="L192" s="13"/>
      <c r="M192" s="13"/>
      <c r="N192" s="13"/>
      <c r="O192" s="13"/>
      <c r="P192" s="14"/>
      <c r="Q192" s="14"/>
      <c r="R192" s="23" t="s">
        <v>21</v>
      </c>
      <c r="S192" s="15"/>
      <c r="T192" s="15"/>
      <c r="U192" s="16"/>
      <c r="V192" s="16"/>
      <c r="W192" s="16"/>
      <c r="X192" s="16"/>
      <c r="Y192" s="16"/>
      <c r="Z192" s="16"/>
      <c r="AA192" s="7"/>
    </row>
    <row r="193" spans="1:27" ht="14.25" x14ac:dyDescent="0.2">
      <c r="A193" s="8"/>
      <c r="B193" s="8" t="s">
        <v>414</v>
      </c>
      <c r="C193" s="8" t="s">
        <v>415</v>
      </c>
      <c r="D193" s="8">
        <v>2020</v>
      </c>
      <c r="E193" s="8"/>
      <c r="F193" s="25" t="str">
        <f>HYPERLINK("https://arxiv.org/abs/2002.06187")</f>
        <v>https://arxiv.org/abs/2002.06187</v>
      </c>
      <c r="G193" s="10"/>
      <c r="H193" s="19" t="str">
        <f t="shared" si="5"/>
        <v>NO</v>
      </c>
      <c r="I193" s="11" t="s">
        <v>21</v>
      </c>
      <c r="J193" s="12"/>
      <c r="K193" s="12"/>
      <c r="L193" s="13"/>
      <c r="M193" s="13"/>
      <c r="N193" s="13"/>
      <c r="O193" s="13"/>
      <c r="P193" s="14"/>
      <c r="Q193" s="14"/>
      <c r="R193" s="26" t="s">
        <v>21</v>
      </c>
      <c r="S193" s="15"/>
      <c r="T193" s="15"/>
      <c r="U193" s="16"/>
      <c r="V193" s="16"/>
      <c r="W193" s="16"/>
      <c r="X193" s="16"/>
      <c r="Y193" s="16"/>
      <c r="Z193" s="16"/>
      <c r="AA193" s="7"/>
    </row>
    <row r="194" spans="1:27" ht="14.25" x14ac:dyDescent="0.2">
      <c r="A194" s="8"/>
      <c r="B194" s="8" t="s">
        <v>416</v>
      </c>
      <c r="C194" s="8" t="s">
        <v>417</v>
      </c>
      <c r="D194" s="8">
        <v>2015</v>
      </c>
      <c r="E194" s="22"/>
      <c r="F194" s="25" t="str">
        <f>HYPERLINK("https://dl.acm.org/doi/abs/10.1145/2846696.2846702?casa_token=RFR1z1KcKUUAAAAA:9PFDEgSoELIrJ5HD31F3PbEA_7Gh1IMk5AsVKILjjFL2bVkturo_rHFL6qi1d436Q_eYVMCbrWZDJk4")</f>
        <v>https://dl.acm.org/doi/abs/10.1145/2846696.2846702?casa_token=RFR1z1KcKUUAAAAA:9PFDEgSoELIrJ5HD31F3PbEA_7Gh1IMk5AsVKILjjFL2bVkturo_rHFL6qi1d436Q_eYVMCbrWZDJk4</v>
      </c>
      <c r="G194" s="10"/>
      <c r="H194" s="19" t="str">
        <f t="shared" si="5"/>
        <v>NO</v>
      </c>
      <c r="I194" s="11" t="s">
        <v>21</v>
      </c>
      <c r="J194" s="12"/>
      <c r="K194" s="12"/>
      <c r="L194" s="13"/>
      <c r="M194" s="13"/>
      <c r="N194" s="13"/>
      <c r="O194" s="13"/>
      <c r="P194" s="14"/>
      <c r="Q194" s="14"/>
      <c r="R194" s="23" t="s">
        <v>21</v>
      </c>
      <c r="S194" s="15"/>
      <c r="T194" s="15"/>
      <c r="U194" s="16"/>
      <c r="V194" s="16"/>
      <c r="W194" s="16"/>
      <c r="X194" s="16"/>
      <c r="Y194" s="16"/>
      <c r="Z194" s="16"/>
      <c r="AA194" s="7"/>
    </row>
    <row r="195" spans="1:27" ht="14.25" x14ac:dyDescent="0.2">
      <c r="A195" s="8"/>
      <c r="B195" s="8" t="s">
        <v>418</v>
      </c>
      <c r="C195" s="8" t="s">
        <v>419</v>
      </c>
      <c r="D195" s="8">
        <v>2016</v>
      </c>
      <c r="E195" s="8"/>
      <c r="F195" s="25" t="str">
        <f>HYPERLINK("https://hal.inria.fr/hal-01336940/")</f>
        <v>https://hal.inria.fr/hal-01336940/</v>
      </c>
      <c r="G195" s="10"/>
      <c r="H195" s="19" t="str">
        <f t="shared" si="5"/>
        <v>NO</v>
      </c>
      <c r="I195" s="11" t="s">
        <v>21</v>
      </c>
      <c r="J195" s="12"/>
      <c r="K195" s="12"/>
      <c r="L195" s="13"/>
      <c r="M195" s="13"/>
      <c r="N195" s="13"/>
      <c r="O195" s="13"/>
      <c r="P195" s="14"/>
      <c r="Q195" s="14"/>
      <c r="R195" s="23" t="s">
        <v>21</v>
      </c>
      <c r="S195" s="15"/>
      <c r="T195" s="15"/>
      <c r="U195" s="16"/>
      <c r="V195" s="16"/>
      <c r="W195" s="16"/>
      <c r="X195" s="16"/>
      <c r="Y195" s="16"/>
      <c r="Z195" s="16"/>
      <c r="AA195" s="7"/>
    </row>
    <row r="196" spans="1:27" ht="14.25" x14ac:dyDescent="0.2">
      <c r="A196" s="8"/>
      <c r="B196" s="8" t="s">
        <v>420</v>
      </c>
      <c r="C196" s="8" t="s">
        <v>421</v>
      </c>
      <c r="D196" s="8">
        <v>2014</v>
      </c>
      <c r="E196" s="8"/>
      <c r="F196" s="25" t="str">
        <f>HYPERLINK("http://www.se-rwth.de/phdtheses/Diss-Guelke-Erweiterung-des-Anforderungsmanagements-Fokus.pdf")</f>
        <v>http://www.se-rwth.de/phdtheses/Diss-Guelke-Erweiterung-des-Anforderungsmanagements-Fokus.pdf</v>
      </c>
      <c r="G196" s="10"/>
      <c r="H196" s="19" t="str">
        <f t="shared" si="5"/>
        <v>NO</v>
      </c>
      <c r="I196" s="11" t="s">
        <v>21</v>
      </c>
      <c r="J196" s="12"/>
      <c r="K196" s="12"/>
      <c r="L196" s="13"/>
      <c r="M196" s="13"/>
      <c r="N196" s="13"/>
      <c r="O196" s="13"/>
      <c r="P196" s="14"/>
      <c r="Q196" s="14"/>
      <c r="R196" s="23" t="s">
        <v>21</v>
      </c>
      <c r="S196" s="15"/>
      <c r="T196" s="15"/>
      <c r="U196" s="16"/>
      <c r="V196" s="16"/>
      <c r="W196" s="16"/>
      <c r="X196" s="16"/>
      <c r="Y196" s="16"/>
      <c r="Z196" s="16"/>
      <c r="AA196" s="7"/>
    </row>
    <row r="197" spans="1:27" ht="14.25" x14ac:dyDescent="0.2">
      <c r="A197" s="8"/>
      <c r="B197" s="8" t="s">
        <v>422</v>
      </c>
      <c r="C197" s="8" t="s">
        <v>423</v>
      </c>
      <c r="D197" s="8">
        <v>2014</v>
      </c>
      <c r="E197" s="8"/>
      <c r="F197" s="25" t="str">
        <f>HYPERLINK("https://hal.inria.fr/hal-01077834/")</f>
        <v>https://hal.inria.fr/hal-01077834/</v>
      </c>
      <c r="G197" s="10"/>
      <c r="H197" s="19" t="str">
        <f t="shared" si="5"/>
        <v>NO</v>
      </c>
      <c r="I197" s="11" t="s">
        <v>21</v>
      </c>
      <c r="J197" s="12"/>
      <c r="K197" s="12"/>
      <c r="L197" s="13"/>
      <c r="M197" s="13"/>
      <c r="N197" s="13"/>
      <c r="O197" s="13"/>
      <c r="P197" s="14"/>
      <c r="Q197" s="14"/>
      <c r="R197" s="23" t="s">
        <v>21</v>
      </c>
      <c r="S197" s="15"/>
      <c r="T197" s="15"/>
      <c r="U197" s="16"/>
      <c r="V197" s="16"/>
      <c r="W197" s="16"/>
      <c r="X197" s="16"/>
      <c r="Y197" s="16"/>
      <c r="Z197" s="16"/>
      <c r="AA197" s="7"/>
    </row>
    <row r="198" spans="1:27" ht="14.25" x14ac:dyDescent="0.2">
      <c r="A198" s="8"/>
      <c r="B198" s="8" t="s">
        <v>424</v>
      </c>
      <c r="C198" s="8" t="s">
        <v>425</v>
      </c>
      <c r="D198" s="8">
        <v>2013</v>
      </c>
      <c r="E198" s="8"/>
      <c r="F198" s="25" t="str">
        <f>HYPERLINK("http://fikovnik.net/Actress/FCDL.pdf")</f>
        <v>http://fikovnik.net/Actress/FCDL.pdf</v>
      </c>
      <c r="G198" s="10"/>
      <c r="H198" s="19" t="str">
        <f t="shared" si="5"/>
        <v>NO</v>
      </c>
      <c r="I198" s="11" t="s">
        <v>21</v>
      </c>
      <c r="J198" s="12"/>
      <c r="K198" s="12"/>
      <c r="L198" s="13"/>
      <c r="M198" s="13"/>
      <c r="N198" s="13"/>
      <c r="O198" s="13"/>
      <c r="P198" s="14"/>
      <c r="Q198" s="14"/>
      <c r="R198" s="23" t="s">
        <v>21</v>
      </c>
      <c r="S198" s="15"/>
      <c r="T198" s="15"/>
      <c r="U198" s="16"/>
      <c r="V198" s="16"/>
      <c r="W198" s="16"/>
      <c r="X198" s="16"/>
      <c r="Y198" s="16"/>
      <c r="Z198" s="16"/>
      <c r="AA198" s="7"/>
    </row>
    <row r="199" spans="1:27" ht="14.25" x14ac:dyDescent="0.2">
      <c r="A199" s="8"/>
      <c r="B199" s="8" t="s">
        <v>426</v>
      </c>
      <c r="C199" s="8" t="s">
        <v>427</v>
      </c>
      <c r="D199" s="8">
        <v>2014</v>
      </c>
      <c r="E199" s="8"/>
      <c r="F199" s="25" t="str">
        <f>HYPERLINK("https://arxiv.org/abs/1412.2963")</f>
        <v>https://arxiv.org/abs/1412.2963</v>
      </c>
      <c r="G199" s="10"/>
      <c r="H199" s="19" t="str">
        <f t="shared" si="5"/>
        <v>NO</v>
      </c>
      <c r="I199" s="11" t="s">
        <v>21</v>
      </c>
      <c r="J199" s="12"/>
      <c r="K199" s="12"/>
      <c r="L199" s="13"/>
      <c r="M199" s="13"/>
      <c r="N199" s="13"/>
      <c r="O199" s="13"/>
      <c r="P199" s="14"/>
      <c r="Q199" s="14"/>
      <c r="R199" s="23" t="s">
        <v>21</v>
      </c>
      <c r="S199" s="15"/>
      <c r="T199" s="15"/>
      <c r="U199" s="16"/>
      <c r="V199" s="16"/>
      <c r="W199" s="16"/>
      <c r="X199" s="16"/>
      <c r="Y199" s="16"/>
      <c r="Z199" s="16"/>
      <c r="AA199" s="7"/>
    </row>
    <row r="200" spans="1:27" ht="14.25" x14ac:dyDescent="0.2">
      <c r="A200" s="8"/>
      <c r="B200" s="8" t="s">
        <v>428</v>
      </c>
      <c r="C200" s="8" t="s">
        <v>429</v>
      </c>
      <c r="D200" s="8">
        <v>2018</v>
      </c>
      <c r="E200" s="8"/>
      <c r="F200" s="25" t="str">
        <f>HYPERLINK("https://dl.acm.org/doi/abs/10.1145/3276604.3276983?casa_token=Q2xycPYDqD4AAAAA:KjBk0A8huD1D8fEhoHu6bEAGKqHmaYfxriDSStIQ6UeV8f_T_S6aH38AIl6sQtQefklGnla07aYMUeE")</f>
        <v>https://dl.acm.org/doi/abs/10.1145/3276604.3276983?casa_token=Q2xycPYDqD4AAAAA:KjBk0A8huD1D8fEhoHu6bEAGKqHmaYfxriDSStIQ6UeV8f_T_S6aH38AIl6sQtQefklGnla07aYMUeE</v>
      </c>
      <c r="G200" s="10"/>
      <c r="H200" s="19" t="str">
        <f t="shared" si="5"/>
        <v>NO</v>
      </c>
      <c r="I200" s="11" t="s">
        <v>21</v>
      </c>
      <c r="J200" s="12"/>
      <c r="K200" s="12"/>
      <c r="L200" s="13"/>
      <c r="M200" s="13"/>
      <c r="N200" s="13"/>
      <c r="O200" s="13"/>
      <c r="P200" s="14"/>
      <c r="Q200" s="14"/>
      <c r="R200" s="23" t="s">
        <v>21</v>
      </c>
      <c r="S200" s="15"/>
      <c r="T200" s="15"/>
      <c r="U200" s="16"/>
      <c r="V200" s="16"/>
      <c r="W200" s="16"/>
      <c r="X200" s="16"/>
      <c r="Y200" s="16"/>
      <c r="Z200" s="16"/>
      <c r="AA200" s="7"/>
    </row>
    <row r="201" spans="1:27" ht="14.25" x14ac:dyDescent="0.2">
      <c r="A201" s="8"/>
      <c r="B201" s="8" t="s">
        <v>430</v>
      </c>
      <c r="C201" s="8" t="s">
        <v>431</v>
      </c>
      <c r="D201" s="8">
        <v>2016</v>
      </c>
      <c r="E201" s="8"/>
      <c r="F201" s="25" t="str">
        <f>HYPERLINK("https://tel.archives-ouvertes.fr/tel-01427187/")</f>
        <v>https://tel.archives-ouvertes.fr/tel-01427187/</v>
      </c>
      <c r="G201" s="10"/>
      <c r="H201" s="19" t="str">
        <f t="shared" si="5"/>
        <v>NO</v>
      </c>
      <c r="I201" s="11" t="s">
        <v>21</v>
      </c>
      <c r="J201" s="12"/>
      <c r="K201" s="12"/>
      <c r="L201" s="13"/>
      <c r="M201" s="13"/>
      <c r="N201" s="13"/>
      <c r="O201" s="13"/>
      <c r="P201" s="14"/>
      <c r="Q201" s="14"/>
      <c r="R201" s="23" t="s">
        <v>21</v>
      </c>
      <c r="S201" s="15"/>
      <c r="T201" s="15"/>
      <c r="U201" s="16"/>
      <c r="V201" s="16"/>
      <c r="W201" s="16"/>
      <c r="X201" s="16"/>
      <c r="Y201" s="16"/>
      <c r="Z201" s="16"/>
      <c r="AA201" s="7"/>
    </row>
    <row r="202" spans="1:27" ht="14.25" x14ac:dyDescent="0.2">
      <c r="A202" s="8"/>
      <c r="B202" s="8" t="s">
        <v>432</v>
      </c>
      <c r="C202" s="8" t="s">
        <v>433</v>
      </c>
      <c r="D202" s="8">
        <v>2013</v>
      </c>
      <c r="E202" s="8"/>
      <c r="F202" s="25" t="str">
        <f>HYPERLINK("https://www.cs.york.ac.uk/yds/yds2013Proceedings/YDS_2013_Proceddings.pdf#page=58")</f>
        <v>https://www.cs.york.ac.uk/yds/yds2013Proceedings/YDS_2013_Proceddings.pdf#page=58</v>
      </c>
      <c r="G202" s="10"/>
      <c r="H202" s="19" t="str">
        <f t="shared" si="5"/>
        <v>NO</v>
      </c>
      <c r="I202" s="11" t="s">
        <v>21</v>
      </c>
      <c r="J202" s="12"/>
      <c r="K202" s="12"/>
      <c r="L202" s="13"/>
      <c r="M202" s="13"/>
      <c r="N202" s="13"/>
      <c r="O202" s="13"/>
      <c r="P202" s="14"/>
      <c r="Q202" s="14"/>
      <c r="R202" s="23" t="s">
        <v>21</v>
      </c>
      <c r="S202" s="15"/>
      <c r="T202" s="15"/>
      <c r="U202" s="16"/>
      <c r="V202" s="16"/>
      <c r="W202" s="16"/>
      <c r="X202" s="16"/>
      <c r="Y202" s="16"/>
      <c r="Z202" s="16"/>
      <c r="AA202" s="7"/>
    </row>
    <row r="203" spans="1:27" ht="14.25" x14ac:dyDescent="0.2">
      <c r="A203" s="8"/>
      <c r="B203" s="8" t="s">
        <v>434</v>
      </c>
      <c r="C203" s="8" t="s">
        <v>435</v>
      </c>
      <c r="D203" s="8">
        <v>2018</v>
      </c>
      <c r="E203" s="8"/>
      <c r="F203" s="25" t="str">
        <f>HYPERLINK("https://link.springer.com/chapter/10.1007/978-3-030-11030-7_3")</f>
        <v>https://link.springer.com/chapter/10.1007/978-3-030-11030-7_3</v>
      </c>
      <c r="G203" s="10"/>
      <c r="H203" s="19" t="str">
        <f t="shared" si="5"/>
        <v>NO</v>
      </c>
      <c r="I203" s="11" t="s">
        <v>21</v>
      </c>
      <c r="J203" s="12"/>
      <c r="K203" s="12"/>
      <c r="L203" s="13"/>
      <c r="M203" s="13"/>
      <c r="N203" s="13"/>
      <c r="O203" s="13"/>
      <c r="P203" s="14"/>
      <c r="Q203" s="14"/>
      <c r="R203" s="23" t="s">
        <v>21</v>
      </c>
      <c r="S203" s="15"/>
      <c r="T203" s="15"/>
      <c r="U203" s="16"/>
      <c r="V203" s="16"/>
      <c r="W203" s="16"/>
      <c r="X203" s="16"/>
      <c r="Y203" s="16"/>
      <c r="Z203" s="16"/>
      <c r="AA203" s="7"/>
    </row>
    <row r="204" spans="1:27" ht="14.25" x14ac:dyDescent="0.2">
      <c r="A204" s="8"/>
      <c r="B204" s="8" t="s">
        <v>436</v>
      </c>
      <c r="C204" s="8" t="s">
        <v>437</v>
      </c>
      <c r="D204" s="8">
        <v>2014</v>
      </c>
      <c r="E204" s="8"/>
      <c r="F204" s="25" t="str">
        <f>HYPERLINK("https://arxiv.org/abs/1409.0416")</f>
        <v>https://arxiv.org/abs/1409.0416</v>
      </c>
      <c r="G204" s="10"/>
      <c r="H204" s="19" t="str">
        <f t="shared" si="5"/>
        <v>NO</v>
      </c>
      <c r="I204" s="11" t="s">
        <v>21</v>
      </c>
      <c r="J204" s="12"/>
      <c r="K204" s="12"/>
      <c r="L204" s="13"/>
      <c r="M204" s="13"/>
      <c r="N204" s="13"/>
      <c r="O204" s="13"/>
      <c r="P204" s="14"/>
      <c r="Q204" s="14"/>
      <c r="R204" s="23" t="s">
        <v>21</v>
      </c>
      <c r="S204" s="15"/>
      <c r="T204" s="15"/>
      <c r="U204" s="16"/>
      <c r="V204" s="16"/>
      <c r="W204" s="16"/>
      <c r="X204" s="16"/>
      <c r="Y204" s="16"/>
      <c r="Z204" s="16"/>
      <c r="AA204" s="7"/>
    </row>
    <row r="205" spans="1:27" ht="14.25" x14ac:dyDescent="0.2">
      <c r="A205" s="8"/>
      <c r="B205" s="8" t="s">
        <v>438</v>
      </c>
      <c r="C205" s="8" t="s">
        <v>439</v>
      </c>
      <c r="D205" s="8">
        <v>2015</v>
      </c>
      <c r="E205" s="8"/>
      <c r="F205" s="25" t="str">
        <f>HYPERLINK("https://link.springer.com/chapter/10.1007/978-3-319-27869-8_21")</f>
        <v>https://link.springer.com/chapter/10.1007/978-3-319-27869-8_21</v>
      </c>
      <c r="G205" s="10"/>
      <c r="H205" s="19" t="str">
        <f t="shared" si="5"/>
        <v>NO</v>
      </c>
      <c r="I205" s="11" t="s">
        <v>21</v>
      </c>
      <c r="J205" s="12"/>
      <c r="K205" s="12"/>
      <c r="L205" s="13"/>
      <c r="M205" s="13"/>
      <c r="N205" s="13"/>
      <c r="O205" s="13"/>
      <c r="P205" s="14"/>
      <c r="Q205" s="14"/>
      <c r="R205" s="23" t="s">
        <v>21</v>
      </c>
      <c r="S205" s="15"/>
      <c r="T205" s="15"/>
      <c r="U205" s="16"/>
      <c r="V205" s="16"/>
      <c r="W205" s="16"/>
      <c r="X205" s="16"/>
      <c r="Y205" s="16"/>
      <c r="Z205" s="16"/>
      <c r="AA205" s="7"/>
    </row>
    <row r="206" spans="1:27" ht="14.25" x14ac:dyDescent="0.2">
      <c r="A206" s="8"/>
      <c r="B206" s="8" t="s">
        <v>440</v>
      </c>
      <c r="C206" s="8" t="s">
        <v>441</v>
      </c>
      <c r="D206" s="8">
        <v>2019</v>
      </c>
      <c r="E206" s="8"/>
      <c r="F206" s="25" t="str">
        <f>HYPERLINK("https://dl.acm.org/doi/abs/10.1145/3336294.3336301?casa_token=fi6FoZX5eV8AAAAA:Ug5kn2jor-t03zgRNxRF96LcorhrFq804vb2l4BeTMqgaCjpbyhXe3x-A0JPVNtVAXAepoLtwLMBBlY")</f>
        <v>https://dl.acm.org/doi/abs/10.1145/3336294.3336301?casa_token=fi6FoZX5eV8AAAAA:Ug5kn2jor-t03zgRNxRF96LcorhrFq804vb2l4BeTMqgaCjpbyhXe3x-A0JPVNtVAXAepoLtwLMBBlY</v>
      </c>
      <c r="G206" s="10"/>
      <c r="H206" s="19" t="str">
        <f t="shared" si="5"/>
        <v>NO</v>
      </c>
      <c r="I206" s="11" t="s">
        <v>21</v>
      </c>
      <c r="J206" s="12"/>
      <c r="K206" s="12"/>
      <c r="L206" s="13"/>
      <c r="M206" s="13"/>
      <c r="N206" s="13"/>
      <c r="O206" s="13"/>
      <c r="P206" s="14"/>
      <c r="Q206" s="14"/>
      <c r="R206" s="23" t="s">
        <v>21</v>
      </c>
      <c r="S206" s="15"/>
      <c r="T206" s="15"/>
      <c r="U206" s="16"/>
      <c r="V206" s="16"/>
      <c r="W206" s="16"/>
      <c r="X206" s="16"/>
      <c r="Y206" s="16"/>
      <c r="Z206" s="16"/>
      <c r="AA206" s="7"/>
    </row>
    <row r="207" spans="1:27" ht="14.25" x14ac:dyDescent="0.2">
      <c r="A207" s="8"/>
      <c r="B207" s="8" t="s">
        <v>442</v>
      </c>
      <c r="C207" s="8" t="s">
        <v>443</v>
      </c>
      <c r="D207" s="8">
        <v>2019</v>
      </c>
      <c r="E207" s="8"/>
      <c r="F207" s="25" t="str">
        <f>HYPERLINK("https://ieeexplore.ieee.org/abstract/document/8904851/")</f>
        <v>https://ieeexplore.ieee.org/abstract/document/8904851/</v>
      </c>
      <c r="G207" s="10"/>
      <c r="H207" s="19" t="str">
        <f t="shared" si="5"/>
        <v>NO</v>
      </c>
      <c r="I207" s="11" t="s">
        <v>21</v>
      </c>
      <c r="J207" s="12"/>
      <c r="K207" s="12"/>
      <c r="L207" s="13"/>
      <c r="M207" s="13"/>
      <c r="N207" s="13"/>
      <c r="O207" s="13"/>
      <c r="P207" s="14"/>
      <c r="Q207" s="14"/>
      <c r="R207" s="23" t="s">
        <v>21</v>
      </c>
      <c r="S207" s="15"/>
      <c r="T207" s="15"/>
      <c r="U207" s="16"/>
      <c r="V207" s="16"/>
      <c r="W207" s="16"/>
      <c r="X207" s="16"/>
      <c r="Y207" s="16"/>
      <c r="Z207" s="16"/>
      <c r="AA207" s="7"/>
    </row>
    <row r="208" spans="1:27" ht="14.25" x14ac:dyDescent="0.2">
      <c r="A208" s="8"/>
      <c r="B208" s="8" t="s">
        <v>444</v>
      </c>
      <c r="C208" s="8" t="s">
        <v>445</v>
      </c>
      <c r="D208" s="8">
        <v>2018</v>
      </c>
      <c r="E208" s="8"/>
      <c r="F208" s="25" t="str">
        <f>HYPERLINK("https://ieeexplore.ieee.org/abstract/document/8596540/?casa_token=BbMlCfnMuVAAAAAA:XEKt0Ukox7hoX4kDOeAr7gHjKlo5aU-ajUPyxuYLXHE3FoKyxMjaaunah_-E7_sJZTn-Eb2VkIjT")</f>
        <v>https://ieeexplore.ieee.org/abstract/document/8596540/?casa_token=BbMlCfnMuVAAAAAA:XEKt0Ukox7hoX4kDOeAr7gHjKlo5aU-ajUPyxuYLXHE3FoKyxMjaaunah_-E7_sJZTn-Eb2VkIjT</v>
      </c>
      <c r="G208" s="10"/>
      <c r="H208" s="19" t="str">
        <f t="shared" si="5"/>
        <v>NO</v>
      </c>
      <c r="I208" s="11" t="s">
        <v>21</v>
      </c>
      <c r="J208" s="12"/>
      <c r="K208" s="12"/>
      <c r="L208" s="13"/>
      <c r="M208" s="13"/>
      <c r="N208" s="13"/>
      <c r="O208" s="13"/>
      <c r="P208" s="14"/>
      <c r="Q208" s="14"/>
      <c r="R208" s="23" t="s">
        <v>21</v>
      </c>
      <c r="S208" s="15"/>
      <c r="T208" s="15"/>
      <c r="U208" s="16"/>
      <c r="V208" s="16"/>
      <c r="W208" s="16"/>
      <c r="X208" s="16"/>
      <c r="Y208" s="16"/>
      <c r="Z208" s="16"/>
      <c r="AA208" s="7"/>
    </row>
    <row r="209" spans="1:27" ht="14.25" x14ac:dyDescent="0.2">
      <c r="A209" s="8"/>
      <c r="B209" s="8" t="s">
        <v>446</v>
      </c>
      <c r="C209" s="8" t="s">
        <v>447</v>
      </c>
      <c r="D209" s="8">
        <v>2018</v>
      </c>
      <c r="E209" s="8"/>
      <c r="F209" s="25" t="str">
        <f>HYPERLINK("https://www.se-rwth.de/publications/Shepherding-Model-Evolution-in-Model-Driven-Development.pdf")</f>
        <v>https://www.se-rwth.de/publications/Shepherding-Model-Evolution-in-Model-Driven-Development.pdf</v>
      </c>
      <c r="G209" s="10"/>
      <c r="H209" s="19" t="str">
        <f t="shared" si="5"/>
        <v>NO</v>
      </c>
      <c r="I209" s="11" t="s">
        <v>21</v>
      </c>
      <c r="J209" s="12"/>
      <c r="K209" s="12"/>
      <c r="L209" s="13"/>
      <c r="M209" s="13"/>
      <c r="N209" s="13"/>
      <c r="O209" s="13"/>
      <c r="P209" s="14"/>
      <c r="Q209" s="14"/>
      <c r="R209" s="23" t="s">
        <v>21</v>
      </c>
      <c r="S209" s="15"/>
      <c r="T209" s="15"/>
      <c r="U209" s="16"/>
      <c r="V209" s="16"/>
      <c r="W209" s="16"/>
      <c r="X209" s="16"/>
      <c r="Y209" s="16"/>
      <c r="Z209" s="16"/>
      <c r="AA209" s="7"/>
    </row>
    <row r="210" spans="1:27" ht="14.25" x14ac:dyDescent="0.2">
      <c r="A210" s="8"/>
      <c r="B210" s="8" t="s">
        <v>448</v>
      </c>
      <c r="C210" s="8" t="s">
        <v>449</v>
      </c>
      <c r="D210" s="8">
        <v>2020</v>
      </c>
      <c r="E210" s="8"/>
      <c r="F210" s="25" t="str">
        <f>HYPERLINK("https://dl.gi.de/handle/20.500.12116/31840")</f>
        <v>https://dl.gi.de/handle/20.500.12116/31840</v>
      </c>
      <c r="G210" s="10"/>
      <c r="H210" s="19" t="str">
        <f t="shared" si="5"/>
        <v>NO</v>
      </c>
      <c r="I210" s="11" t="s">
        <v>21</v>
      </c>
      <c r="J210" s="12"/>
      <c r="K210" s="12"/>
      <c r="L210" s="13"/>
      <c r="M210" s="13"/>
      <c r="N210" s="13"/>
      <c r="O210" s="13"/>
      <c r="P210" s="14"/>
      <c r="Q210" s="14"/>
      <c r="R210" s="23" t="s">
        <v>21</v>
      </c>
      <c r="S210" s="15"/>
      <c r="T210" s="15"/>
      <c r="U210" s="16"/>
      <c r="V210" s="16"/>
      <c r="W210" s="16"/>
      <c r="X210" s="16"/>
      <c r="Y210" s="16"/>
      <c r="Z210" s="16"/>
      <c r="AA210" s="7"/>
    </row>
    <row r="211" spans="1:27" ht="14.25" x14ac:dyDescent="0.2">
      <c r="A211" s="8"/>
      <c r="B211" s="8" t="s">
        <v>450</v>
      </c>
      <c r="C211" s="8" t="s">
        <v>451</v>
      </c>
      <c r="D211" s="8">
        <v>2016</v>
      </c>
      <c r="E211" s="8"/>
      <c r="F211" s="25" t="str">
        <f>HYPERLINK("https://sse-rwth.de/phdtheses/Diss-Rendel-Praktische-Ansaetzt-zur-Etablierung-einer-Software-Produktlinie-in-eine-bestehende-Mehr-Produkt-Entwicklung.pdf")</f>
        <v>https://sse-rwth.de/phdtheses/Diss-Rendel-Praktische-Ansaetzt-zur-Etablierung-einer-Software-Produktlinie-in-eine-bestehende-Mehr-Produkt-Entwicklung.pdf</v>
      </c>
      <c r="G211" s="10"/>
      <c r="H211" s="19" t="str">
        <f t="shared" si="5"/>
        <v>NO</v>
      </c>
      <c r="I211" s="11" t="s">
        <v>21</v>
      </c>
      <c r="J211" s="12"/>
      <c r="K211" s="12"/>
      <c r="L211" s="13"/>
      <c r="M211" s="13"/>
      <c r="N211" s="13"/>
      <c r="O211" s="13"/>
      <c r="P211" s="14"/>
      <c r="Q211" s="14"/>
      <c r="R211" s="23" t="s">
        <v>21</v>
      </c>
      <c r="S211" s="15"/>
      <c r="T211" s="15"/>
      <c r="U211" s="16"/>
      <c r="V211" s="16"/>
      <c r="W211" s="16"/>
      <c r="X211" s="16"/>
      <c r="Y211" s="16"/>
      <c r="Z211" s="16"/>
      <c r="AA211" s="7"/>
    </row>
    <row r="212" spans="1:27" ht="14.25" x14ac:dyDescent="0.2">
      <c r="A212" s="8"/>
      <c r="B212" s="8" t="s">
        <v>452</v>
      </c>
      <c r="C212" s="8" t="s">
        <v>453</v>
      </c>
      <c r="D212" s="8">
        <v>2021</v>
      </c>
      <c r="E212" s="8"/>
      <c r="F212" s="25" t="str">
        <f>HYPERLINK("https://opus4.kobv.de/opus4-haw/frontdoor/index/index/docId/801")</f>
        <v>https://opus4.kobv.de/opus4-haw/frontdoor/index/index/docId/801</v>
      </c>
      <c r="G212" s="10"/>
      <c r="H212" s="19" t="str">
        <f t="shared" si="5"/>
        <v>NO</v>
      </c>
      <c r="I212" s="11" t="s">
        <v>21</v>
      </c>
      <c r="J212" s="12"/>
      <c r="K212" s="12"/>
      <c r="L212" s="13"/>
      <c r="M212" s="13"/>
      <c r="N212" s="13"/>
      <c r="O212" s="13"/>
      <c r="P212" s="14"/>
      <c r="Q212" s="14"/>
      <c r="R212" s="26" t="s">
        <v>21</v>
      </c>
      <c r="S212" s="15"/>
      <c r="T212" s="15"/>
      <c r="U212" s="16"/>
      <c r="V212" s="16"/>
      <c r="W212" s="16"/>
      <c r="X212" s="16"/>
      <c r="Y212" s="16"/>
      <c r="Z212" s="16"/>
      <c r="AA212" s="7"/>
    </row>
    <row r="213" spans="1:27" ht="14.25" x14ac:dyDescent="0.2">
      <c r="A213" s="8"/>
      <c r="B213" s="8" t="s">
        <v>454</v>
      </c>
      <c r="C213" s="8" t="s">
        <v>455</v>
      </c>
      <c r="D213" s="8">
        <v>2020</v>
      </c>
      <c r="E213" s="8"/>
      <c r="F213" s="25" t="str">
        <f>HYPERLINK("http://rosdok.uni-rostock.de/resolve/id/rosdok_disshab_0000002465")</f>
        <v>http://rosdok.uni-rostock.de/resolve/id/rosdok_disshab_0000002465</v>
      </c>
      <c r="G213" s="10"/>
      <c r="H213" s="19" t="str">
        <f t="shared" si="5"/>
        <v>NO</v>
      </c>
      <c r="I213" s="11" t="s">
        <v>21</v>
      </c>
      <c r="J213" s="12"/>
      <c r="K213" s="12"/>
      <c r="L213" s="13"/>
      <c r="M213" s="13"/>
      <c r="N213" s="13"/>
      <c r="O213" s="13"/>
      <c r="P213" s="14"/>
      <c r="Q213" s="14"/>
      <c r="R213" s="23" t="s">
        <v>21</v>
      </c>
      <c r="S213" s="15"/>
      <c r="T213" s="15"/>
      <c r="U213" s="16"/>
      <c r="V213" s="16"/>
      <c r="W213" s="16"/>
      <c r="X213" s="16"/>
      <c r="Y213" s="16"/>
      <c r="Z213" s="16"/>
      <c r="AA213" s="7"/>
    </row>
    <row r="214" spans="1:27" ht="14.25" x14ac:dyDescent="0.2">
      <c r="A214" s="8"/>
      <c r="B214" s="8" t="s">
        <v>456</v>
      </c>
      <c r="C214" s="8" t="s">
        <v>457</v>
      </c>
      <c r="D214" s="8">
        <v>2015</v>
      </c>
      <c r="E214" s="8"/>
      <c r="F214" s="25" t="str">
        <f>HYPERLINK("https://link.springer.com/chapter/10.1007/978-3-662-43782-7_54")</f>
        <v>https://link.springer.com/chapter/10.1007/978-3-662-43782-7_54</v>
      </c>
      <c r="G214" s="10"/>
      <c r="H214" s="19" t="str">
        <f t="shared" si="5"/>
        <v>NO</v>
      </c>
      <c r="I214" s="11" t="s">
        <v>21</v>
      </c>
      <c r="J214" s="12"/>
      <c r="K214" s="12"/>
      <c r="L214" s="13"/>
      <c r="M214" s="13"/>
      <c r="N214" s="13"/>
      <c r="O214" s="13"/>
      <c r="P214" s="14"/>
      <c r="Q214" s="14"/>
      <c r="R214" s="26" t="s">
        <v>21</v>
      </c>
      <c r="S214" s="15"/>
      <c r="T214" s="15"/>
      <c r="U214" s="16"/>
      <c r="V214" s="16"/>
      <c r="W214" s="16"/>
      <c r="X214" s="16"/>
      <c r="Y214" s="16"/>
      <c r="Z214" s="16"/>
      <c r="AA214" s="7"/>
    </row>
    <row r="215" spans="1:27" ht="14.25" x14ac:dyDescent="0.2">
      <c r="A215" s="8"/>
      <c r="B215" s="8" t="s">
        <v>458</v>
      </c>
      <c r="C215" s="8" t="s">
        <v>459</v>
      </c>
      <c r="D215" s="8">
        <v>2020</v>
      </c>
      <c r="E215" s="8"/>
      <c r="F215" s="17" t="str">
        <f>HYPERLINK("https://link.springer.com/chapter/10.1007/978-3-030-42152-6_2")</f>
        <v>https://link.springer.com/chapter/10.1007/978-3-030-42152-6_2</v>
      </c>
      <c r="G215" s="10"/>
      <c r="H215" s="19" t="str">
        <f t="shared" ref="H215:H246" si="6">IF(I215=R215,I215,IF(AND(I215="YES",R215="MAYBE"),"YES",IF(AND(I215="MAYBE",R215="YES"),"YES",IF(OR(AND(I215="NO",R215="YES"),AND(I215="YES",R215="NO")),"MAYBE","NO"))))</f>
        <v>NO</v>
      </c>
      <c r="I215" s="11" t="s">
        <v>21</v>
      </c>
      <c r="J215" s="12"/>
      <c r="K215" s="12"/>
      <c r="L215" s="13"/>
      <c r="M215" s="13"/>
      <c r="N215" s="13"/>
      <c r="O215" s="13"/>
      <c r="P215" s="14"/>
      <c r="Q215" s="14"/>
      <c r="R215" s="27" t="s">
        <v>21</v>
      </c>
      <c r="S215" s="15"/>
      <c r="T215" s="15"/>
      <c r="U215" s="16"/>
      <c r="V215" s="16"/>
      <c r="W215" s="16"/>
      <c r="X215" s="16"/>
      <c r="Y215" s="16"/>
      <c r="Z215" s="16"/>
      <c r="AA215" s="7"/>
    </row>
    <row r="216" spans="1:27" ht="14.25" x14ac:dyDescent="0.2">
      <c r="A216" s="8"/>
      <c r="B216" s="8" t="s">
        <v>460</v>
      </c>
      <c r="C216" s="8" t="s">
        <v>461</v>
      </c>
      <c r="D216" s="8">
        <v>2016</v>
      </c>
      <c r="E216" s="8"/>
      <c r="F216" s="25" t="str">
        <f>HYPERLINK("https://dl.gi.de/bitstream/handle/20.500.12116/827/lni-p-254-komplett.pdf?sequence=1")</f>
        <v>https://dl.gi.de/bitstream/handle/20.500.12116/827/lni-p-254-komplett.pdf?sequence=1</v>
      </c>
      <c r="G216" s="10"/>
      <c r="H216" s="19" t="str">
        <f t="shared" si="6"/>
        <v>NO</v>
      </c>
      <c r="I216" s="11" t="s">
        <v>21</v>
      </c>
      <c r="J216" s="12"/>
      <c r="K216" s="12"/>
      <c r="L216" s="13"/>
      <c r="M216" s="13"/>
      <c r="N216" s="13"/>
      <c r="O216" s="13"/>
      <c r="P216" s="14"/>
      <c r="Q216" s="14"/>
      <c r="R216" s="23" t="s">
        <v>21</v>
      </c>
      <c r="S216" s="15"/>
      <c r="T216" s="15"/>
      <c r="U216" s="16"/>
      <c r="V216" s="16"/>
      <c r="W216" s="16"/>
      <c r="X216" s="16"/>
      <c r="Y216" s="16"/>
      <c r="Z216" s="16"/>
      <c r="AA216" s="7"/>
    </row>
    <row r="217" spans="1:27" ht="14.25" x14ac:dyDescent="0.2">
      <c r="A217" s="8"/>
      <c r="B217" s="8" t="s">
        <v>462</v>
      </c>
      <c r="C217" s="8" t="s">
        <v>463</v>
      </c>
      <c r="D217" s="8">
        <v>2017</v>
      </c>
      <c r="E217" s="8"/>
      <c r="F217" s="25" t="str">
        <f>HYPERLINK("http://se-rwth.de/publications/Improving-Reuse-in-Architecture-Modeling-with-Higher-Order-Components.pdf")</f>
        <v>http://se-rwth.de/publications/Improving-Reuse-in-Architecture-Modeling-with-Higher-Order-Components.pdf</v>
      </c>
      <c r="G217" s="10"/>
      <c r="H217" s="19" t="str">
        <f t="shared" si="6"/>
        <v>NO</v>
      </c>
      <c r="I217" s="11" t="s">
        <v>21</v>
      </c>
      <c r="J217" s="12"/>
      <c r="K217" s="12"/>
      <c r="L217" s="13"/>
      <c r="M217" s="13"/>
      <c r="N217" s="13"/>
      <c r="O217" s="13"/>
      <c r="P217" s="14"/>
      <c r="Q217" s="14"/>
      <c r="R217" s="23" t="s">
        <v>21</v>
      </c>
      <c r="S217" s="15"/>
      <c r="T217" s="15"/>
      <c r="U217" s="16"/>
      <c r="V217" s="16"/>
      <c r="W217" s="16"/>
      <c r="X217" s="16"/>
      <c r="Y217" s="16"/>
      <c r="Z217" s="16"/>
      <c r="AA217" s="7"/>
    </row>
    <row r="218" spans="1:27" ht="14.25" x14ac:dyDescent="0.2">
      <c r="A218" s="8"/>
      <c r="B218" s="8" t="s">
        <v>464</v>
      </c>
      <c r="C218" s="8" t="s">
        <v>465</v>
      </c>
      <c r="D218" s="8"/>
      <c r="E218" s="8"/>
      <c r="F218" s="25" t="str">
        <f>HYPERLINK("https://se-rwth.de/phdtheses/Diss-Roth-Adaptable-Code-Generation-of-Consistent-and-Customizable-Data-Centric-Applications-with-MontiDex.pdf")</f>
        <v>https://se-rwth.de/phdtheses/Diss-Roth-Adaptable-Code-Generation-of-Consistent-and-Customizable-Data-Centric-Applications-with-MontiDex.pdf</v>
      </c>
      <c r="G218" s="10"/>
      <c r="H218" s="19" t="str">
        <f t="shared" si="6"/>
        <v>NO</v>
      </c>
      <c r="I218" s="11" t="s">
        <v>21</v>
      </c>
      <c r="J218" s="12"/>
      <c r="K218" s="12"/>
      <c r="L218" s="13"/>
      <c r="M218" s="13"/>
      <c r="N218" s="13"/>
      <c r="O218" s="13"/>
      <c r="P218" s="14"/>
      <c r="Q218" s="14"/>
      <c r="R218" s="23" t="s">
        <v>21</v>
      </c>
      <c r="S218" s="15"/>
      <c r="T218" s="15"/>
      <c r="U218" s="16"/>
      <c r="V218" s="16"/>
      <c r="W218" s="16"/>
      <c r="X218" s="16"/>
      <c r="Y218" s="16"/>
      <c r="Z218" s="16"/>
      <c r="AA218" s="7"/>
    </row>
    <row r="219" spans="1:27" ht="14.25" x14ac:dyDescent="0.2">
      <c r="A219" s="8"/>
      <c r="B219" s="8" t="s">
        <v>444</v>
      </c>
      <c r="C219" s="8" t="s">
        <v>466</v>
      </c>
      <c r="D219" s="8">
        <v>2018</v>
      </c>
      <c r="E219" s="8"/>
      <c r="F219" s="25" t="str">
        <f>HYPERLINK("https://ieeexplore.ieee.org/abstract/document/8612865/?casa_token=7CUfmx7AxygAAAAA:zgwAY62CpsWahbkcQHdHlREZYoETgJjRmIpTq6nxyxJQjjsVuVeioUOdnNoHKNu5kXcecWtKGeR8")</f>
        <v>https://ieeexplore.ieee.org/abstract/document/8612865/?casa_token=7CUfmx7AxygAAAAA:zgwAY62CpsWahbkcQHdHlREZYoETgJjRmIpTq6nxyxJQjjsVuVeioUOdnNoHKNu5kXcecWtKGeR8</v>
      </c>
      <c r="G219" s="10"/>
      <c r="H219" s="19" t="str">
        <f t="shared" si="6"/>
        <v>NO</v>
      </c>
      <c r="I219" s="11" t="s">
        <v>21</v>
      </c>
      <c r="J219" s="12"/>
      <c r="K219" s="12"/>
      <c r="L219" s="13"/>
      <c r="M219" s="13"/>
      <c r="N219" s="13"/>
      <c r="O219" s="13"/>
      <c r="P219" s="14"/>
      <c r="Q219" s="14"/>
      <c r="R219" s="23" t="s">
        <v>21</v>
      </c>
      <c r="S219" s="15"/>
      <c r="T219" s="15"/>
      <c r="U219" s="16"/>
      <c r="V219" s="16"/>
      <c r="W219" s="16"/>
      <c r="X219" s="16"/>
      <c r="Y219" s="16"/>
      <c r="Z219" s="16"/>
      <c r="AA219" s="7"/>
    </row>
    <row r="220" spans="1:27" ht="14.25" x14ac:dyDescent="0.2">
      <c r="A220" s="8"/>
      <c r="B220" s="8" t="s">
        <v>467</v>
      </c>
      <c r="C220" s="8" t="s">
        <v>468</v>
      </c>
      <c r="D220" s="8">
        <v>2012</v>
      </c>
      <c r="E220" s="22"/>
      <c r="F220" s="25" t="str">
        <f>HYPERLINK("http://informatik.uni-kiel.de/~mh/publications/papers/GPCE12.pdf")</f>
        <v>http://informatik.uni-kiel.de/~mh/publications/papers/GPCE12.pdf</v>
      </c>
      <c r="G220" s="10"/>
      <c r="H220" s="19" t="str">
        <f t="shared" si="6"/>
        <v>NO</v>
      </c>
      <c r="I220" s="11" t="s">
        <v>21</v>
      </c>
      <c r="J220" s="12"/>
      <c r="K220" s="12"/>
      <c r="L220" s="13"/>
      <c r="M220" s="13"/>
      <c r="N220" s="13"/>
      <c r="O220" s="13"/>
      <c r="P220" s="14"/>
      <c r="Q220" s="14"/>
      <c r="R220" s="23" t="s">
        <v>21</v>
      </c>
      <c r="S220" s="15"/>
      <c r="T220" s="15"/>
      <c r="U220" s="16"/>
      <c r="V220" s="16"/>
      <c r="W220" s="16"/>
      <c r="X220" s="16"/>
      <c r="Y220" s="16"/>
      <c r="Z220" s="16"/>
      <c r="AA220" s="7"/>
    </row>
    <row r="221" spans="1:27" ht="14.25" x14ac:dyDescent="0.2">
      <c r="A221" s="8"/>
      <c r="B221" s="8" t="s">
        <v>376</v>
      </c>
      <c r="C221" s="8" t="s">
        <v>469</v>
      </c>
      <c r="D221" s="8">
        <v>2018</v>
      </c>
      <c r="E221" s="8"/>
      <c r="F221" s="25" t="str">
        <f>HYPERLINK("https://d-nb.info/120739100X/34#page=419")</f>
        <v>https://d-nb.info/120739100X/34#page=419</v>
      </c>
      <c r="G221" s="10"/>
      <c r="H221" s="19" t="str">
        <f t="shared" si="6"/>
        <v>NO</v>
      </c>
      <c r="I221" s="11" t="s">
        <v>21</v>
      </c>
      <c r="J221" s="12"/>
      <c r="K221" s="12"/>
      <c r="L221" s="13"/>
      <c r="M221" s="13"/>
      <c r="N221" s="13"/>
      <c r="O221" s="13"/>
      <c r="P221" s="14"/>
      <c r="Q221" s="14"/>
      <c r="R221" s="23" t="s">
        <v>21</v>
      </c>
      <c r="S221" s="15"/>
      <c r="T221" s="15"/>
      <c r="U221" s="16"/>
      <c r="V221" s="16"/>
      <c r="W221" s="16"/>
      <c r="X221" s="16"/>
      <c r="Y221" s="16"/>
      <c r="Z221" s="16"/>
      <c r="AA221" s="7"/>
    </row>
    <row r="222" spans="1:27" ht="14.25" x14ac:dyDescent="0.2">
      <c r="A222" s="8"/>
      <c r="B222" s="8" t="s">
        <v>470</v>
      </c>
      <c r="C222" s="8" t="s">
        <v>471</v>
      </c>
      <c r="D222" s="8">
        <v>2015</v>
      </c>
      <c r="E222" s="8"/>
      <c r="F222" s="25" t="str">
        <f>HYPERLINK("https://air.unimi.it/handle/2434/263620")</f>
        <v>https://air.unimi.it/handle/2434/263620</v>
      </c>
      <c r="G222" s="10"/>
      <c r="H222" s="19" t="str">
        <f t="shared" si="6"/>
        <v>NO</v>
      </c>
      <c r="I222" s="11" t="s">
        <v>21</v>
      </c>
      <c r="J222" s="12"/>
      <c r="K222" s="12"/>
      <c r="L222" s="13"/>
      <c r="M222" s="13"/>
      <c r="N222" s="13"/>
      <c r="O222" s="13"/>
      <c r="P222" s="14"/>
      <c r="Q222" s="14"/>
      <c r="R222" s="23" t="s">
        <v>21</v>
      </c>
      <c r="S222" s="15"/>
      <c r="T222" s="15"/>
      <c r="U222" s="16"/>
      <c r="V222" s="16"/>
      <c r="W222" s="16"/>
      <c r="X222" s="16"/>
      <c r="Y222" s="16"/>
      <c r="Z222" s="16"/>
      <c r="AA222" s="7"/>
    </row>
    <row r="223" spans="1:27" ht="14.25" x14ac:dyDescent="0.2">
      <c r="A223" s="8"/>
      <c r="B223" s="8" t="s">
        <v>472</v>
      </c>
      <c r="C223" s="8" t="s">
        <v>473</v>
      </c>
      <c r="D223" s="8">
        <v>2015</v>
      </c>
      <c r="E223" s="8"/>
      <c r="F223" s="25" t="str">
        <f>HYPERLINK("http://adolfosbh.co/publications/PAME2015_AutoGenerationOfModelVisitorFrameworks.pdf")</f>
        <v>http://adolfosbh.co/publications/PAME2015_AutoGenerationOfModelVisitorFrameworks.pdf</v>
      </c>
      <c r="G223" s="10"/>
      <c r="H223" s="19" t="str">
        <f t="shared" si="6"/>
        <v>NO</v>
      </c>
      <c r="I223" s="11" t="s">
        <v>21</v>
      </c>
      <c r="J223" s="12"/>
      <c r="K223" s="12"/>
      <c r="L223" s="13"/>
      <c r="M223" s="13"/>
      <c r="N223" s="13"/>
      <c r="O223" s="13"/>
      <c r="P223" s="14"/>
      <c r="Q223" s="14"/>
      <c r="R223" s="23" t="s">
        <v>21</v>
      </c>
      <c r="S223" s="15"/>
      <c r="T223" s="15"/>
      <c r="U223" s="16"/>
      <c r="V223" s="16"/>
      <c r="W223" s="16"/>
      <c r="X223" s="16"/>
      <c r="Y223" s="16"/>
      <c r="Z223" s="16"/>
      <c r="AA223" s="7"/>
    </row>
    <row r="224" spans="1:27" ht="14.25" x14ac:dyDescent="0.2">
      <c r="A224" s="8"/>
      <c r="B224" s="8" t="s">
        <v>474</v>
      </c>
      <c r="C224" s="8" t="s">
        <v>475</v>
      </c>
      <c r="D224" s="8">
        <v>2016</v>
      </c>
      <c r="E224" s="8"/>
      <c r="F224" s="25" t="str">
        <f>HYPERLINK("https://repositum.tuwien.at/handle/20.500.12708/2454")</f>
        <v>https://repositum.tuwien.at/handle/20.500.12708/2454</v>
      </c>
      <c r="G224" s="10"/>
      <c r="H224" s="19" t="str">
        <f t="shared" si="6"/>
        <v>NO</v>
      </c>
      <c r="I224" s="11" t="s">
        <v>21</v>
      </c>
      <c r="J224" s="12"/>
      <c r="K224" s="12"/>
      <c r="L224" s="13"/>
      <c r="M224" s="13"/>
      <c r="N224" s="13"/>
      <c r="O224" s="13"/>
      <c r="P224" s="14"/>
      <c r="Q224" s="14"/>
      <c r="R224" s="26" t="s">
        <v>21</v>
      </c>
      <c r="S224" s="15"/>
      <c r="T224" s="15"/>
      <c r="U224" s="16"/>
      <c r="V224" s="16"/>
      <c r="W224" s="16"/>
      <c r="X224" s="16"/>
      <c r="Y224" s="16"/>
      <c r="Z224" s="16"/>
      <c r="AA224" s="7"/>
    </row>
    <row r="225" spans="1:27" ht="14.25" x14ac:dyDescent="0.2">
      <c r="A225" s="8"/>
      <c r="B225" s="8" t="s">
        <v>476</v>
      </c>
      <c r="C225" s="8" t="s">
        <v>477</v>
      </c>
      <c r="D225" s="8"/>
      <c r="E225" s="8"/>
      <c r="F225" s="25" t="str">
        <f>HYPERLINK("http://www.sse-rwth.de/publications/Towards-a-Sustainable-Artifact-Model-Artifacts-in-Generator-Based-Model-Driven-Projects.pdf")</f>
        <v>http://www.sse-rwth.de/publications/Towards-a-Sustainable-Artifact-Model-Artifacts-in-Generator-Based-Model-Driven-Projects.pdf</v>
      </c>
      <c r="G225" s="10"/>
      <c r="H225" s="19" t="str">
        <f t="shared" si="6"/>
        <v>NO</v>
      </c>
      <c r="I225" s="11" t="s">
        <v>21</v>
      </c>
      <c r="J225" s="12"/>
      <c r="K225" s="12"/>
      <c r="L225" s="13"/>
      <c r="M225" s="13"/>
      <c r="N225" s="13"/>
      <c r="O225" s="13"/>
      <c r="P225" s="14"/>
      <c r="Q225" s="14"/>
      <c r="R225" s="23" t="s">
        <v>21</v>
      </c>
      <c r="S225" s="15"/>
      <c r="T225" s="15"/>
      <c r="U225" s="16"/>
      <c r="V225" s="16"/>
      <c r="W225" s="16"/>
      <c r="X225" s="16"/>
      <c r="Y225" s="16"/>
      <c r="Z225" s="16"/>
      <c r="AA225" s="7"/>
    </row>
    <row r="226" spans="1:27" ht="14.25" x14ac:dyDescent="0.2">
      <c r="A226" s="8"/>
      <c r="B226" s="8" t="s">
        <v>478</v>
      </c>
      <c r="C226" s="8" t="s">
        <v>479</v>
      </c>
      <c r="D226" s="8">
        <v>2020</v>
      </c>
      <c r="E226" s="8"/>
      <c r="F226" s="25" t="str">
        <f>HYPERLINK("https://dl.acm.org/doi/abs/10.1145/3417990.3419489?casa_token=M67M4NmEs04AAAAA:uo3CdX-aW4tm4De5C71Zk-ifuJu2a4MLEh0PxBvIj_aPyGp8q-8uHA0z3m0ofcWrEqaCO2CawvsOOpo")</f>
        <v>https://dl.acm.org/doi/abs/10.1145/3417990.3419489?casa_token=M67M4NmEs04AAAAA:uo3CdX-aW4tm4De5C71Zk-ifuJu2a4MLEh0PxBvIj_aPyGp8q-8uHA0z3m0ofcWrEqaCO2CawvsOOpo</v>
      </c>
      <c r="G226" s="10"/>
      <c r="H226" s="19" t="str">
        <f t="shared" si="6"/>
        <v>NO</v>
      </c>
      <c r="I226" s="11" t="s">
        <v>21</v>
      </c>
      <c r="J226" s="12"/>
      <c r="K226" s="12"/>
      <c r="L226" s="13"/>
      <c r="M226" s="13"/>
      <c r="N226" s="13"/>
      <c r="O226" s="13"/>
      <c r="P226" s="14"/>
      <c r="Q226" s="14"/>
      <c r="R226" s="23" t="s">
        <v>21</v>
      </c>
      <c r="S226" s="15"/>
      <c r="T226" s="15"/>
      <c r="U226" s="16"/>
      <c r="V226" s="16"/>
      <c r="W226" s="16"/>
      <c r="X226" s="16"/>
      <c r="Y226" s="16"/>
      <c r="Z226" s="16"/>
      <c r="AA226" s="7"/>
    </row>
    <row r="227" spans="1:27" ht="14.25" x14ac:dyDescent="0.2">
      <c r="A227" s="8"/>
      <c r="B227" s="8" t="s">
        <v>480</v>
      </c>
      <c r="C227" s="8" t="s">
        <v>481</v>
      </c>
      <c r="D227" s="8">
        <v>2016</v>
      </c>
      <c r="E227" s="8"/>
      <c r="F227" s="25" t="str">
        <f>HYPERLINK("https://tel.archives-ouvertes.fr/tel-01576694/document")</f>
        <v>https://tel.archives-ouvertes.fr/tel-01576694/document</v>
      </c>
      <c r="G227" s="10"/>
      <c r="H227" s="19" t="str">
        <f t="shared" si="6"/>
        <v>NO</v>
      </c>
      <c r="I227" s="11" t="s">
        <v>21</v>
      </c>
      <c r="J227" s="12"/>
      <c r="K227" s="12"/>
      <c r="L227" s="13"/>
      <c r="M227" s="13"/>
      <c r="N227" s="13"/>
      <c r="O227" s="13"/>
      <c r="P227" s="14"/>
      <c r="Q227" s="14"/>
      <c r="R227" s="23" t="s">
        <v>21</v>
      </c>
      <c r="S227" s="15"/>
      <c r="T227" s="15"/>
      <c r="U227" s="16"/>
      <c r="V227" s="16"/>
      <c r="W227" s="16"/>
      <c r="X227" s="16"/>
      <c r="Y227" s="16"/>
      <c r="Z227" s="16"/>
      <c r="AA227" s="7"/>
    </row>
    <row r="228" spans="1:27" ht="14.25" x14ac:dyDescent="0.2">
      <c r="A228" s="8"/>
      <c r="B228" s="8" t="s">
        <v>482</v>
      </c>
      <c r="C228" s="8" t="s">
        <v>483</v>
      </c>
      <c r="D228" s="8">
        <v>2017</v>
      </c>
      <c r="E228" s="8"/>
      <c r="F228" s="25" t="str">
        <f>HYPERLINK("https://www.koreascience.or.kr/article/JAKO201710748277657.page")</f>
        <v>https://www.koreascience.or.kr/article/JAKO201710748277657.page</v>
      </c>
      <c r="G228" s="10"/>
      <c r="H228" s="19" t="str">
        <f t="shared" si="6"/>
        <v>NO</v>
      </c>
      <c r="I228" s="11" t="s">
        <v>21</v>
      </c>
      <c r="J228" s="12"/>
      <c r="K228" s="12"/>
      <c r="L228" s="13"/>
      <c r="M228" s="13"/>
      <c r="N228" s="13"/>
      <c r="O228" s="13"/>
      <c r="P228" s="14"/>
      <c r="Q228" s="14"/>
      <c r="R228" s="23" t="s">
        <v>21</v>
      </c>
      <c r="S228" s="15"/>
      <c r="T228" s="15"/>
      <c r="U228" s="16"/>
      <c r="V228" s="16"/>
      <c r="W228" s="16"/>
      <c r="X228" s="16"/>
      <c r="Y228" s="16"/>
      <c r="Z228" s="16"/>
      <c r="AA228" s="7"/>
    </row>
    <row r="229" spans="1:27" ht="14.25" x14ac:dyDescent="0.2">
      <c r="A229" s="8"/>
      <c r="B229" s="8" t="s">
        <v>484</v>
      </c>
      <c r="C229" s="8" t="s">
        <v>485</v>
      </c>
      <c r="D229" s="8">
        <v>2014</v>
      </c>
      <c r="E229" s="8"/>
      <c r="F229" s="25" t="str">
        <f>HYPERLINK("https://lilloa.univ-lille.fr/bitstream/handle/20.500.12210/23808/https:/hal.inria.fr/hal-01664258/document?sequence=1")</f>
        <v>https://lilloa.univ-lille.fr/bitstream/handle/20.500.12210/23808/https:/hal.inria.fr/hal-01664258/document?sequence=1</v>
      </c>
      <c r="G229" s="10"/>
      <c r="H229" s="19" t="str">
        <f t="shared" si="6"/>
        <v>NO</v>
      </c>
      <c r="I229" s="11" t="s">
        <v>21</v>
      </c>
      <c r="J229" s="12"/>
      <c r="K229" s="12"/>
      <c r="L229" s="13"/>
      <c r="M229" s="13"/>
      <c r="N229" s="13"/>
      <c r="O229" s="13"/>
      <c r="P229" s="14"/>
      <c r="Q229" s="14"/>
      <c r="R229" s="23" t="s">
        <v>21</v>
      </c>
      <c r="S229" s="15"/>
      <c r="T229" s="15"/>
      <c r="U229" s="16"/>
      <c r="V229" s="16"/>
      <c r="W229" s="16"/>
      <c r="X229" s="16"/>
      <c r="Y229" s="16"/>
      <c r="Z229" s="16"/>
      <c r="AA229" s="7"/>
    </row>
    <row r="230" spans="1:27" ht="14.25" x14ac:dyDescent="0.2">
      <c r="A230" s="8"/>
      <c r="B230" s="8" t="s">
        <v>486</v>
      </c>
      <c r="C230" s="8" t="s">
        <v>487</v>
      </c>
      <c r="D230" s="8">
        <v>2020</v>
      </c>
      <c r="E230" s="8"/>
      <c r="F230" s="25" t="str">
        <f>HYPERLINK("https://www.politesi.polimi.it/handle/10589/153317")</f>
        <v>https://www.politesi.polimi.it/handle/10589/153317</v>
      </c>
      <c r="G230" s="10"/>
      <c r="H230" s="19" t="str">
        <f t="shared" si="6"/>
        <v>NO</v>
      </c>
      <c r="I230" s="11" t="s">
        <v>21</v>
      </c>
      <c r="J230" s="12"/>
      <c r="K230" s="12"/>
      <c r="L230" s="13"/>
      <c r="M230" s="13"/>
      <c r="N230" s="13"/>
      <c r="O230" s="13"/>
      <c r="P230" s="14"/>
      <c r="Q230" s="14"/>
      <c r="R230" s="23" t="s">
        <v>21</v>
      </c>
      <c r="S230" s="15"/>
      <c r="T230" s="15"/>
      <c r="U230" s="16"/>
      <c r="V230" s="16"/>
      <c r="W230" s="16"/>
      <c r="X230" s="16"/>
      <c r="Y230" s="16"/>
      <c r="Z230" s="16"/>
      <c r="AA230" s="7"/>
    </row>
    <row r="231" spans="1:27" ht="14.25" x14ac:dyDescent="0.2">
      <c r="A231" s="8"/>
      <c r="B231" s="8" t="s">
        <v>488</v>
      </c>
      <c r="C231" s="8" t="s">
        <v>489</v>
      </c>
      <c r="D231" s="8">
        <v>2021</v>
      </c>
      <c r="E231" s="8"/>
      <c r="F231" s="25" t="str">
        <f>HYPERLINK("https://books.google.de/books?hl=de&amp;lr=&amp;id=YrAmEAAAQBAJ&amp;oi=fnd&amp;pg=PA113&amp;ots=WDznmA3O4J&amp;sig=s0pggT9yQy9Mi2FFIkpPgxh4zzI")</f>
        <v>https://books.google.de/books?hl=de&amp;lr=&amp;id=YrAmEAAAQBAJ&amp;oi=fnd&amp;pg=PA113&amp;ots=WDznmA3O4J&amp;sig=s0pggT9yQy9Mi2FFIkpPgxh4zzI</v>
      </c>
      <c r="G231" s="10"/>
      <c r="H231" s="19" t="str">
        <f t="shared" si="6"/>
        <v>NO</v>
      </c>
      <c r="I231" s="11" t="s">
        <v>21</v>
      </c>
      <c r="J231" s="12"/>
      <c r="K231" s="12"/>
      <c r="L231" s="13"/>
      <c r="M231" s="13"/>
      <c r="N231" s="13"/>
      <c r="O231" s="13"/>
      <c r="P231" s="14"/>
      <c r="Q231" s="14"/>
      <c r="R231" s="26" t="s">
        <v>21</v>
      </c>
      <c r="S231" s="15"/>
      <c r="T231" s="15"/>
      <c r="U231" s="16"/>
      <c r="V231" s="16"/>
      <c r="W231" s="16"/>
      <c r="X231" s="16"/>
      <c r="Y231" s="16"/>
      <c r="Z231" s="16"/>
      <c r="AA231" s="7"/>
    </row>
    <row r="232" spans="1:27" ht="14.25" x14ac:dyDescent="0.2">
      <c r="A232" s="8"/>
      <c r="B232" s="8" t="s">
        <v>490</v>
      </c>
      <c r="C232" s="8" t="s">
        <v>491</v>
      </c>
      <c r="D232" s="8">
        <v>2017</v>
      </c>
      <c r="E232" s="8"/>
      <c r="F232" s="25" t="str">
        <f>HYPERLINK("https://hal.archives-ouvertes.fr/hal-01816411/")</f>
        <v>https://hal.archives-ouvertes.fr/hal-01816411/</v>
      </c>
      <c r="G232" s="10"/>
      <c r="H232" s="19" t="str">
        <f t="shared" si="6"/>
        <v>NO</v>
      </c>
      <c r="I232" s="11" t="s">
        <v>21</v>
      </c>
      <c r="J232" s="12"/>
      <c r="K232" s="12"/>
      <c r="L232" s="13"/>
      <c r="M232" s="13"/>
      <c r="N232" s="13"/>
      <c r="O232" s="13"/>
      <c r="P232" s="14"/>
      <c r="Q232" s="14"/>
      <c r="R232" s="23" t="s">
        <v>21</v>
      </c>
      <c r="S232" s="15"/>
      <c r="T232" s="15"/>
      <c r="U232" s="16"/>
      <c r="V232" s="16"/>
      <c r="W232" s="16"/>
      <c r="X232" s="16"/>
      <c r="Y232" s="16"/>
      <c r="Z232" s="16"/>
      <c r="AA232" s="7"/>
    </row>
    <row r="233" spans="1:27" ht="14.25" x14ac:dyDescent="0.2">
      <c r="A233" s="8"/>
      <c r="B233" s="8" t="s">
        <v>492</v>
      </c>
      <c r="C233" s="8" t="s">
        <v>493</v>
      </c>
      <c r="D233" s="8">
        <v>2017</v>
      </c>
      <c r="E233" s="8"/>
      <c r="F233" s="25" t="str">
        <f>HYPERLINK("https://search.proquest.com/openview/20d24c55e7edfc48d63cca16cc97c5e9/1?pq-origsite=gscholar&amp;cbl=51922&amp;diss=y")</f>
        <v>https://search.proquest.com/openview/20d24c55e7edfc48d63cca16cc97c5e9/1?pq-origsite=gscholar&amp;cbl=51922&amp;diss=y</v>
      </c>
      <c r="G233" s="10"/>
      <c r="H233" s="19" t="str">
        <f t="shared" si="6"/>
        <v>NO</v>
      </c>
      <c r="I233" s="11" t="s">
        <v>21</v>
      </c>
      <c r="J233" s="12"/>
      <c r="K233" s="12"/>
      <c r="L233" s="13"/>
      <c r="M233" s="13"/>
      <c r="N233" s="13"/>
      <c r="O233" s="13"/>
      <c r="P233" s="14"/>
      <c r="Q233" s="14"/>
      <c r="R233" s="23" t="s">
        <v>21</v>
      </c>
      <c r="S233" s="15"/>
      <c r="T233" s="15"/>
      <c r="U233" s="16"/>
      <c r="V233" s="16"/>
      <c r="W233" s="16"/>
      <c r="X233" s="16"/>
      <c r="Y233" s="16"/>
      <c r="Z233" s="16"/>
      <c r="AA233" s="7"/>
    </row>
    <row r="234" spans="1:27" ht="14.25" x14ac:dyDescent="0.2">
      <c r="A234" s="8"/>
      <c r="B234" s="8" t="s">
        <v>494</v>
      </c>
      <c r="C234" s="8" t="s">
        <v>495</v>
      </c>
      <c r="D234" s="8">
        <v>2020</v>
      </c>
      <c r="E234" s="8"/>
      <c r="F234" s="25" t="str">
        <f>HYPERLINK("https://library.oapen.org/bitstream/handle/20.500.12657/43270/2020_Book_ErnstDenertAwardForSoftwareEng.pdf?sequence=1#page=64")</f>
        <v>https://library.oapen.org/bitstream/handle/20.500.12657/43270/2020_Book_ErnstDenertAwardForSoftwareEng.pdf?sequence=1#page=64</v>
      </c>
      <c r="G234" s="10"/>
      <c r="H234" s="19" t="str">
        <f t="shared" si="6"/>
        <v>NO</v>
      </c>
      <c r="I234" s="11" t="s">
        <v>21</v>
      </c>
      <c r="J234" s="12"/>
      <c r="K234" s="12"/>
      <c r="L234" s="13"/>
      <c r="M234" s="13"/>
      <c r="N234" s="13"/>
      <c r="O234" s="13"/>
      <c r="P234" s="14"/>
      <c r="Q234" s="14"/>
      <c r="R234" s="23" t="s">
        <v>21</v>
      </c>
      <c r="S234" s="15"/>
      <c r="T234" s="15"/>
      <c r="U234" s="16"/>
      <c r="V234" s="16"/>
      <c r="W234" s="16"/>
      <c r="X234" s="16"/>
      <c r="Y234" s="16"/>
      <c r="Z234" s="16"/>
      <c r="AA234" s="7"/>
    </row>
    <row r="235" spans="1:27" ht="14.25" x14ac:dyDescent="0.2">
      <c r="A235" s="8"/>
      <c r="B235" s="8" t="s">
        <v>496</v>
      </c>
      <c r="C235" s="8" t="s">
        <v>497</v>
      </c>
      <c r="D235" s="8">
        <v>2019</v>
      </c>
      <c r="E235" s="8"/>
      <c r="F235" s="25" t="str">
        <f>HYPERLINK("https://d-nb.info/1213993849/34")</f>
        <v>https://d-nb.info/1213993849/34</v>
      </c>
      <c r="G235" s="10"/>
      <c r="H235" s="19" t="str">
        <f t="shared" si="6"/>
        <v>NO</v>
      </c>
      <c r="I235" s="11" t="s">
        <v>21</v>
      </c>
      <c r="J235" s="12"/>
      <c r="K235" s="12"/>
      <c r="L235" s="13"/>
      <c r="M235" s="13"/>
      <c r="N235" s="13"/>
      <c r="O235" s="13"/>
      <c r="P235" s="14"/>
      <c r="Q235" s="14"/>
      <c r="R235" s="23" t="s">
        <v>21</v>
      </c>
      <c r="S235" s="15"/>
      <c r="T235" s="15"/>
      <c r="U235" s="16"/>
      <c r="V235" s="16"/>
      <c r="W235" s="16"/>
      <c r="X235" s="16"/>
      <c r="Y235" s="16"/>
      <c r="Z235" s="16"/>
      <c r="AA235" s="7"/>
    </row>
    <row r="236" spans="1:27" ht="14.25" x14ac:dyDescent="0.2">
      <c r="A236" s="8"/>
      <c r="B236" s="8" t="s">
        <v>498</v>
      </c>
      <c r="C236" s="8" t="s">
        <v>499</v>
      </c>
      <c r="D236" s="8"/>
      <c r="E236" s="8"/>
      <c r="F236" s="25" t="str">
        <f>HYPERLINK("https://hal.inria.fr/hal-01055907/document#page=134")</f>
        <v>https://hal.inria.fr/hal-01055907/document#page=134</v>
      </c>
      <c r="G236" s="10"/>
      <c r="H236" s="19" t="str">
        <f t="shared" si="6"/>
        <v>NO</v>
      </c>
      <c r="I236" s="11" t="s">
        <v>21</v>
      </c>
      <c r="J236" s="12"/>
      <c r="K236" s="12"/>
      <c r="L236" s="13"/>
      <c r="M236" s="13"/>
      <c r="N236" s="13"/>
      <c r="O236" s="13"/>
      <c r="P236" s="14"/>
      <c r="Q236" s="14"/>
      <c r="R236" s="23" t="s">
        <v>21</v>
      </c>
      <c r="S236" s="15"/>
      <c r="T236" s="15"/>
      <c r="U236" s="16"/>
      <c r="V236" s="16"/>
      <c r="W236" s="16"/>
      <c r="X236" s="16"/>
      <c r="Y236" s="16"/>
      <c r="Z236" s="16"/>
      <c r="AA236" s="7"/>
    </row>
    <row r="237" spans="1:27" ht="14.25" x14ac:dyDescent="0.2">
      <c r="A237" s="8"/>
      <c r="B237" s="8" t="s">
        <v>500</v>
      </c>
      <c r="C237" s="8" t="s">
        <v>501</v>
      </c>
      <c r="D237" s="8">
        <v>2020</v>
      </c>
      <c r="E237" s="8"/>
      <c r="F237" s="25" t="str">
        <f>HYPERLINK("https://new-dl.gi.de/handle/20.500.12116/33133")</f>
        <v>https://new-dl.gi.de/handle/20.500.12116/33133</v>
      </c>
      <c r="G237" s="10"/>
      <c r="H237" s="19" t="str">
        <f t="shared" si="6"/>
        <v>NO</v>
      </c>
      <c r="I237" s="11" t="s">
        <v>21</v>
      </c>
      <c r="J237" s="12"/>
      <c r="K237" s="12"/>
      <c r="L237" s="13"/>
      <c r="M237" s="13"/>
      <c r="N237" s="13"/>
      <c r="O237" s="13"/>
      <c r="P237" s="14"/>
      <c r="Q237" s="14"/>
      <c r="R237" s="23" t="s">
        <v>21</v>
      </c>
      <c r="S237" s="15"/>
      <c r="T237" s="15"/>
      <c r="U237" s="16"/>
      <c r="V237" s="16"/>
      <c r="W237" s="16"/>
      <c r="X237" s="16"/>
      <c r="Y237" s="16"/>
      <c r="Z237" s="16"/>
      <c r="AA237" s="7"/>
    </row>
    <row r="238" spans="1:27" ht="14.25" x14ac:dyDescent="0.2">
      <c r="A238" s="8"/>
      <c r="B238" s="8" t="s">
        <v>502</v>
      </c>
      <c r="C238" s="8" t="s">
        <v>503</v>
      </c>
      <c r="D238" s="8">
        <v>2018</v>
      </c>
      <c r="E238" s="8"/>
      <c r="F238" s="25" t="str">
        <f>HYPERLINK("http://ousar.lib.okayama-u.ac.jp/files/public/5/55951/20180614114707102021/K0005729_fulltext.pdf")</f>
        <v>http://ousar.lib.okayama-u.ac.jp/files/public/5/55951/20180614114707102021/K0005729_fulltext.pdf</v>
      </c>
      <c r="G238" s="10"/>
      <c r="H238" s="19" t="str">
        <f t="shared" si="6"/>
        <v>NO</v>
      </c>
      <c r="I238" s="11" t="s">
        <v>21</v>
      </c>
      <c r="J238" s="12"/>
      <c r="K238" s="12"/>
      <c r="L238" s="13"/>
      <c r="M238" s="13"/>
      <c r="N238" s="13"/>
      <c r="O238" s="13"/>
      <c r="P238" s="14"/>
      <c r="Q238" s="14"/>
      <c r="R238" s="23" t="s">
        <v>21</v>
      </c>
      <c r="S238" s="15"/>
      <c r="T238" s="15"/>
      <c r="U238" s="16"/>
      <c r="V238" s="16"/>
      <c r="W238" s="16"/>
      <c r="X238" s="16"/>
      <c r="Y238" s="16"/>
      <c r="Z238" s="16"/>
      <c r="AA238" s="7"/>
    </row>
    <row r="239" spans="1:27" ht="14.25" x14ac:dyDescent="0.2">
      <c r="A239" s="8"/>
      <c r="B239" s="8" t="s">
        <v>504</v>
      </c>
      <c r="C239" s="8" t="s">
        <v>505</v>
      </c>
      <c r="D239" s="8">
        <v>2016</v>
      </c>
      <c r="E239" s="8"/>
      <c r="F239" s="25" t="str">
        <f>HYPERLINK("http://ceur-ws.org/Vol-1731/report.pdf")</f>
        <v>http://ceur-ws.org/Vol-1731/report.pdf</v>
      </c>
      <c r="G239" s="10"/>
      <c r="H239" s="19" t="str">
        <f t="shared" si="6"/>
        <v>NO</v>
      </c>
      <c r="I239" s="11" t="s">
        <v>21</v>
      </c>
      <c r="J239" s="12"/>
      <c r="K239" s="12"/>
      <c r="L239" s="13"/>
      <c r="M239" s="13"/>
      <c r="N239" s="13"/>
      <c r="O239" s="13"/>
      <c r="P239" s="14"/>
      <c r="Q239" s="14"/>
      <c r="R239" s="26" t="s">
        <v>21</v>
      </c>
      <c r="S239" s="15"/>
      <c r="T239" s="15"/>
      <c r="U239" s="16"/>
      <c r="V239" s="16"/>
      <c r="W239" s="16"/>
      <c r="X239" s="16"/>
      <c r="Y239" s="16"/>
      <c r="Z239" s="16"/>
      <c r="AA239" s="7"/>
    </row>
    <row r="240" spans="1:27" ht="14.25" x14ac:dyDescent="0.2">
      <c r="A240" s="8"/>
      <c r="B240" s="8" t="s">
        <v>506</v>
      </c>
      <c r="C240" s="8" t="s">
        <v>507</v>
      </c>
      <c r="D240" s="8">
        <v>2020</v>
      </c>
      <c r="E240" s="8"/>
      <c r="F240" s="25" t="str">
        <f>HYPERLINK("https://dl.acm.org/doi/abs/10.1145/3382025.3414961?casa_token=Nb-cSAmd_RoAAAAA:e-xRzQyIDM-buYcpdWFfCaL0P8nYZwx6lqQveQ9QXxdjMLNw72PI_OLR3sATBU1wEvX64hE3I9tpGnk")</f>
        <v>https://dl.acm.org/doi/abs/10.1145/3382025.3414961?casa_token=Nb-cSAmd_RoAAAAA:e-xRzQyIDM-buYcpdWFfCaL0P8nYZwx6lqQveQ9QXxdjMLNw72PI_OLR3sATBU1wEvX64hE3I9tpGnk</v>
      </c>
      <c r="G240" s="10"/>
      <c r="H240" s="19" t="str">
        <f t="shared" si="6"/>
        <v>MAYBE</v>
      </c>
      <c r="I240" s="23" t="s">
        <v>259</v>
      </c>
      <c r="J240" s="12"/>
      <c r="K240" s="12"/>
      <c r="L240" s="13"/>
      <c r="M240" s="13"/>
      <c r="N240" s="13"/>
      <c r="O240" s="13"/>
      <c r="P240" s="14"/>
      <c r="Q240" s="14"/>
      <c r="R240" s="23" t="s">
        <v>21</v>
      </c>
      <c r="S240" s="15"/>
      <c r="T240" s="15"/>
      <c r="U240" s="16"/>
      <c r="V240" s="16"/>
      <c r="W240" s="16"/>
      <c r="X240" s="16"/>
      <c r="Y240" s="16"/>
      <c r="Z240" s="16"/>
      <c r="AA240" s="7"/>
    </row>
    <row r="241" spans="1:27" ht="14.25" x14ac:dyDescent="0.2">
      <c r="A241" s="8"/>
      <c r="B241" s="8" t="s">
        <v>508</v>
      </c>
      <c r="C241" s="8" t="s">
        <v>509</v>
      </c>
      <c r="D241" s="8"/>
      <c r="E241" s="8"/>
      <c r="F241" s="25" t="str">
        <f>HYPERLINK("https://www.researchgate.net/profile/Bernhard_Rumpe/publication/265469367_State-Based_Modeling_of_Buildings_and_Facilities/links/00b4952e81ad42e257000000.pdf")</f>
        <v>https://www.researchgate.net/profile/Bernhard_Rumpe/publication/265469367_State-Based_Modeling_of_Buildings_and_Facilities/links/00b4952e81ad42e257000000.pdf</v>
      </c>
      <c r="G241" s="10"/>
      <c r="H241" s="19" t="str">
        <f t="shared" si="6"/>
        <v>NO</v>
      </c>
      <c r="I241" s="11" t="s">
        <v>21</v>
      </c>
      <c r="J241" s="12"/>
      <c r="K241" s="12"/>
      <c r="L241" s="13"/>
      <c r="M241" s="13"/>
      <c r="N241" s="13"/>
      <c r="O241" s="13"/>
      <c r="P241" s="14"/>
      <c r="Q241" s="14"/>
      <c r="R241" s="26" t="s">
        <v>21</v>
      </c>
      <c r="S241" s="15"/>
      <c r="T241" s="15"/>
      <c r="U241" s="16"/>
      <c r="V241" s="16"/>
      <c r="W241" s="16"/>
      <c r="X241" s="16"/>
      <c r="Y241" s="16"/>
      <c r="Z241" s="16"/>
      <c r="AA241" s="7"/>
    </row>
    <row r="242" spans="1:27" ht="14.25" x14ac:dyDescent="0.2">
      <c r="A242" s="8"/>
      <c r="B242" s="8" t="s">
        <v>358</v>
      </c>
      <c r="C242" s="8" t="s">
        <v>510</v>
      </c>
      <c r="D242" s="8">
        <v>2013</v>
      </c>
      <c r="E242" s="8"/>
      <c r="F242" s="25" t="e">
        <f>HYPERLINK("https://www.researchgate.net/profile/Filip-Krikava/publication/261250015_Domain-Specific_Modeling_Language_for_Self-Adaptive_Software_System_Architectures/links/02e7e537f39cc41c05000000/Domain-Specific-Modeling-Language-for-Self-Adaptive-Software-System-A"&amp;"rchitectures.pdf")</f>
        <v>#VALUE!</v>
      </c>
      <c r="G242" s="10"/>
      <c r="H242" s="19" t="str">
        <f t="shared" si="6"/>
        <v>NO</v>
      </c>
      <c r="I242" s="11" t="s">
        <v>21</v>
      </c>
      <c r="J242" s="12"/>
      <c r="K242" s="12"/>
      <c r="L242" s="13"/>
      <c r="M242" s="13"/>
      <c r="N242" s="13"/>
      <c r="O242" s="13"/>
      <c r="P242" s="14"/>
      <c r="Q242" s="14"/>
      <c r="R242" s="23" t="s">
        <v>21</v>
      </c>
      <c r="S242" s="15"/>
      <c r="T242" s="15"/>
      <c r="U242" s="16"/>
      <c r="V242" s="16"/>
      <c r="W242" s="16"/>
      <c r="X242" s="16"/>
      <c r="Y242" s="16"/>
      <c r="Z242" s="16"/>
      <c r="AA242" s="7"/>
    </row>
    <row r="243" spans="1:27" ht="14.25" x14ac:dyDescent="0.2">
      <c r="A243" s="8"/>
      <c r="B243" s="8" t="s">
        <v>458</v>
      </c>
      <c r="C243" s="8" t="s">
        <v>511</v>
      </c>
      <c r="D243" s="8">
        <v>2020</v>
      </c>
      <c r="E243" s="8"/>
      <c r="F243" s="25" t="str">
        <f>HYPERLINK("https://link.springer.com/chapter/10.1007/978-3-030-42152-6_5")</f>
        <v>https://link.springer.com/chapter/10.1007/978-3-030-42152-6_5</v>
      </c>
      <c r="G243" s="10"/>
      <c r="H243" s="19" t="str">
        <f t="shared" si="6"/>
        <v>NO</v>
      </c>
      <c r="I243" s="11" t="s">
        <v>21</v>
      </c>
      <c r="J243" s="12"/>
      <c r="K243" s="12"/>
      <c r="L243" s="13"/>
      <c r="M243" s="13"/>
      <c r="N243" s="13"/>
      <c r="O243" s="13"/>
      <c r="P243" s="14"/>
      <c r="Q243" s="14"/>
      <c r="R243" s="23" t="s">
        <v>21</v>
      </c>
      <c r="S243" s="15"/>
      <c r="T243" s="15"/>
      <c r="U243" s="16"/>
      <c r="V243" s="16"/>
      <c r="W243" s="16"/>
      <c r="X243" s="16"/>
      <c r="Y243" s="16"/>
      <c r="Z243" s="16"/>
      <c r="AA243" s="7"/>
    </row>
    <row r="244" spans="1:27" ht="14.25" x14ac:dyDescent="0.2">
      <c r="A244" s="8"/>
      <c r="B244" s="8" t="s">
        <v>512</v>
      </c>
      <c r="C244" s="8" t="s">
        <v>513</v>
      </c>
      <c r="D244" s="8">
        <v>2020</v>
      </c>
      <c r="E244" s="8"/>
      <c r="F244" s="25" t="str">
        <f>HYPERLINK("http://ousar.lib.okayama-u.ac.jp/files/public/6/60935/20201203155253482074/K0006258_fulltext.pdf")</f>
        <v>http://ousar.lib.okayama-u.ac.jp/files/public/6/60935/20201203155253482074/K0006258_fulltext.pdf</v>
      </c>
      <c r="G244" s="10"/>
      <c r="H244" s="19" t="str">
        <f t="shared" si="6"/>
        <v>NO</v>
      </c>
      <c r="I244" s="11" t="s">
        <v>21</v>
      </c>
      <c r="J244" s="12"/>
      <c r="K244" s="12"/>
      <c r="L244" s="13"/>
      <c r="M244" s="13"/>
      <c r="N244" s="13"/>
      <c r="O244" s="13"/>
      <c r="P244" s="14"/>
      <c r="Q244" s="14"/>
      <c r="R244" s="23" t="s">
        <v>21</v>
      </c>
      <c r="S244" s="15"/>
      <c r="T244" s="15"/>
      <c r="U244" s="16"/>
      <c r="V244" s="16"/>
      <c r="W244" s="16"/>
      <c r="X244" s="16"/>
      <c r="Y244" s="16"/>
      <c r="Z244" s="16"/>
      <c r="AA244" s="7"/>
    </row>
    <row r="245" spans="1:27" ht="14.25" x14ac:dyDescent="0.2">
      <c r="A245" s="8"/>
      <c r="B245" s="8" t="s">
        <v>418</v>
      </c>
      <c r="C245" s="8" t="s">
        <v>514</v>
      </c>
      <c r="D245" s="8"/>
      <c r="E245" s="8"/>
      <c r="F245" s="25" t="str">
        <f>HYPERLINK("https://src.acm.org/binaries/content/assets/src/2015/thomas-degueule.pdf")</f>
        <v>https://src.acm.org/binaries/content/assets/src/2015/thomas-degueule.pdf</v>
      </c>
      <c r="G245" s="10"/>
      <c r="H245" s="19" t="str">
        <f t="shared" si="6"/>
        <v>NO</v>
      </c>
      <c r="I245" s="11" t="s">
        <v>21</v>
      </c>
      <c r="J245" s="12"/>
      <c r="K245" s="12"/>
      <c r="L245" s="13"/>
      <c r="M245" s="13"/>
      <c r="N245" s="13"/>
      <c r="O245" s="13"/>
      <c r="P245" s="14"/>
      <c r="Q245" s="14"/>
      <c r="R245" s="23" t="s">
        <v>21</v>
      </c>
      <c r="S245" s="15"/>
      <c r="T245" s="15"/>
      <c r="U245" s="16"/>
      <c r="V245" s="16"/>
      <c r="W245" s="16"/>
      <c r="X245" s="16"/>
      <c r="Y245" s="16"/>
      <c r="Z245" s="16"/>
      <c r="AA245" s="7"/>
    </row>
    <row r="246" spans="1:27" ht="14.25" x14ac:dyDescent="0.2">
      <c r="A246" s="8"/>
      <c r="B246" s="8" t="s">
        <v>515</v>
      </c>
      <c r="C246" s="8" t="s">
        <v>516</v>
      </c>
      <c r="D246" s="8">
        <v>2016</v>
      </c>
      <c r="E246" s="8"/>
      <c r="F246" s="25" t="str">
        <f>HYPERLINK("https://www.theses.fr/2016NICE4013")</f>
        <v>https://www.theses.fr/2016NICE4013</v>
      </c>
      <c r="G246" s="10"/>
      <c r="H246" s="19" t="str">
        <f t="shared" si="6"/>
        <v>NO</v>
      </c>
      <c r="I246" s="11" t="s">
        <v>21</v>
      </c>
      <c r="J246" s="12"/>
      <c r="K246" s="12"/>
      <c r="L246" s="13"/>
      <c r="M246" s="13"/>
      <c r="N246" s="13"/>
      <c r="O246" s="13"/>
      <c r="P246" s="14"/>
      <c r="Q246" s="14"/>
      <c r="R246" s="23" t="s">
        <v>21</v>
      </c>
      <c r="S246" s="15"/>
      <c r="T246" s="15"/>
      <c r="U246" s="16"/>
      <c r="V246" s="16"/>
      <c r="W246" s="16"/>
      <c r="X246" s="16"/>
      <c r="Y246" s="16"/>
      <c r="Z246" s="16"/>
      <c r="AA246" s="7"/>
    </row>
    <row r="247" spans="1:27" ht="12.75" x14ac:dyDescent="0.2">
      <c r="A247" s="8"/>
      <c r="B247" s="8"/>
      <c r="C247" s="8"/>
      <c r="D247" s="8"/>
      <c r="E247" s="8"/>
      <c r="F247" s="10"/>
      <c r="G247" s="10"/>
      <c r="H247" s="10"/>
      <c r="I247" s="11"/>
      <c r="J247" s="12"/>
      <c r="K247" s="12"/>
      <c r="L247" s="13"/>
      <c r="M247" s="13"/>
      <c r="N247" s="13"/>
      <c r="O247" s="13"/>
      <c r="P247" s="14"/>
      <c r="Q247" s="14"/>
      <c r="R247" s="11"/>
      <c r="S247" s="15"/>
      <c r="T247" s="15"/>
      <c r="U247" s="16"/>
      <c r="V247" s="16"/>
      <c r="W247" s="16"/>
      <c r="X247" s="16"/>
      <c r="Y247" s="16"/>
      <c r="Z247" s="16"/>
      <c r="AA247" s="7"/>
    </row>
    <row r="248" spans="1:27" ht="12.75" x14ac:dyDescent="0.2">
      <c r="A248" s="8"/>
      <c r="B248" s="8"/>
      <c r="C248" s="8"/>
      <c r="D248" s="8"/>
      <c r="E248" s="8"/>
      <c r="F248" s="10"/>
      <c r="G248" s="10"/>
      <c r="H248" s="10"/>
      <c r="I248" s="11"/>
      <c r="J248" s="12"/>
      <c r="K248" s="12"/>
      <c r="L248" s="13"/>
      <c r="M248" s="13"/>
      <c r="N248" s="13"/>
      <c r="O248" s="13"/>
      <c r="P248" s="14"/>
      <c r="Q248" s="14"/>
      <c r="R248" s="11"/>
      <c r="S248" s="15"/>
      <c r="T248" s="15"/>
      <c r="U248" s="16"/>
      <c r="V248" s="16"/>
      <c r="W248" s="16"/>
      <c r="X248" s="16"/>
      <c r="Y248" s="16"/>
      <c r="Z248" s="16"/>
      <c r="AA248" s="7"/>
    </row>
    <row r="249" spans="1:27" ht="12.75" x14ac:dyDescent="0.2">
      <c r="A249" s="8"/>
      <c r="B249" s="8" t="s">
        <v>517</v>
      </c>
      <c r="C249" s="8"/>
      <c r="D249" s="8"/>
      <c r="E249" s="8"/>
      <c r="F249" s="10"/>
      <c r="G249" s="10"/>
      <c r="H249" s="10"/>
      <c r="I249" s="11"/>
      <c r="J249" s="12"/>
      <c r="K249" s="12"/>
      <c r="L249" s="13"/>
      <c r="M249" s="13"/>
      <c r="N249" s="13"/>
      <c r="O249" s="13"/>
      <c r="P249" s="14"/>
      <c r="Q249" s="14"/>
      <c r="R249" s="11"/>
      <c r="S249" s="15"/>
      <c r="T249" s="15"/>
      <c r="U249" s="16"/>
      <c r="V249" s="16"/>
      <c r="W249" s="16"/>
      <c r="X249" s="16"/>
      <c r="Y249" s="16"/>
      <c r="Z249" s="16"/>
      <c r="AA249" s="7"/>
    </row>
    <row r="250" spans="1:27" ht="12.75" x14ac:dyDescent="0.2">
      <c r="A250" s="8"/>
      <c r="B250" s="8"/>
      <c r="C250" s="8"/>
      <c r="D250" s="8"/>
      <c r="E250" s="8"/>
      <c r="F250" s="10"/>
      <c r="G250" s="10"/>
      <c r="H250" s="10"/>
      <c r="I250" s="11"/>
      <c r="J250" s="12"/>
      <c r="K250" s="12"/>
      <c r="L250" s="13"/>
      <c r="M250" s="13"/>
      <c r="N250" s="13"/>
      <c r="O250" s="13"/>
      <c r="P250" s="14"/>
      <c r="Q250" s="14"/>
      <c r="R250" s="11"/>
      <c r="S250" s="15"/>
      <c r="T250" s="15"/>
      <c r="U250" s="16"/>
      <c r="V250" s="16"/>
      <c r="W250" s="16"/>
      <c r="X250" s="16"/>
      <c r="Y250" s="16"/>
      <c r="Z250" s="16"/>
      <c r="AA250" s="7"/>
    </row>
    <row r="251" spans="1:27" ht="12.75" x14ac:dyDescent="0.2">
      <c r="A251" s="8"/>
      <c r="B251" s="8" t="s">
        <v>518</v>
      </c>
      <c r="C251" s="8" t="s">
        <v>519</v>
      </c>
      <c r="D251" s="8">
        <v>2012</v>
      </c>
      <c r="E251" s="8"/>
      <c r="F251" s="25" t="s">
        <v>520</v>
      </c>
      <c r="G251" s="10" t="s">
        <v>521</v>
      </c>
      <c r="H251" s="10" t="s">
        <v>21</v>
      </c>
      <c r="I251" s="23" t="s">
        <v>21</v>
      </c>
      <c r="J251" s="12"/>
      <c r="K251" s="12"/>
      <c r="L251" s="13"/>
      <c r="M251" s="13"/>
      <c r="N251" s="13"/>
      <c r="O251" s="13"/>
      <c r="P251" s="14"/>
      <c r="Q251" s="14"/>
      <c r="R251" s="23" t="s">
        <v>21</v>
      </c>
      <c r="S251" s="15"/>
      <c r="T251" s="15"/>
      <c r="U251" s="16"/>
      <c r="V251" s="16"/>
      <c r="W251" s="16"/>
      <c r="X251" s="16"/>
      <c r="Y251" s="16"/>
      <c r="Z251" s="16"/>
      <c r="AA251" s="7"/>
    </row>
    <row r="252" spans="1:27" ht="12.75" x14ac:dyDescent="0.2">
      <c r="A252" s="8"/>
      <c r="B252" s="8" t="s">
        <v>522</v>
      </c>
      <c r="C252" s="8" t="s">
        <v>523</v>
      </c>
      <c r="D252" s="8">
        <v>2015</v>
      </c>
      <c r="E252" s="8"/>
      <c r="F252" s="25" t="s">
        <v>524</v>
      </c>
      <c r="G252" s="10"/>
      <c r="H252" s="10" t="s">
        <v>21</v>
      </c>
      <c r="I252" s="23" t="s">
        <v>21</v>
      </c>
      <c r="J252" s="12"/>
      <c r="K252" s="12"/>
      <c r="L252" s="13"/>
      <c r="M252" s="13"/>
      <c r="N252" s="13"/>
      <c r="O252" s="13"/>
      <c r="P252" s="14"/>
      <c r="Q252" s="14"/>
      <c r="R252" s="23" t="s">
        <v>21</v>
      </c>
      <c r="S252" s="15"/>
      <c r="T252" s="15"/>
      <c r="U252" s="16"/>
      <c r="V252" s="16"/>
      <c r="W252" s="16"/>
      <c r="X252" s="16"/>
      <c r="Y252" s="16"/>
      <c r="Z252" s="16"/>
      <c r="AA252" s="7"/>
    </row>
    <row r="253" spans="1:27" ht="12.75" x14ac:dyDescent="0.2">
      <c r="A253" s="8"/>
      <c r="B253" s="8" t="s">
        <v>525</v>
      </c>
      <c r="C253" s="8" t="s">
        <v>526</v>
      </c>
      <c r="D253" s="8">
        <v>2015</v>
      </c>
      <c r="E253" s="8"/>
      <c r="F253" s="25" t="s">
        <v>527</v>
      </c>
      <c r="G253" s="10"/>
      <c r="H253" s="10" t="s">
        <v>21</v>
      </c>
      <c r="I253" s="23" t="s">
        <v>21</v>
      </c>
      <c r="J253" s="12"/>
      <c r="K253" s="12"/>
      <c r="L253" s="30" t="b">
        <v>1</v>
      </c>
      <c r="M253" s="13"/>
      <c r="N253" s="13"/>
      <c r="O253" s="13"/>
      <c r="P253" s="14"/>
      <c r="Q253" s="14"/>
      <c r="R253" s="23" t="s">
        <v>21</v>
      </c>
      <c r="S253" s="15"/>
      <c r="T253" s="15"/>
      <c r="U253" s="16"/>
      <c r="V253" s="16"/>
      <c r="W253" s="16"/>
      <c r="X253" s="16"/>
      <c r="Y253" s="16"/>
      <c r="Z253" s="16"/>
      <c r="AA253" s="7"/>
    </row>
    <row r="254" spans="1:27" ht="12.75" x14ac:dyDescent="0.2">
      <c r="A254" s="8"/>
      <c r="B254" s="8" t="s">
        <v>528</v>
      </c>
      <c r="C254" s="8" t="s">
        <v>529</v>
      </c>
      <c r="D254" s="8">
        <v>2013</v>
      </c>
      <c r="E254" s="8"/>
      <c r="F254" s="25" t="s">
        <v>530</v>
      </c>
      <c r="G254" s="10" t="s">
        <v>531</v>
      </c>
      <c r="H254" s="10" t="s">
        <v>21</v>
      </c>
      <c r="I254" s="23" t="s">
        <v>21</v>
      </c>
      <c r="J254" s="29"/>
      <c r="K254" s="29"/>
      <c r="L254" s="30"/>
      <c r="M254" s="30"/>
      <c r="N254" s="30"/>
      <c r="O254" s="30"/>
      <c r="P254" s="30"/>
      <c r="Q254" s="30"/>
      <c r="R254" s="23" t="s">
        <v>137</v>
      </c>
      <c r="S254" s="31" t="b">
        <v>1</v>
      </c>
      <c r="T254" s="31" t="b">
        <v>1</v>
      </c>
      <c r="U254" s="24"/>
      <c r="V254" s="24"/>
      <c r="W254" s="24"/>
      <c r="X254" s="24"/>
      <c r="Y254" s="24"/>
      <c r="Z254" s="24"/>
      <c r="AA254" s="7"/>
    </row>
    <row r="255" spans="1:27" ht="12.75" x14ac:dyDescent="0.2">
      <c r="A255" s="8"/>
      <c r="B255" s="8" t="s">
        <v>532</v>
      </c>
      <c r="C255" s="8" t="s">
        <v>533</v>
      </c>
      <c r="D255" s="8">
        <v>2015</v>
      </c>
      <c r="E255" s="8"/>
      <c r="F255" s="25" t="s">
        <v>534</v>
      </c>
      <c r="G255" s="10"/>
      <c r="H255" s="10" t="s">
        <v>21</v>
      </c>
      <c r="I255" s="23" t="s">
        <v>21</v>
      </c>
      <c r="J255" s="12"/>
      <c r="K255" s="12"/>
      <c r="L255" s="13"/>
      <c r="M255" s="13"/>
      <c r="N255" s="13"/>
      <c r="O255" s="13"/>
      <c r="P255" s="14"/>
      <c r="Q255" s="14"/>
      <c r="R255" s="23" t="s">
        <v>21</v>
      </c>
      <c r="S255" s="15"/>
      <c r="T255" s="15"/>
      <c r="U255" s="16"/>
      <c r="V255" s="16"/>
      <c r="W255" s="16"/>
      <c r="X255" s="16"/>
      <c r="Y255" s="16"/>
      <c r="Z255" s="16"/>
      <c r="AA255" s="7"/>
    </row>
    <row r="256" spans="1:27" ht="12.75" x14ac:dyDescent="0.2">
      <c r="A256" s="8"/>
      <c r="B256" s="8" t="s">
        <v>535</v>
      </c>
      <c r="C256" s="8" t="s">
        <v>536</v>
      </c>
      <c r="D256" s="8">
        <v>2015</v>
      </c>
      <c r="E256" s="8"/>
      <c r="F256" s="25" t="s">
        <v>537</v>
      </c>
      <c r="G256" s="10"/>
      <c r="H256" s="10" t="s">
        <v>21</v>
      </c>
      <c r="I256" s="27" t="s">
        <v>21</v>
      </c>
      <c r="J256" s="12"/>
      <c r="K256" s="12"/>
      <c r="L256" s="13"/>
      <c r="M256" s="13"/>
      <c r="N256" s="13"/>
      <c r="O256" s="13"/>
      <c r="P256" s="14"/>
      <c r="Q256" s="14"/>
      <c r="R256" s="26" t="s">
        <v>21</v>
      </c>
      <c r="S256" s="15"/>
      <c r="T256" s="15"/>
      <c r="U256" s="16"/>
      <c r="V256" s="16"/>
      <c r="W256" s="16"/>
      <c r="X256" s="16"/>
      <c r="Y256" s="16"/>
      <c r="Z256" s="16"/>
      <c r="AA256" s="7"/>
    </row>
    <row r="257" spans="1:27" ht="12.75" x14ac:dyDescent="0.2">
      <c r="A257" s="8"/>
      <c r="B257" s="8" t="s">
        <v>538</v>
      </c>
      <c r="C257" s="8" t="s">
        <v>539</v>
      </c>
      <c r="D257" s="8">
        <v>2016</v>
      </c>
      <c r="E257" s="8"/>
      <c r="F257" s="17" t="s">
        <v>540</v>
      </c>
      <c r="G257" s="10"/>
      <c r="H257" s="10" t="s">
        <v>21</v>
      </c>
      <c r="I257" s="27" t="s">
        <v>21</v>
      </c>
      <c r="J257" s="12"/>
      <c r="K257" s="12"/>
      <c r="L257" s="13"/>
      <c r="M257" s="13"/>
      <c r="N257" s="13"/>
      <c r="O257" s="13"/>
      <c r="P257" s="14"/>
      <c r="Q257" s="14"/>
      <c r="R257" s="27" t="s">
        <v>21</v>
      </c>
      <c r="S257" s="15"/>
      <c r="T257" s="15"/>
      <c r="U257" s="16"/>
      <c r="V257" s="16"/>
      <c r="W257" s="16"/>
      <c r="X257" s="16"/>
      <c r="Y257" s="16"/>
      <c r="Z257" s="16"/>
      <c r="AA257" s="7"/>
    </row>
    <row r="258" spans="1:27" ht="12.75" x14ac:dyDescent="0.2">
      <c r="A258" s="8"/>
      <c r="B258" s="8" t="s">
        <v>541</v>
      </c>
      <c r="C258" s="8" t="s">
        <v>542</v>
      </c>
      <c r="D258" s="8">
        <v>2013</v>
      </c>
      <c r="E258" s="8"/>
      <c r="F258" s="10"/>
      <c r="G258" s="10"/>
      <c r="H258" s="10" t="s">
        <v>21</v>
      </c>
      <c r="I258" s="23" t="s">
        <v>21</v>
      </c>
      <c r="J258" s="29"/>
      <c r="K258" s="29"/>
      <c r="L258" s="30"/>
      <c r="M258" s="30"/>
      <c r="N258" s="30"/>
      <c r="O258" s="30"/>
      <c r="P258" s="30"/>
      <c r="Q258" s="30"/>
      <c r="R258" s="23" t="s">
        <v>21</v>
      </c>
      <c r="S258" s="31"/>
      <c r="T258" s="31"/>
      <c r="U258" s="24"/>
      <c r="V258" s="24"/>
      <c r="W258" s="24"/>
      <c r="X258" s="24"/>
      <c r="Y258" s="24"/>
      <c r="Z258" s="24"/>
      <c r="AA258" s="7"/>
    </row>
    <row r="259" spans="1:27" ht="12.75" x14ac:dyDescent="0.2">
      <c r="A259" s="8"/>
      <c r="B259" s="8" t="s">
        <v>543</v>
      </c>
      <c r="C259" s="8" t="s">
        <v>544</v>
      </c>
      <c r="D259" s="8">
        <v>2015</v>
      </c>
      <c r="E259" s="22"/>
      <c r="F259" s="25" t="s">
        <v>545</v>
      </c>
      <c r="G259" s="10"/>
      <c r="H259" s="10" t="s">
        <v>21</v>
      </c>
      <c r="I259" s="23" t="s">
        <v>21</v>
      </c>
      <c r="J259" s="12"/>
      <c r="K259" s="12"/>
      <c r="L259" s="13"/>
      <c r="M259" s="13"/>
      <c r="N259" s="13"/>
      <c r="O259" s="13"/>
      <c r="P259" s="14"/>
      <c r="Q259" s="14"/>
      <c r="R259" s="23" t="s">
        <v>21</v>
      </c>
      <c r="S259" s="15"/>
      <c r="T259" s="15"/>
      <c r="U259" s="16"/>
      <c r="V259" s="16"/>
      <c r="W259" s="16"/>
      <c r="X259" s="16"/>
      <c r="Y259" s="16"/>
      <c r="Z259" s="16"/>
      <c r="AA259" s="7"/>
    </row>
    <row r="260" spans="1:27" ht="12.75" x14ac:dyDescent="0.2">
      <c r="A260" s="8"/>
      <c r="B260" s="8" t="s">
        <v>546</v>
      </c>
      <c r="C260" s="8" t="s">
        <v>547</v>
      </c>
      <c r="D260" s="8">
        <v>2015</v>
      </c>
      <c r="E260" s="8"/>
      <c r="F260" s="25" t="s">
        <v>548</v>
      </c>
      <c r="G260" s="10"/>
      <c r="H260" s="10" t="s">
        <v>21</v>
      </c>
      <c r="I260" s="23" t="s">
        <v>21</v>
      </c>
      <c r="J260" s="12"/>
      <c r="K260" s="12"/>
      <c r="L260" s="13"/>
      <c r="M260" s="13"/>
      <c r="N260" s="13"/>
      <c r="O260" s="13"/>
      <c r="P260" s="14"/>
      <c r="Q260" s="14"/>
      <c r="R260" s="23" t="s">
        <v>21</v>
      </c>
      <c r="S260" s="15"/>
      <c r="T260" s="15"/>
      <c r="U260" s="16"/>
      <c r="V260" s="16"/>
      <c r="W260" s="16"/>
      <c r="X260" s="16"/>
      <c r="Y260" s="16"/>
      <c r="Z260" s="16"/>
      <c r="AA260" s="7"/>
    </row>
    <row r="261" spans="1:27" ht="12.75" x14ac:dyDescent="0.2">
      <c r="A261" s="8"/>
      <c r="B261" s="8" t="s">
        <v>549</v>
      </c>
      <c r="C261" s="8" t="s">
        <v>550</v>
      </c>
      <c r="D261" s="8">
        <v>2017</v>
      </c>
      <c r="E261" s="8"/>
      <c r="F261" s="25" t="s">
        <v>551</v>
      </c>
      <c r="G261" s="10"/>
      <c r="H261" s="10" t="s">
        <v>21</v>
      </c>
      <c r="I261" s="23" t="s">
        <v>21</v>
      </c>
      <c r="J261" s="12"/>
      <c r="K261" s="12"/>
      <c r="L261" s="13"/>
      <c r="M261" s="13"/>
      <c r="N261" s="13"/>
      <c r="O261" s="13"/>
      <c r="P261" s="14"/>
      <c r="Q261" s="14"/>
      <c r="R261" s="23" t="s">
        <v>21</v>
      </c>
      <c r="S261" s="15"/>
      <c r="T261" s="15"/>
      <c r="U261" s="16"/>
      <c r="V261" s="16"/>
      <c r="W261" s="16"/>
      <c r="X261" s="16"/>
      <c r="Y261" s="16"/>
      <c r="Z261" s="16"/>
      <c r="AA261" s="7"/>
    </row>
    <row r="262" spans="1:27" ht="12.75" x14ac:dyDescent="0.2">
      <c r="A262" s="8"/>
      <c r="B262" s="8" t="s">
        <v>552</v>
      </c>
      <c r="C262" s="8" t="s">
        <v>553</v>
      </c>
      <c r="D262" s="8">
        <v>2016</v>
      </c>
      <c r="E262" s="8"/>
      <c r="F262" s="25" t="s">
        <v>554</v>
      </c>
      <c r="G262" s="10"/>
      <c r="H262" s="10" t="s">
        <v>21</v>
      </c>
      <c r="I262" s="23" t="s">
        <v>21</v>
      </c>
      <c r="J262" s="12"/>
      <c r="K262" s="12"/>
      <c r="L262" s="13"/>
      <c r="M262" s="13"/>
      <c r="N262" s="13"/>
      <c r="O262" s="13"/>
      <c r="P262" s="14"/>
      <c r="Q262" s="14"/>
      <c r="R262" s="23" t="s">
        <v>21</v>
      </c>
      <c r="S262" s="15"/>
      <c r="T262" s="15"/>
      <c r="U262" s="16"/>
      <c r="V262" s="16"/>
      <c r="W262" s="16"/>
      <c r="X262" s="16"/>
      <c r="Y262" s="16"/>
      <c r="Z262" s="16"/>
      <c r="AA262" s="7"/>
    </row>
    <row r="263" spans="1:27" ht="12.75" x14ac:dyDescent="0.2">
      <c r="A263" s="8"/>
      <c r="B263" s="8" t="s">
        <v>555</v>
      </c>
      <c r="C263" s="8" t="s">
        <v>556</v>
      </c>
      <c r="D263" s="8">
        <v>2015</v>
      </c>
      <c r="E263" s="8"/>
      <c r="F263" s="25" t="s">
        <v>557</v>
      </c>
      <c r="G263" s="10"/>
      <c r="H263" s="10" t="s">
        <v>21</v>
      </c>
      <c r="I263" s="23" t="s">
        <v>21</v>
      </c>
      <c r="J263" s="12"/>
      <c r="K263" s="12"/>
      <c r="L263" s="13"/>
      <c r="M263" s="13"/>
      <c r="N263" s="13"/>
      <c r="O263" s="13"/>
      <c r="P263" s="14"/>
      <c r="Q263" s="14"/>
      <c r="R263" s="23" t="s">
        <v>21</v>
      </c>
      <c r="S263" s="15"/>
      <c r="T263" s="15"/>
      <c r="U263" s="16"/>
      <c r="V263" s="16"/>
      <c r="W263" s="16"/>
      <c r="X263" s="16"/>
      <c r="Y263" s="16"/>
      <c r="Z263" s="16"/>
      <c r="AA263" s="7"/>
    </row>
    <row r="264" spans="1:27" ht="12.75" x14ac:dyDescent="0.2">
      <c r="A264" s="8"/>
      <c r="B264" s="8" t="s">
        <v>558</v>
      </c>
      <c r="C264" s="8" t="s">
        <v>559</v>
      </c>
      <c r="D264" s="8">
        <v>2018</v>
      </c>
      <c r="E264" s="8"/>
      <c r="F264" s="25" t="s">
        <v>560</v>
      </c>
      <c r="G264" s="10"/>
      <c r="H264" s="10" t="s">
        <v>21</v>
      </c>
      <c r="I264" s="23" t="s">
        <v>21</v>
      </c>
      <c r="J264" s="12"/>
      <c r="K264" s="12"/>
      <c r="L264" s="13"/>
      <c r="M264" s="13"/>
      <c r="N264" s="13"/>
      <c r="O264" s="13"/>
      <c r="P264" s="14"/>
      <c r="Q264" s="14"/>
      <c r="R264" s="23" t="s">
        <v>21</v>
      </c>
      <c r="S264" s="15"/>
      <c r="T264" s="15"/>
      <c r="U264" s="16"/>
      <c r="V264" s="16"/>
      <c r="W264" s="16"/>
      <c r="X264" s="16"/>
      <c r="Y264" s="16"/>
      <c r="Z264" s="16"/>
      <c r="AA264" s="7"/>
    </row>
    <row r="265" spans="1:27" ht="12.75" x14ac:dyDescent="0.2">
      <c r="A265" s="8"/>
      <c r="B265" s="8" t="s">
        <v>561</v>
      </c>
      <c r="C265" s="8" t="s">
        <v>562</v>
      </c>
      <c r="D265" s="8">
        <v>2018</v>
      </c>
      <c r="E265" s="8"/>
      <c r="F265" s="25" t="s">
        <v>563</v>
      </c>
      <c r="G265" s="10"/>
      <c r="H265" s="10" t="s">
        <v>21</v>
      </c>
      <c r="I265" s="23" t="s">
        <v>21</v>
      </c>
      <c r="J265" s="12"/>
      <c r="K265" s="12"/>
      <c r="L265" s="13"/>
      <c r="M265" s="13"/>
      <c r="N265" s="13"/>
      <c r="O265" s="13"/>
      <c r="P265" s="14"/>
      <c r="Q265" s="14"/>
      <c r="R265" s="23" t="s">
        <v>21</v>
      </c>
      <c r="S265" s="15"/>
      <c r="T265" s="15"/>
      <c r="U265" s="16"/>
      <c r="V265" s="16"/>
      <c r="W265" s="16"/>
      <c r="X265" s="16"/>
      <c r="Y265" s="16"/>
      <c r="Z265" s="16"/>
      <c r="AA265" s="7"/>
    </row>
    <row r="266" spans="1:27" ht="12.75" x14ac:dyDescent="0.2">
      <c r="A266" s="8"/>
      <c r="B266" s="8" t="s">
        <v>564</v>
      </c>
      <c r="C266" s="8" t="s">
        <v>565</v>
      </c>
      <c r="D266" s="8">
        <v>2018</v>
      </c>
      <c r="E266" s="8"/>
      <c r="F266" s="25" t="s">
        <v>566</v>
      </c>
      <c r="G266" s="10"/>
      <c r="H266" s="10" t="s">
        <v>21</v>
      </c>
      <c r="I266" s="27" t="s">
        <v>21</v>
      </c>
      <c r="J266" s="12"/>
      <c r="K266" s="12"/>
      <c r="L266" s="13"/>
      <c r="M266" s="13"/>
      <c r="N266" s="13"/>
      <c r="O266" s="13"/>
      <c r="P266" s="14"/>
      <c r="Q266" s="14"/>
      <c r="R266" s="26" t="s">
        <v>21</v>
      </c>
      <c r="S266" s="15"/>
      <c r="T266" s="15"/>
      <c r="U266" s="16"/>
      <c r="V266" s="16"/>
      <c r="W266" s="16"/>
      <c r="X266" s="16"/>
      <c r="Y266" s="16"/>
      <c r="Z266" s="16"/>
      <c r="AA266" s="7"/>
    </row>
    <row r="267" spans="1:27" ht="12.75" x14ac:dyDescent="0.2">
      <c r="A267" s="8"/>
      <c r="B267" s="8" t="s">
        <v>567</v>
      </c>
      <c r="C267" s="8" t="s">
        <v>568</v>
      </c>
      <c r="D267" s="8">
        <v>2015</v>
      </c>
      <c r="E267" s="8"/>
      <c r="F267" s="25" t="s">
        <v>569</v>
      </c>
      <c r="G267" s="10"/>
      <c r="H267" s="10" t="s">
        <v>21</v>
      </c>
      <c r="I267" s="23" t="s">
        <v>21</v>
      </c>
      <c r="J267" s="12"/>
      <c r="K267" s="12"/>
      <c r="L267" s="13"/>
      <c r="M267" s="13"/>
      <c r="N267" s="13"/>
      <c r="O267" s="13"/>
      <c r="P267" s="14"/>
      <c r="Q267" s="14"/>
      <c r="R267" s="23" t="s">
        <v>21</v>
      </c>
      <c r="S267" s="15"/>
      <c r="T267" s="15"/>
      <c r="U267" s="16"/>
      <c r="V267" s="16"/>
      <c r="W267" s="16"/>
      <c r="X267" s="16"/>
      <c r="Y267" s="16"/>
      <c r="Z267" s="16"/>
      <c r="AA267" s="7"/>
    </row>
    <row r="268" spans="1:27" ht="12.75" x14ac:dyDescent="0.2">
      <c r="A268" s="8"/>
      <c r="B268" s="8" t="s">
        <v>570</v>
      </c>
      <c r="C268" s="8" t="s">
        <v>571</v>
      </c>
      <c r="D268" s="8">
        <v>2017</v>
      </c>
      <c r="E268" s="22"/>
      <c r="F268" s="25" t="s">
        <v>572</v>
      </c>
      <c r="G268" s="10"/>
      <c r="H268" s="10" t="s">
        <v>21</v>
      </c>
      <c r="I268" s="23" t="s">
        <v>21</v>
      </c>
      <c r="J268" s="29"/>
      <c r="K268" s="29"/>
      <c r="L268" s="30"/>
      <c r="M268" s="30"/>
      <c r="N268" s="30"/>
      <c r="O268" s="30"/>
      <c r="P268" s="30"/>
      <c r="Q268" s="30"/>
      <c r="R268" s="23" t="s">
        <v>21</v>
      </c>
      <c r="S268" s="31"/>
      <c r="T268" s="31"/>
      <c r="U268" s="24"/>
      <c r="V268" s="24"/>
      <c r="W268" s="24"/>
      <c r="X268" s="24"/>
      <c r="Y268" s="24"/>
      <c r="Z268" s="24"/>
      <c r="AA268" s="7"/>
    </row>
    <row r="269" spans="1:27" ht="12.75" x14ac:dyDescent="0.2">
      <c r="A269" s="8"/>
      <c r="B269" s="8" t="s">
        <v>561</v>
      </c>
      <c r="C269" s="8" t="s">
        <v>573</v>
      </c>
      <c r="D269" s="8">
        <v>2019</v>
      </c>
      <c r="E269" s="8"/>
      <c r="F269" s="25" t="s">
        <v>574</v>
      </c>
      <c r="G269" s="10"/>
      <c r="H269" s="10" t="s">
        <v>137</v>
      </c>
      <c r="I269" s="23" t="s">
        <v>21</v>
      </c>
      <c r="J269" s="12"/>
      <c r="K269" s="12"/>
      <c r="L269" s="13"/>
      <c r="M269" s="13"/>
      <c r="N269" s="13"/>
      <c r="O269" s="13"/>
      <c r="P269" s="14"/>
      <c r="Q269" s="14"/>
      <c r="R269" s="23" t="s">
        <v>259</v>
      </c>
      <c r="S269" s="31" t="b">
        <v>1</v>
      </c>
      <c r="T269" s="31" t="b">
        <v>1</v>
      </c>
      <c r="U269" s="16"/>
      <c r="V269" s="16"/>
      <c r="W269" s="16"/>
      <c r="X269" s="16"/>
      <c r="Y269" s="16"/>
      <c r="Z269" s="16"/>
      <c r="AA269" s="7"/>
    </row>
    <row r="270" spans="1:27" ht="12.75" x14ac:dyDescent="0.2">
      <c r="A270" s="8"/>
      <c r="B270" s="8"/>
      <c r="C270" s="8" t="s">
        <v>575</v>
      </c>
      <c r="D270" s="8"/>
      <c r="E270" s="8"/>
      <c r="F270" s="25" t="s">
        <v>576</v>
      </c>
      <c r="G270" s="10"/>
      <c r="H270" s="10" t="s">
        <v>21</v>
      </c>
      <c r="I270" s="23" t="s">
        <v>21</v>
      </c>
      <c r="J270" s="29" t="b">
        <v>0</v>
      </c>
      <c r="K270" s="29" t="b">
        <v>0</v>
      </c>
      <c r="L270" s="30" t="b">
        <v>0</v>
      </c>
      <c r="M270" s="30" t="b">
        <v>0</v>
      </c>
      <c r="N270" s="30" t="b">
        <v>0</v>
      </c>
      <c r="O270" s="30" t="b">
        <v>0</v>
      </c>
      <c r="P270" s="30" t="b">
        <v>0</v>
      </c>
      <c r="Q270" s="30" t="b">
        <v>0</v>
      </c>
      <c r="R270" s="23" t="s">
        <v>21</v>
      </c>
      <c r="S270" s="31" t="b">
        <v>0</v>
      </c>
      <c r="T270" s="31" t="b">
        <v>0</v>
      </c>
      <c r="U270" s="24" t="b">
        <v>0</v>
      </c>
      <c r="V270" s="24" t="b">
        <v>0</v>
      </c>
      <c r="W270" s="24" t="b">
        <v>0</v>
      </c>
      <c r="X270" s="24" t="b">
        <v>0</v>
      </c>
      <c r="Y270" s="24" t="b">
        <v>0</v>
      </c>
      <c r="Z270" s="24" t="b">
        <v>1</v>
      </c>
      <c r="AA270" s="7"/>
    </row>
    <row r="271" spans="1:27" ht="12.75" x14ac:dyDescent="0.2">
      <c r="A271" s="8"/>
      <c r="B271" s="8" t="s">
        <v>418</v>
      </c>
      <c r="C271" s="8" t="s">
        <v>577</v>
      </c>
      <c r="D271" s="8">
        <v>2016</v>
      </c>
      <c r="E271" s="8"/>
      <c r="F271" s="25" t="s">
        <v>578</v>
      </c>
      <c r="G271" s="10"/>
      <c r="H271" s="10" t="s">
        <v>21</v>
      </c>
      <c r="I271" s="23" t="s">
        <v>21</v>
      </c>
      <c r="J271" s="29" t="b">
        <v>0</v>
      </c>
      <c r="K271" s="29" t="b">
        <v>0</v>
      </c>
      <c r="L271" s="30" t="b">
        <v>0</v>
      </c>
      <c r="M271" s="30" t="b">
        <v>0</v>
      </c>
      <c r="N271" s="30" t="b">
        <v>0</v>
      </c>
      <c r="O271" s="30" t="b">
        <v>0</v>
      </c>
      <c r="P271" s="30" t="b">
        <v>0</v>
      </c>
      <c r="Q271" s="30" t="b">
        <v>0</v>
      </c>
      <c r="R271" s="23" t="s">
        <v>579</v>
      </c>
      <c r="S271" s="31" t="b">
        <v>0</v>
      </c>
      <c r="T271" s="31" t="b">
        <v>0</v>
      </c>
      <c r="U271" s="24" t="b">
        <v>0</v>
      </c>
      <c r="V271" s="24" t="b">
        <v>0</v>
      </c>
      <c r="W271" s="24" t="b">
        <v>0</v>
      </c>
      <c r="X271" s="24" t="b">
        <v>0</v>
      </c>
      <c r="Y271" s="24" t="b">
        <v>0</v>
      </c>
      <c r="Z271" s="24" t="b">
        <v>0</v>
      </c>
      <c r="AA271" s="7"/>
    </row>
    <row r="272" spans="1:27" ht="12.75" x14ac:dyDescent="0.2">
      <c r="A272" s="8"/>
      <c r="B272" s="8" t="s">
        <v>580</v>
      </c>
      <c r="C272" s="8" t="s">
        <v>581</v>
      </c>
      <c r="D272" s="8">
        <v>2002</v>
      </c>
      <c r="E272" s="8"/>
      <c r="F272" s="25" t="s">
        <v>582</v>
      </c>
      <c r="G272" s="10"/>
      <c r="H272" s="10" t="s">
        <v>21</v>
      </c>
      <c r="I272" s="23" t="s">
        <v>21</v>
      </c>
      <c r="J272" s="12"/>
      <c r="K272" s="12"/>
      <c r="L272" s="13"/>
      <c r="M272" s="13"/>
      <c r="N272" s="13"/>
      <c r="O272" s="13"/>
      <c r="P272" s="14"/>
      <c r="Q272" s="14"/>
      <c r="R272" s="23" t="s">
        <v>21</v>
      </c>
      <c r="S272" s="15"/>
      <c r="T272" s="15"/>
      <c r="U272" s="16"/>
      <c r="V272" s="16"/>
      <c r="W272" s="16"/>
      <c r="X272" s="16"/>
      <c r="Y272" s="16"/>
      <c r="Z272" s="16"/>
      <c r="AA272" s="7"/>
    </row>
    <row r="273" spans="1:27" ht="12.75" x14ac:dyDescent="0.2">
      <c r="A273" s="8"/>
      <c r="B273" s="8" t="s">
        <v>583</v>
      </c>
      <c r="C273" s="8" t="s">
        <v>584</v>
      </c>
      <c r="D273" s="8">
        <v>2015</v>
      </c>
      <c r="E273" s="8"/>
      <c r="F273" s="25" t="s">
        <v>585</v>
      </c>
      <c r="G273" s="10"/>
      <c r="H273" s="10" t="s">
        <v>21</v>
      </c>
      <c r="I273" s="23" t="s">
        <v>21</v>
      </c>
      <c r="J273" s="12"/>
      <c r="K273" s="12"/>
      <c r="L273" s="13"/>
      <c r="M273" s="13"/>
      <c r="N273" s="13"/>
      <c r="O273" s="13"/>
      <c r="P273" s="14"/>
      <c r="Q273" s="14"/>
      <c r="R273" s="23" t="s">
        <v>21</v>
      </c>
      <c r="S273" s="15"/>
      <c r="T273" s="15"/>
      <c r="U273" s="16"/>
      <c r="V273" s="16"/>
      <c r="W273" s="16"/>
      <c r="X273" s="16"/>
      <c r="Y273" s="16"/>
      <c r="Z273" s="16"/>
      <c r="AA273" s="7"/>
    </row>
    <row r="274" spans="1:27" ht="12.75" x14ac:dyDescent="0.2">
      <c r="A274" s="8"/>
      <c r="B274" s="8" t="s">
        <v>586</v>
      </c>
      <c r="C274" s="8" t="s">
        <v>587</v>
      </c>
      <c r="D274" s="8">
        <v>2016</v>
      </c>
      <c r="E274" s="8"/>
      <c r="F274" s="25" t="s">
        <v>588</v>
      </c>
      <c r="G274" s="10"/>
      <c r="H274" s="10" t="s">
        <v>259</v>
      </c>
      <c r="I274" s="23" t="s">
        <v>137</v>
      </c>
      <c r="J274" s="12"/>
      <c r="K274" s="12"/>
      <c r="L274" s="13"/>
      <c r="M274" s="13"/>
      <c r="N274" s="13"/>
      <c r="O274" s="13"/>
      <c r="P274" s="14"/>
      <c r="Q274" s="14"/>
      <c r="R274" s="23" t="s">
        <v>259</v>
      </c>
      <c r="S274" s="15"/>
      <c r="T274" s="15"/>
      <c r="U274" s="16"/>
      <c r="V274" s="16"/>
      <c r="W274" s="16"/>
      <c r="X274" s="16"/>
      <c r="Y274" s="16"/>
      <c r="Z274" s="16"/>
      <c r="AA274" s="7"/>
    </row>
    <row r="275" spans="1:27" ht="12.75" x14ac:dyDescent="0.2">
      <c r="A275" s="8"/>
      <c r="B275" s="8" t="s">
        <v>589</v>
      </c>
      <c r="C275" s="8" t="s">
        <v>590</v>
      </c>
      <c r="D275" s="8">
        <v>2017</v>
      </c>
      <c r="E275" s="8"/>
      <c r="F275" s="25" t="s">
        <v>591</v>
      </c>
      <c r="G275" s="10"/>
      <c r="H275" s="10" t="s">
        <v>21</v>
      </c>
      <c r="I275" s="23" t="s">
        <v>21</v>
      </c>
      <c r="J275" s="12"/>
      <c r="K275" s="12"/>
      <c r="L275" s="30"/>
      <c r="M275" s="13"/>
      <c r="N275" s="13"/>
      <c r="O275" s="13"/>
      <c r="P275" s="14"/>
      <c r="Q275" s="14"/>
      <c r="R275" s="23" t="s">
        <v>21</v>
      </c>
      <c r="S275" s="15"/>
      <c r="T275" s="15"/>
      <c r="U275" s="16"/>
      <c r="V275" s="16"/>
      <c r="W275" s="16"/>
      <c r="X275" s="16"/>
      <c r="Y275" s="16"/>
      <c r="Z275" s="16"/>
      <c r="AA275" s="7"/>
    </row>
    <row r="276" spans="1:27" ht="12.75" x14ac:dyDescent="0.2">
      <c r="A276" s="8"/>
      <c r="B276" s="8" t="s">
        <v>592</v>
      </c>
      <c r="C276" s="8" t="s">
        <v>593</v>
      </c>
      <c r="D276" s="8">
        <v>2015</v>
      </c>
      <c r="E276" s="8"/>
      <c r="F276" s="10"/>
      <c r="G276" s="10"/>
      <c r="H276" s="10" t="s">
        <v>21</v>
      </c>
      <c r="I276" s="23" t="s">
        <v>21</v>
      </c>
      <c r="J276" s="29"/>
      <c r="K276" s="29"/>
      <c r="L276" s="30"/>
      <c r="M276" s="30"/>
      <c r="N276" s="30"/>
      <c r="O276" s="30"/>
      <c r="P276" s="30"/>
      <c r="Q276" s="30"/>
      <c r="R276" s="23" t="s">
        <v>21</v>
      </c>
      <c r="S276" s="31"/>
      <c r="T276" s="31"/>
      <c r="U276" s="24"/>
      <c r="V276" s="24"/>
      <c r="W276" s="24"/>
      <c r="X276" s="24"/>
      <c r="Y276" s="24"/>
      <c r="Z276" s="24"/>
      <c r="AA276" s="7"/>
    </row>
    <row r="277" spans="1:27" ht="12.75" x14ac:dyDescent="0.2">
      <c r="A277" s="8"/>
      <c r="B277" s="8" t="s">
        <v>594</v>
      </c>
      <c r="C277" s="8" t="s">
        <v>595</v>
      </c>
      <c r="D277" s="8">
        <v>2016</v>
      </c>
      <c r="E277" s="8"/>
      <c r="F277" s="25" t="s">
        <v>596</v>
      </c>
      <c r="G277" s="10"/>
      <c r="H277" s="10" t="s">
        <v>21</v>
      </c>
      <c r="I277" s="23" t="s">
        <v>21</v>
      </c>
      <c r="J277" s="29"/>
      <c r="K277" s="29"/>
      <c r="L277" s="30"/>
      <c r="M277" s="30"/>
      <c r="N277" s="30"/>
      <c r="O277" s="30"/>
      <c r="P277" s="30"/>
      <c r="Q277" s="30"/>
      <c r="R277" s="23" t="s">
        <v>21</v>
      </c>
      <c r="S277" s="31"/>
      <c r="T277" s="31"/>
      <c r="U277" s="24"/>
      <c r="V277" s="24"/>
      <c r="W277" s="24"/>
      <c r="X277" s="24"/>
      <c r="Y277" s="24"/>
      <c r="Z277" s="24"/>
      <c r="AA277" s="7"/>
    </row>
    <row r="278" spans="1:27" ht="12.75" x14ac:dyDescent="0.2">
      <c r="A278" s="8"/>
      <c r="B278" s="8" t="s">
        <v>597</v>
      </c>
      <c r="C278" s="8" t="s">
        <v>598</v>
      </c>
      <c r="D278" s="8">
        <v>2019</v>
      </c>
      <c r="E278" s="8"/>
      <c r="F278" s="25" t="s">
        <v>599</v>
      </c>
      <c r="G278" s="10"/>
      <c r="H278" s="10" t="s">
        <v>21</v>
      </c>
      <c r="I278" s="23" t="s">
        <v>21</v>
      </c>
      <c r="J278" s="29" t="b">
        <v>0</v>
      </c>
      <c r="K278" s="29" t="b">
        <v>0</v>
      </c>
      <c r="L278" s="30" t="b">
        <v>0</v>
      </c>
      <c r="M278" s="30" t="b">
        <v>0</v>
      </c>
      <c r="N278" s="30" t="b">
        <v>0</v>
      </c>
      <c r="O278" s="30" t="b">
        <v>0</v>
      </c>
      <c r="P278" s="30" t="b">
        <v>0</v>
      </c>
      <c r="Q278" s="30" t="b">
        <v>0</v>
      </c>
      <c r="R278" s="23" t="s">
        <v>21</v>
      </c>
      <c r="S278" s="31" t="b">
        <v>0</v>
      </c>
      <c r="T278" s="31" t="b">
        <v>0</v>
      </c>
      <c r="U278" s="24" t="b">
        <v>0</v>
      </c>
      <c r="V278" s="24" t="b">
        <v>0</v>
      </c>
      <c r="W278" s="24" t="b">
        <v>0</v>
      </c>
      <c r="X278" s="24" t="b">
        <v>0</v>
      </c>
      <c r="Y278" s="24" t="b">
        <v>0</v>
      </c>
      <c r="Z278" s="24" t="b">
        <v>0</v>
      </c>
      <c r="AA278" s="7"/>
    </row>
    <row r="279" spans="1:27" ht="12.75" x14ac:dyDescent="0.2">
      <c r="A279" s="8"/>
      <c r="B279" s="8" t="s">
        <v>600</v>
      </c>
      <c r="C279" s="8" t="s">
        <v>601</v>
      </c>
      <c r="D279" s="8">
        <v>2016</v>
      </c>
      <c r="E279" s="8"/>
      <c r="F279" s="25" t="s">
        <v>602</v>
      </c>
      <c r="G279" s="10"/>
      <c r="H279" s="10" t="s">
        <v>21</v>
      </c>
      <c r="I279" s="23" t="s">
        <v>21</v>
      </c>
      <c r="J279" s="12"/>
      <c r="K279" s="12"/>
      <c r="L279" s="13"/>
      <c r="M279" s="13"/>
      <c r="N279" s="13"/>
      <c r="O279" s="13"/>
      <c r="P279" s="14"/>
      <c r="Q279" s="14"/>
      <c r="R279" s="23" t="s">
        <v>21</v>
      </c>
      <c r="S279" s="15"/>
      <c r="T279" s="15"/>
      <c r="U279" s="16"/>
      <c r="V279" s="16"/>
      <c r="W279" s="16"/>
      <c r="X279" s="16"/>
      <c r="Y279" s="16"/>
      <c r="Z279" s="16"/>
      <c r="AA279" s="7"/>
    </row>
    <row r="280" spans="1:27" ht="12.75" x14ac:dyDescent="0.2">
      <c r="A280" s="8"/>
      <c r="B280" s="8" t="s">
        <v>603</v>
      </c>
      <c r="C280" s="8" t="s">
        <v>604</v>
      </c>
      <c r="D280" s="8">
        <v>2016</v>
      </c>
      <c r="E280" s="8"/>
      <c r="F280" s="25" t="s">
        <v>605</v>
      </c>
      <c r="G280" s="10"/>
      <c r="H280" s="10" t="s">
        <v>21</v>
      </c>
      <c r="I280" s="23" t="s">
        <v>21</v>
      </c>
      <c r="J280" s="12"/>
      <c r="K280" s="12"/>
      <c r="L280" s="13"/>
      <c r="M280" s="13"/>
      <c r="N280" s="13"/>
      <c r="O280" s="13"/>
      <c r="P280" s="14"/>
      <c r="Q280" s="14"/>
      <c r="R280" s="23" t="s">
        <v>21</v>
      </c>
      <c r="S280" s="31"/>
      <c r="T280" s="31"/>
      <c r="U280" s="16"/>
      <c r="V280" s="16"/>
      <c r="W280" s="16"/>
      <c r="X280" s="16"/>
      <c r="Y280" s="16"/>
      <c r="Z280" s="16"/>
      <c r="AA280" s="7"/>
    </row>
    <row r="281" spans="1:27" ht="12.75" x14ac:dyDescent="0.2">
      <c r="A281" s="8"/>
      <c r="B281" s="8" t="s">
        <v>592</v>
      </c>
      <c r="C281" s="8" t="s">
        <v>606</v>
      </c>
      <c r="D281" s="8">
        <v>2014</v>
      </c>
      <c r="E281" s="8"/>
      <c r="F281" s="10"/>
      <c r="G281" s="10"/>
      <c r="H281" s="10" t="s">
        <v>21</v>
      </c>
      <c r="I281" s="23" t="s">
        <v>21</v>
      </c>
      <c r="J281" s="12"/>
      <c r="K281" s="12"/>
      <c r="L281" s="13"/>
      <c r="M281" s="13"/>
      <c r="N281" s="13"/>
      <c r="O281" s="13"/>
      <c r="P281" s="14"/>
      <c r="Q281" s="14"/>
      <c r="R281" s="23" t="s">
        <v>21</v>
      </c>
      <c r="S281" s="15"/>
      <c r="T281" s="15"/>
      <c r="U281" s="16"/>
      <c r="V281" s="16"/>
      <c r="W281" s="16"/>
      <c r="X281" s="16"/>
      <c r="Y281" s="16"/>
      <c r="Z281" s="16"/>
      <c r="AA281" s="7"/>
    </row>
    <row r="282" spans="1:27" ht="12.75" x14ac:dyDescent="0.2">
      <c r="A282" s="8"/>
      <c r="B282" s="8" t="s">
        <v>607</v>
      </c>
      <c r="C282" s="8" t="s">
        <v>608</v>
      </c>
      <c r="D282" s="8">
        <v>2015</v>
      </c>
      <c r="E282" s="8"/>
      <c r="F282" s="25" t="s">
        <v>609</v>
      </c>
      <c r="G282" s="10"/>
      <c r="H282" s="10" t="s">
        <v>21</v>
      </c>
      <c r="I282" s="23" t="s">
        <v>21</v>
      </c>
      <c r="J282" s="12"/>
      <c r="K282" s="12"/>
      <c r="L282" s="13"/>
      <c r="M282" s="13"/>
      <c r="N282" s="13"/>
      <c r="O282" s="13"/>
      <c r="P282" s="14"/>
      <c r="Q282" s="14"/>
      <c r="R282" s="23" t="s">
        <v>21</v>
      </c>
      <c r="S282" s="15"/>
      <c r="T282" s="15"/>
      <c r="U282" s="16"/>
      <c r="V282" s="16"/>
      <c r="W282" s="16"/>
      <c r="X282" s="16"/>
      <c r="Y282" s="16"/>
      <c r="Z282" s="16"/>
      <c r="AA282" s="7"/>
    </row>
    <row r="283" spans="1:27" ht="12.75" x14ac:dyDescent="0.2">
      <c r="A283" s="8"/>
      <c r="B283" s="8" t="s">
        <v>610</v>
      </c>
      <c r="C283" s="8" t="s">
        <v>611</v>
      </c>
      <c r="D283" s="8">
        <v>2018</v>
      </c>
      <c r="E283" s="8"/>
      <c r="F283" s="25" t="s">
        <v>612</v>
      </c>
      <c r="G283" s="10"/>
      <c r="H283" s="10" t="s">
        <v>21</v>
      </c>
      <c r="I283" s="23" t="s">
        <v>21</v>
      </c>
      <c r="J283" s="29" t="b">
        <v>0</v>
      </c>
      <c r="K283" s="29" t="b">
        <v>0</v>
      </c>
      <c r="L283" s="30" t="b">
        <v>0</v>
      </c>
      <c r="M283" s="30" t="b">
        <v>0</v>
      </c>
      <c r="N283" s="30" t="b">
        <v>0</v>
      </c>
      <c r="O283" s="30" t="b">
        <v>0</v>
      </c>
      <c r="P283" s="30" t="b">
        <v>0</v>
      </c>
      <c r="Q283" s="30" t="b">
        <v>0</v>
      </c>
      <c r="R283" s="23" t="s">
        <v>21</v>
      </c>
      <c r="S283" s="31" t="b">
        <v>0</v>
      </c>
      <c r="T283" s="31" t="b">
        <v>0</v>
      </c>
      <c r="U283" s="24" t="b">
        <v>0</v>
      </c>
      <c r="V283" s="24" t="b">
        <v>0</v>
      </c>
      <c r="W283" s="24" t="b">
        <v>0</v>
      </c>
      <c r="X283" s="24" t="b">
        <v>0</v>
      </c>
      <c r="Y283" s="24" t="b">
        <v>0</v>
      </c>
      <c r="Z283" s="24" t="b">
        <v>0</v>
      </c>
      <c r="AA283" s="7"/>
    </row>
    <row r="284" spans="1:27" ht="12.75" x14ac:dyDescent="0.2">
      <c r="A284" s="8"/>
      <c r="B284" s="8" t="s">
        <v>613</v>
      </c>
      <c r="C284" s="8" t="s">
        <v>614</v>
      </c>
      <c r="D284" s="8">
        <v>2017</v>
      </c>
      <c r="E284" s="8"/>
      <c r="F284" s="25" t="s">
        <v>615</v>
      </c>
      <c r="G284" s="10"/>
      <c r="H284" s="10" t="s">
        <v>21</v>
      </c>
      <c r="I284" s="23" t="s">
        <v>21</v>
      </c>
      <c r="J284" s="12"/>
      <c r="K284" s="12"/>
      <c r="L284" s="13"/>
      <c r="M284" s="13"/>
      <c r="N284" s="13"/>
      <c r="O284" s="13"/>
      <c r="P284" s="14"/>
      <c r="Q284" s="14"/>
      <c r="R284" s="23" t="s">
        <v>21</v>
      </c>
      <c r="S284" s="15"/>
      <c r="T284" s="15"/>
      <c r="U284" s="16"/>
      <c r="V284" s="16"/>
      <c r="W284" s="16"/>
      <c r="X284" s="16"/>
      <c r="Y284" s="16"/>
      <c r="Z284" s="16"/>
      <c r="AA284" s="7"/>
    </row>
    <row r="285" spans="1:27" ht="12.75" x14ac:dyDescent="0.2">
      <c r="A285" s="8"/>
      <c r="B285" s="8" t="s">
        <v>616</v>
      </c>
      <c r="C285" s="8" t="s">
        <v>617</v>
      </c>
      <c r="D285" s="8">
        <v>2019</v>
      </c>
      <c r="E285" s="8"/>
      <c r="F285" s="25" t="s">
        <v>618</v>
      </c>
      <c r="G285" s="10"/>
      <c r="H285" s="10" t="s">
        <v>21</v>
      </c>
      <c r="I285" s="23" t="s">
        <v>21</v>
      </c>
      <c r="J285" s="12"/>
      <c r="K285" s="12"/>
      <c r="L285" s="13"/>
      <c r="M285" s="13"/>
      <c r="N285" s="13"/>
      <c r="O285" s="13"/>
      <c r="P285" s="14"/>
      <c r="Q285" s="14"/>
      <c r="R285" s="23" t="s">
        <v>21</v>
      </c>
      <c r="S285" s="15"/>
      <c r="T285" s="15"/>
      <c r="U285" s="16"/>
      <c r="V285" s="16"/>
      <c r="W285" s="16"/>
      <c r="X285" s="16"/>
      <c r="Y285" s="16"/>
      <c r="Z285" s="16"/>
      <c r="AA285" s="7"/>
    </row>
    <row r="286" spans="1:27" ht="12.75" x14ac:dyDescent="0.2">
      <c r="A286" s="8"/>
      <c r="B286" s="8" t="s">
        <v>619</v>
      </c>
      <c r="C286" s="8" t="s">
        <v>620</v>
      </c>
      <c r="D286" s="8">
        <v>2006</v>
      </c>
      <c r="E286" s="8"/>
      <c r="F286" s="25" t="s">
        <v>621</v>
      </c>
      <c r="G286" s="10"/>
      <c r="H286" s="10" t="s">
        <v>21</v>
      </c>
      <c r="I286" s="23" t="s">
        <v>21</v>
      </c>
      <c r="J286" s="12"/>
      <c r="K286" s="12"/>
      <c r="L286" s="13"/>
      <c r="M286" s="13"/>
      <c r="N286" s="13"/>
      <c r="O286" s="13"/>
      <c r="P286" s="14"/>
      <c r="Q286" s="14"/>
      <c r="R286" s="23" t="s">
        <v>21</v>
      </c>
      <c r="S286" s="15"/>
      <c r="T286" s="15"/>
      <c r="U286" s="16"/>
      <c r="V286" s="16"/>
      <c r="W286" s="16"/>
      <c r="X286" s="16"/>
      <c r="Y286" s="16"/>
      <c r="Z286" s="16"/>
      <c r="AA286" s="7"/>
    </row>
    <row r="287" spans="1:27" ht="12.75" x14ac:dyDescent="0.2">
      <c r="A287" s="8"/>
      <c r="B287" s="8" t="s">
        <v>622</v>
      </c>
      <c r="C287" s="8" t="s">
        <v>623</v>
      </c>
      <c r="D287" s="8"/>
      <c r="E287" s="8"/>
      <c r="F287" s="10"/>
      <c r="G287" s="10"/>
      <c r="H287" s="10" t="s">
        <v>21</v>
      </c>
      <c r="I287" s="23" t="s">
        <v>21</v>
      </c>
      <c r="J287" s="29" t="b">
        <v>0</v>
      </c>
      <c r="K287" s="29" t="b">
        <v>0</v>
      </c>
      <c r="L287" s="30" t="b">
        <v>0</v>
      </c>
      <c r="M287" s="30" t="b">
        <v>0</v>
      </c>
      <c r="N287" s="30" t="b">
        <v>0</v>
      </c>
      <c r="O287" s="30" t="b">
        <v>0</v>
      </c>
      <c r="P287" s="30" t="b">
        <v>0</v>
      </c>
      <c r="Q287" s="30" t="b">
        <v>0</v>
      </c>
      <c r="R287" s="23" t="s">
        <v>21</v>
      </c>
      <c r="S287" s="31" t="b">
        <v>0</v>
      </c>
      <c r="T287" s="31" t="b">
        <v>0</v>
      </c>
      <c r="U287" s="24" t="b">
        <v>0</v>
      </c>
      <c r="V287" s="24" t="b">
        <v>0</v>
      </c>
      <c r="W287" s="24" t="b">
        <v>0</v>
      </c>
      <c r="X287" s="24" t="b">
        <v>0</v>
      </c>
      <c r="Y287" s="24" t="b">
        <v>0</v>
      </c>
      <c r="Z287" s="24" t="b">
        <v>0</v>
      </c>
      <c r="AA287" s="7"/>
    </row>
    <row r="288" spans="1:27" ht="12.75" x14ac:dyDescent="0.2">
      <c r="A288" s="8"/>
      <c r="B288" s="8" t="s">
        <v>624</v>
      </c>
      <c r="C288" s="8" t="s">
        <v>625</v>
      </c>
      <c r="D288" s="8">
        <v>2018</v>
      </c>
      <c r="E288" s="8"/>
      <c r="F288" s="25" t="s">
        <v>626</v>
      </c>
      <c r="G288" s="10"/>
      <c r="H288" s="10" t="s">
        <v>21</v>
      </c>
      <c r="I288" s="23" t="s">
        <v>21</v>
      </c>
      <c r="J288" s="12"/>
      <c r="K288" s="12"/>
      <c r="L288" s="13"/>
      <c r="M288" s="13"/>
      <c r="N288" s="13"/>
      <c r="O288" s="13"/>
      <c r="P288" s="14"/>
      <c r="Q288" s="14"/>
      <c r="R288" s="23" t="s">
        <v>21</v>
      </c>
      <c r="S288" s="15"/>
      <c r="T288" s="15"/>
      <c r="U288" s="16"/>
      <c r="V288" s="16"/>
      <c r="W288" s="16"/>
      <c r="X288" s="16"/>
      <c r="Y288" s="16"/>
      <c r="Z288" s="16"/>
      <c r="AA288" s="7"/>
    </row>
    <row r="289" spans="1:27" ht="12.75" x14ac:dyDescent="0.2">
      <c r="A289" s="8"/>
      <c r="B289" s="8" t="s">
        <v>627</v>
      </c>
      <c r="C289" s="8" t="s">
        <v>628</v>
      </c>
      <c r="D289" s="8"/>
      <c r="E289" s="8"/>
      <c r="F289" s="25" t="s">
        <v>629</v>
      </c>
      <c r="G289" s="10"/>
      <c r="H289" s="10" t="s">
        <v>21</v>
      </c>
      <c r="I289" s="27" t="s">
        <v>21</v>
      </c>
      <c r="J289" s="12"/>
      <c r="K289" s="12"/>
      <c r="L289" s="13"/>
      <c r="M289" s="13"/>
      <c r="N289" s="13"/>
      <c r="O289" s="13"/>
      <c r="P289" s="14"/>
      <c r="Q289" s="14"/>
      <c r="R289" s="27" t="s">
        <v>21</v>
      </c>
      <c r="S289" s="15"/>
      <c r="T289" s="15"/>
      <c r="U289" s="16"/>
      <c r="V289" s="16"/>
      <c r="W289" s="16"/>
      <c r="X289" s="16"/>
      <c r="Y289" s="16"/>
      <c r="Z289" s="16"/>
      <c r="AA289" s="7"/>
    </row>
    <row r="290" spans="1:27" ht="12.75" x14ac:dyDescent="0.2">
      <c r="A290" s="8"/>
      <c r="B290" s="8" t="s">
        <v>630</v>
      </c>
      <c r="C290" s="8" t="s">
        <v>631</v>
      </c>
      <c r="D290" s="8">
        <v>2020</v>
      </c>
      <c r="E290" s="8"/>
      <c r="F290" s="25" t="s">
        <v>632</v>
      </c>
      <c r="G290" s="10"/>
      <c r="H290" s="10" t="s">
        <v>21</v>
      </c>
      <c r="I290" s="23" t="s">
        <v>21</v>
      </c>
      <c r="J290" s="12"/>
      <c r="K290" s="12"/>
      <c r="L290" s="13"/>
      <c r="M290" s="13"/>
      <c r="N290" s="13"/>
      <c r="O290" s="13"/>
      <c r="P290" s="14"/>
      <c r="Q290" s="14"/>
      <c r="R290" s="23" t="s">
        <v>21</v>
      </c>
      <c r="S290" s="15"/>
      <c r="T290" s="15"/>
      <c r="U290" s="16"/>
      <c r="V290" s="16"/>
      <c r="W290" s="16"/>
      <c r="X290" s="16"/>
      <c r="Y290" s="16"/>
      <c r="Z290" s="16"/>
      <c r="AA290" s="7"/>
    </row>
    <row r="291" spans="1:27" ht="12.75" x14ac:dyDescent="0.2">
      <c r="A291" s="8"/>
      <c r="B291" s="8" t="s">
        <v>418</v>
      </c>
      <c r="C291" s="8" t="s">
        <v>633</v>
      </c>
      <c r="D291" s="8">
        <v>2016</v>
      </c>
      <c r="E291" s="8"/>
      <c r="F291" s="25" t="s">
        <v>634</v>
      </c>
      <c r="G291" s="10"/>
      <c r="H291" s="10" t="s">
        <v>21</v>
      </c>
      <c r="I291" s="26" t="s">
        <v>21</v>
      </c>
      <c r="J291" s="29" t="b">
        <v>0</v>
      </c>
      <c r="K291" s="29" t="b">
        <v>0</v>
      </c>
      <c r="L291" s="30" t="b">
        <v>0</v>
      </c>
      <c r="M291" s="30" t="b">
        <v>0</v>
      </c>
      <c r="N291" s="30" t="b">
        <v>0</v>
      </c>
      <c r="O291" s="30" t="b">
        <v>0</v>
      </c>
      <c r="P291" s="30" t="b">
        <v>0</v>
      </c>
      <c r="Q291" s="30" t="b">
        <v>0</v>
      </c>
      <c r="R291" s="23" t="s">
        <v>21</v>
      </c>
      <c r="S291" s="31" t="b">
        <v>0</v>
      </c>
      <c r="T291" s="31" t="b">
        <v>0</v>
      </c>
      <c r="U291" s="24" t="b">
        <v>0</v>
      </c>
      <c r="V291" s="24" t="b">
        <v>0</v>
      </c>
      <c r="W291" s="24" t="b">
        <v>0</v>
      </c>
      <c r="X291" s="24" t="b">
        <v>0</v>
      </c>
      <c r="Y291" s="24" t="b">
        <v>0</v>
      </c>
      <c r="Z291" s="24" t="b">
        <v>0</v>
      </c>
      <c r="AA291" s="7"/>
    </row>
    <row r="292" spans="1:27" ht="12.75" x14ac:dyDescent="0.2">
      <c r="A292" s="8"/>
      <c r="B292" s="8" t="s">
        <v>635</v>
      </c>
      <c r="C292" s="8" t="s">
        <v>636</v>
      </c>
      <c r="D292" s="8">
        <v>2020</v>
      </c>
      <c r="E292" s="8"/>
      <c r="F292" s="17" t="s">
        <v>637</v>
      </c>
      <c r="G292" s="10"/>
      <c r="H292" s="10" t="s">
        <v>21</v>
      </c>
      <c r="I292" s="27" t="s">
        <v>21</v>
      </c>
      <c r="J292" s="12"/>
      <c r="K292" s="12"/>
      <c r="L292" s="13"/>
      <c r="M292" s="13"/>
      <c r="N292" s="13"/>
      <c r="O292" s="13"/>
      <c r="P292" s="14"/>
      <c r="Q292" s="14"/>
      <c r="R292" s="26" t="s">
        <v>21</v>
      </c>
      <c r="S292" s="15"/>
      <c r="T292" s="15"/>
      <c r="U292" s="16"/>
      <c r="V292" s="16"/>
      <c r="W292" s="16"/>
      <c r="X292" s="16"/>
      <c r="Y292" s="16"/>
      <c r="Z292" s="16"/>
      <c r="AA292" s="7"/>
    </row>
    <row r="293" spans="1:27" ht="12.75" x14ac:dyDescent="0.2">
      <c r="A293" s="8"/>
      <c r="B293" s="8" t="s">
        <v>638</v>
      </c>
      <c r="C293" s="8" t="s">
        <v>639</v>
      </c>
      <c r="D293" s="8">
        <v>2019</v>
      </c>
      <c r="E293" s="8"/>
      <c r="F293" s="25" t="s">
        <v>640</v>
      </c>
      <c r="G293" s="10"/>
      <c r="H293" s="10" t="s">
        <v>21</v>
      </c>
      <c r="I293" s="23" t="s">
        <v>21</v>
      </c>
      <c r="J293" s="29" t="b">
        <v>0</v>
      </c>
      <c r="K293" s="29" t="b">
        <v>0</v>
      </c>
      <c r="L293" s="30" t="b">
        <v>0</v>
      </c>
      <c r="M293" s="30" t="b">
        <v>0</v>
      </c>
      <c r="N293" s="30" t="b">
        <v>0</v>
      </c>
      <c r="O293" s="30" t="b">
        <v>0</v>
      </c>
      <c r="P293" s="30" t="b">
        <v>0</v>
      </c>
      <c r="Q293" s="30" t="b">
        <v>1</v>
      </c>
      <c r="R293" s="23" t="s">
        <v>21</v>
      </c>
      <c r="S293" s="31" t="b">
        <v>0</v>
      </c>
      <c r="T293" s="31" t="b">
        <v>0</v>
      </c>
      <c r="U293" s="24" t="b">
        <v>0</v>
      </c>
      <c r="V293" s="24" t="b">
        <v>0</v>
      </c>
      <c r="W293" s="24" t="b">
        <v>0</v>
      </c>
      <c r="X293" s="24" t="b">
        <v>0</v>
      </c>
      <c r="Y293" s="24" t="b">
        <v>0</v>
      </c>
      <c r="Z293" s="24" t="b">
        <v>0</v>
      </c>
      <c r="AA293" s="7"/>
    </row>
    <row r="294" spans="1:27" ht="12.75" x14ac:dyDescent="0.2">
      <c r="A294" s="8"/>
      <c r="B294" s="8" t="s">
        <v>641</v>
      </c>
      <c r="C294" s="8" t="s">
        <v>642</v>
      </c>
      <c r="D294" s="8">
        <v>2019</v>
      </c>
      <c r="E294" s="8"/>
      <c r="F294" s="25" t="s">
        <v>643</v>
      </c>
      <c r="G294" s="10"/>
      <c r="H294" s="10" t="s">
        <v>21</v>
      </c>
      <c r="I294" s="23" t="s">
        <v>21</v>
      </c>
      <c r="J294" s="29" t="b">
        <v>0</v>
      </c>
      <c r="K294" s="29" t="b">
        <v>0</v>
      </c>
      <c r="L294" s="30" t="b">
        <v>0</v>
      </c>
      <c r="M294" s="30" t="b">
        <v>0</v>
      </c>
      <c r="N294" s="30" t="b">
        <v>0</v>
      </c>
      <c r="O294" s="30" t="b">
        <v>0</v>
      </c>
      <c r="P294" s="30" t="b">
        <v>0</v>
      </c>
      <c r="Q294" s="30" t="b">
        <v>0</v>
      </c>
      <c r="R294" s="23" t="s">
        <v>21</v>
      </c>
      <c r="S294" s="31" t="b">
        <v>0</v>
      </c>
      <c r="T294" s="31" t="b">
        <v>0</v>
      </c>
      <c r="U294" s="24" t="b">
        <v>0</v>
      </c>
      <c r="V294" s="24" t="b">
        <v>0</v>
      </c>
      <c r="W294" s="24" t="b">
        <v>0</v>
      </c>
      <c r="X294" s="24" t="b">
        <v>0</v>
      </c>
      <c r="Y294" s="24" t="b">
        <v>0</v>
      </c>
      <c r="Z294" s="24" t="b">
        <v>0</v>
      </c>
      <c r="AA294" s="7"/>
    </row>
    <row r="295" spans="1:27" ht="12.75" x14ac:dyDescent="0.2">
      <c r="A295" s="8"/>
      <c r="B295" s="8" t="s">
        <v>428</v>
      </c>
      <c r="C295" s="8" t="s">
        <v>644</v>
      </c>
      <c r="D295" s="8">
        <v>2020</v>
      </c>
      <c r="E295" s="8"/>
      <c r="F295" s="25" t="s">
        <v>645</v>
      </c>
      <c r="G295" s="10"/>
      <c r="H295" s="10" t="s">
        <v>21</v>
      </c>
      <c r="I295" s="26" t="s">
        <v>21</v>
      </c>
      <c r="J295" s="29" t="b">
        <v>0</v>
      </c>
      <c r="K295" s="29" t="b">
        <v>0</v>
      </c>
      <c r="L295" s="30" t="b">
        <v>0</v>
      </c>
      <c r="M295" s="30" t="b">
        <v>0</v>
      </c>
      <c r="N295" s="30" t="b">
        <v>0</v>
      </c>
      <c r="O295" s="30" t="b">
        <v>0</v>
      </c>
      <c r="P295" s="30" t="b">
        <v>0</v>
      </c>
      <c r="Q295" s="30" t="b">
        <v>0</v>
      </c>
      <c r="R295" s="23" t="s">
        <v>21</v>
      </c>
      <c r="S295" s="31" t="b">
        <v>0</v>
      </c>
      <c r="T295" s="31" t="b">
        <v>0</v>
      </c>
      <c r="U295" s="24" t="b">
        <v>0</v>
      </c>
      <c r="V295" s="24" t="b">
        <v>0</v>
      </c>
      <c r="W295" s="24" t="b">
        <v>0</v>
      </c>
      <c r="X295" s="24" t="b">
        <v>0</v>
      </c>
      <c r="Y295" s="24" t="b">
        <v>0</v>
      </c>
      <c r="Z295" s="24" t="b">
        <v>0</v>
      </c>
      <c r="AA295" s="7"/>
    </row>
    <row r="296" spans="1:27" ht="12.75" x14ac:dyDescent="0.2">
      <c r="A296" s="8"/>
      <c r="B296" s="8" t="s">
        <v>646</v>
      </c>
      <c r="C296" s="8" t="s">
        <v>647</v>
      </c>
      <c r="D296" s="8">
        <v>2020</v>
      </c>
      <c r="E296" s="8"/>
      <c r="F296" s="10"/>
      <c r="G296" s="10"/>
      <c r="H296" s="10" t="s">
        <v>21</v>
      </c>
      <c r="I296" s="23" t="s">
        <v>21</v>
      </c>
      <c r="J296" s="12"/>
      <c r="K296" s="12"/>
      <c r="L296" s="13"/>
      <c r="M296" s="13"/>
      <c r="N296" s="13"/>
      <c r="O296" s="13"/>
      <c r="P296" s="14"/>
      <c r="Q296" s="14"/>
      <c r="R296" s="23" t="s">
        <v>21</v>
      </c>
      <c r="S296" s="15"/>
      <c r="T296" s="15"/>
      <c r="U296" s="16"/>
      <c r="V296" s="16"/>
      <c r="W296" s="16"/>
      <c r="X296" s="16"/>
      <c r="Y296" s="16"/>
      <c r="Z296" s="16"/>
      <c r="AA296" s="7"/>
    </row>
    <row r="297" spans="1:27" ht="12.75" x14ac:dyDescent="0.2">
      <c r="A297" s="8"/>
      <c r="B297" s="8" t="s">
        <v>648</v>
      </c>
      <c r="C297" s="8" t="s">
        <v>649</v>
      </c>
      <c r="D297" s="8">
        <v>2010</v>
      </c>
      <c r="E297" s="8"/>
      <c r="F297" s="25" t="s">
        <v>650</v>
      </c>
      <c r="G297" s="10"/>
      <c r="H297" s="10" t="s">
        <v>21</v>
      </c>
      <c r="I297" s="23" t="s">
        <v>21</v>
      </c>
      <c r="J297" s="29" t="b">
        <v>0</v>
      </c>
      <c r="K297" s="29" t="b">
        <v>0</v>
      </c>
      <c r="L297" s="30" t="b">
        <v>0</v>
      </c>
      <c r="M297" s="30" t="b">
        <v>0</v>
      </c>
      <c r="N297" s="30" t="b">
        <v>0</v>
      </c>
      <c r="O297" s="30" t="b">
        <v>0</v>
      </c>
      <c r="P297" s="30" t="b">
        <v>0</v>
      </c>
      <c r="Q297" s="30" t="b">
        <v>0</v>
      </c>
      <c r="R297" s="23" t="s">
        <v>21</v>
      </c>
      <c r="S297" s="31" t="b">
        <v>0</v>
      </c>
      <c r="T297" s="31" t="b">
        <v>0</v>
      </c>
      <c r="U297" s="24" t="b">
        <v>0</v>
      </c>
      <c r="V297" s="24" t="b">
        <v>0</v>
      </c>
      <c r="W297" s="24" t="b">
        <v>0</v>
      </c>
      <c r="X297" s="24" t="b">
        <v>0</v>
      </c>
      <c r="Y297" s="24" t="b">
        <v>0</v>
      </c>
      <c r="Z297" s="24" t="b">
        <v>0</v>
      </c>
      <c r="AA297" s="7"/>
    </row>
  </sheetData>
  <autoFilter ref="H1:H297"/>
  <conditionalFormatting sqref="H2:I297 R2:R297">
    <cfRule type="cellIs" dxfId="3" priority="1" operator="equal">
      <formula>"YES"</formula>
    </cfRule>
  </conditionalFormatting>
  <conditionalFormatting sqref="H2:I297 R2:R297">
    <cfRule type="cellIs" dxfId="2" priority="2" operator="equal">
      <formula>"MAYBE"</formula>
    </cfRule>
  </conditionalFormatting>
  <conditionalFormatting sqref="H2:I297 R2:R297">
    <cfRule type="cellIs" dxfId="1" priority="3" operator="equal">
      <formula>"NO"</formula>
    </cfRule>
  </conditionalFormatting>
  <conditionalFormatting sqref="I1:I297 R1:R297">
    <cfRule type="containsBlanks" dxfId="0" priority="5">
      <formula>LEN(TRIM(I1))=0</formula>
    </cfRule>
  </conditionalFormatting>
  <hyperlinks>
    <hyperlink ref="E9" r:id="rId1"/>
    <hyperlink ref="E10" r:id="rId2"/>
    <hyperlink ref="E11" r:id="rId3"/>
    <hyperlink ref="E12" r:id="rId4"/>
    <hyperlink ref="E13" r:id="rId5"/>
    <hyperlink ref="F66" r:id="rId6"/>
    <hyperlink ref="F67" r:id="rId7"/>
    <hyperlink ref="F68" r:id="rId8"/>
    <hyperlink ref="F70" r:id="rId9"/>
    <hyperlink ref="F71" r:id="rId10"/>
    <hyperlink ref="F73" r:id="rId11"/>
    <hyperlink ref="F74" r:id="rId12"/>
    <hyperlink ref="F76" r:id="rId13"/>
    <hyperlink ref="F77" r:id="rId14"/>
    <hyperlink ref="F78" r:id="rId15"/>
    <hyperlink ref="F79" r:id="rId16"/>
    <hyperlink ref="F80" r:id="rId17"/>
    <hyperlink ref="F81" r:id="rId18"/>
    <hyperlink ref="F251" r:id="rId19"/>
    <hyperlink ref="F252" r:id="rId20"/>
    <hyperlink ref="F253" r:id="rId21"/>
    <hyperlink ref="F254" r:id="rId22"/>
    <hyperlink ref="F255" r:id="rId23"/>
    <hyperlink ref="F256" r:id="rId24"/>
    <hyperlink ref="F257" r:id="rId25"/>
    <hyperlink ref="F259" r:id="rId26"/>
    <hyperlink ref="F260" r:id="rId27"/>
    <hyperlink ref="F261" r:id="rId28"/>
    <hyperlink ref="F262" r:id="rId29"/>
    <hyperlink ref="F263" r:id="rId30"/>
    <hyperlink ref="F264" r:id="rId31"/>
    <hyperlink ref="F265" r:id="rId32"/>
    <hyperlink ref="F266" r:id="rId33"/>
    <hyperlink ref="F267" r:id="rId34"/>
    <hyperlink ref="F268" r:id="rId35"/>
    <hyperlink ref="F269" r:id="rId36"/>
    <hyperlink ref="F270" r:id="rId37"/>
    <hyperlink ref="F271" r:id="rId38"/>
    <hyperlink ref="F272" r:id="rId39"/>
    <hyperlink ref="F273" r:id="rId40"/>
    <hyperlink ref="F274" r:id="rId41"/>
    <hyperlink ref="F275" r:id="rId42"/>
    <hyperlink ref="F277" r:id="rId43"/>
    <hyperlink ref="F278" r:id="rId44"/>
    <hyperlink ref="F279" r:id="rId45"/>
    <hyperlink ref="F280" r:id="rId46"/>
    <hyperlink ref="F282" r:id="rId47"/>
    <hyperlink ref="F283" r:id="rId48"/>
    <hyperlink ref="F284" r:id="rId49"/>
    <hyperlink ref="F285" r:id="rId50"/>
    <hyperlink ref="F286" r:id="rId51"/>
    <hyperlink ref="F288" r:id="rId52"/>
    <hyperlink ref="F289" r:id="rId53"/>
    <hyperlink ref="F290" r:id="rId54"/>
    <hyperlink ref="F291" r:id="rId55"/>
    <hyperlink ref="F292" r:id="rId56"/>
    <hyperlink ref="F293" r:id="rId57"/>
    <hyperlink ref="F294" r:id="rId58"/>
    <hyperlink ref="F295" r:id="rId59"/>
    <hyperlink ref="F297" r:id="rId60"/>
  </hyperlinks>
  <pageMargins left="0.7" right="0.7" top="0.78740157499999996" bottom="0.78740157499999996" header="0.3" footer="0.3"/>
  <tableParts count="1">
    <tablePart r:id="rId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2021-08-15T12:43:49Z</dcterms:modified>
</cp:coreProperties>
</file>