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45" yWindow="270" windowWidth="16935" windowHeight="1018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W65" i="1" l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W62" i="1"/>
  <c r="V62" i="1"/>
  <c r="U62" i="1"/>
  <c r="T62" i="1"/>
  <c r="S62" i="1"/>
  <c r="R59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W59" i="1"/>
  <c r="V59" i="1"/>
  <c r="U59" i="1"/>
  <c r="T59" i="1"/>
  <c r="S59" i="1"/>
  <c r="Q59" i="1"/>
  <c r="P59" i="1"/>
  <c r="O59" i="1"/>
  <c r="N59" i="1"/>
  <c r="M59" i="1"/>
  <c r="L59" i="1"/>
  <c r="K59" i="1"/>
  <c r="J59" i="1"/>
  <c r="I59" i="1"/>
  <c r="H59" i="1"/>
  <c r="G59" i="1"/>
  <c r="F59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W47" i="1"/>
  <c r="V47" i="1"/>
  <c r="U47" i="1"/>
  <c r="T47" i="1"/>
  <c r="S47" i="1"/>
  <c r="R47" i="1"/>
  <c r="Q47" i="1"/>
  <c r="P47" i="1"/>
  <c r="O47" i="1"/>
  <c r="N47" i="1"/>
  <c r="M47" i="1"/>
  <c r="M46" i="1"/>
  <c r="L47" i="1"/>
  <c r="K47" i="1"/>
  <c r="J47" i="1"/>
  <c r="I47" i="1"/>
  <c r="H47" i="1"/>
  <c r="G47" i="1"/>
  <c r="F47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W41" i="1"/>
  <c r="V41" i="1"/>
  <c r="V40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E38" i="1"/>
  <c r="E41" i="1"/>
  <c r="E44" i="1"/>
  <c r="E47" i="1"/>
  <c r="E50" i="1"/>
  <c r="E53" i="1"/>
  <c r="E56" i="1"/>
  <c r="E59" i="1"/>
  <c r="E62" i="1"/>
  <c r="E65" i="1"/>
  <c r="E68" i="1"/>
  <c r="E71" i="1"/>
  <c r="E74" i="1"/>
  <c r="E77" i="1"/>
  <c r="E80" i="1"/>
  <c r="E83" i="1"/>
  <c r="E86" i="1"/>
  <c r="E89" i="1"/>
  <c r="E92" i="1"/>
  <c r="E95" i="1"/>
  <c r="E98" i="1"/>
  <c r="E101" i="1"/>
  <c r="E104" i="1"/>
  <c r="E107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F46" i="1"/>
  <c r="G46" i="1"/>
  <c r="H46" i="1"/>
  <c r="I46" i="1"/>
  <c r="J46" i="1"/>
  <c r="K46" i="1"/>
  <c r="L46" i="1"/>
  <c r="N46" i="1"/>
  <c r="O46" i="1"/>
  <c r="P46" i="1"/>
  <c r="Q46" i="1"/>
  <c r="R46" i="1"/>
  <c r="S46" i="1"/>
  <c r="T46" i="1"/>
  <c r="U46" i="1"/>
  <c r="V46" i="1"/>
  <c r="W46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W40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D83" i="1"/>
  <c r="D80" i="1"/>
  <c r="D77" i="1"/>
  <c r="D74" i="1"/>
  <c r="D86" i="1"/>
  <c r="D89" i="1"/>
  <c r="D92" i="1"/>
  <c r="D95" i="1"/>
  <c r="D98" i="1"/>
  <c r="D101" i="1"/>
  <c r="D104" i="1"/>
  <c r="D107" i="1"/>
  <c r="D71" i="1"/>
  <c r="D68" i="1"/>
  <c r="D65" i="1"/>
  <c r="D62" i="1"/>
  <c r="D61" i="1"/>
  <c r="D59" i="1"/>
  <c r="D58" i="1"/>
  <c r="D56" i="1"/>
  <c r="D53" i="1"/>
  <c r="D50" i="1"/>
  <c r="E106" i="1"/>
  <c r="E103" i="1"/>
  <c r="E100" i="1"/>
  <c r="E97" i="1"/>
  <c r="E94" i="1"/>
  <c r="E91" i="1"/>
  <c r="E88" i="1"/>
  <c r="E85" i="1"/>
  <c r="E82" i="1"/>
  <c r="E79" i="1"/>
  <c r="E76" i="1"/>
  <c r="E73" i="1"/>
  <c r="E70" i="1"/>
  <c r="E67" i="1"/>
  <c r="E64" i="1"/>
  <c r="E61" i="1"/>
  <c r="E58" i="1"/>
  <c r="E55" i="1"/>
  <c r="E52" i="1"/>
  <c r="E49" i="1"/>
  <c r="E46" i="1"/>
  <c r="E43" i="1"/>
  <c r="E40" i="1"/>
  <c r="E37" i="1"/>
  <c r="E34" i="1"/>
  <c r="D106" i="1"/>
  <c r="D103" i="1"/>
  <c r="D100" i="1"/>
  <c r="D97" i="1"/>
  <c r="D94" i="1"/>
  <c r="D91" i="1"/>
  <c r="D88" i="1"/>
  <c r="D85" i="1"/>
  <c r="D82" i="1"/>
  <c r="D79" i="1"/>
  <c r="D76" i="1"/>
  <c r="D73" i="1"/>
  <c r="D70" i="1"/>
  <c r="D67" i="1"/>
  <c r="D64" i="1"/>
  <c r="D55" i="1"/>
  <c r="D52" i="1"/>
  <c r="D49" i="1"/>
  <c r="D47" i="1"/>
  <c r="D46" i="1"/>
  <c r="D44" i="1"/>
  <c r="D43" i="1"/>
  <c r="D41" i="1"/>
  <c r="D40" i="1"/>
  <c r="D38" i="1"/>
  <c r="D37" i="1"/>
  <c r="D34" i="1"/>
  <c r="D35" i="1"/>
  <c r="C98" i="1"/>
  <c r="C106" i="1"/>
  <c r="C103" i="1"/>
  <c r="C100" i="1"/>
  <c r="C97" i="1"/>
  <c r="C94" i="1"/>
  <c r="C91" i="1"/>
  <c r="C88" i="1"/>
  <c r="C85" i="1"/>
  <c r="C82" i="1"/>
  <c r="C79" i="1"/>
  <c r="C76" i="1"/>
  <c r="C73" i="1"/>
  <c r="C70" i="1"/>
  <c r="C67" i="1"/>
  <c r="C64" i="1"/>
  <c r="C61" i="1"/>
  <c r="C58" i="1"/>
  <c r="C55" i="1"/>
  <c r="C52" i="1"/>
  <c r="C49" i="1"/>
  <c r="C46" i="1"/>
  <c r="C43" i="1"/>
  <c r="C40" i="1"/>
  <c r="C37" i="1"/>
  <c r="C34" i="1"/>
  <c r="C95" i="1"/>
  <c r="C92" i="1"/>
  <c r="C89" i="1"/>
  <c r="C86" i="1"/>
  <c r="C83" i="1"/>
  <c r="C80" i="1"/>
  <c r="C77" i="1"/>
  <c r="C74" i="1"/>
  <c r="C71" i="1"/>
  <c r="C68" i="1"/>
  <c r="C65" i="1"/>
  <c r="C62" i="1"/>
  <c r="C59" i="1"/>
  <c r="C56" i="1"/>
  <c r="C53" i="1"/>
  <c r="C50" i="1"/>
  <c r="C47" i="1"/>
  <c r="C44" i="1"/>
  <c r="C41" i="1"/>
  <c r="C38" i="1"/>
  <c r="C101" i="1"/>
  <c r="C104" i="1"/>
  <c r="C107" i="1"/>
  <c r="C35" i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8" i="1"/>
</calcChain>
</file>

<file path=xl/sharedStrings.xml><?xml version="1.0" encoding="utf-8"?>
<sst xmlns="http://schemas.openxmlformats.org/spreadsheetml/2006/main" count="141" uniqueCount="45">
  <si>
    <t>Application</t>
  </si>
  <si>
    <t>awsamazon</t>
  </si>
  <si>
    <t>apple</t>
  </si>
  <si>
    <t>ask</t>
  </si>
  <si>
    <t>china</t>
  </si>
  <si>
    <t>cnn</t>
  </si>
  <si>
    <t>coccoc</t>
  </si>
  <si>
    <t>ettoday</t>
  </si>
  <si>
    <t>hao123</t>
  </si>
  <si>
    <t>instagram</t>
  </si>
  <si>
    <t>microsoft</t>
  </si>
  <si>
    <t>paypal</t>
  </si>
  <si>
    <t>popads</t>
  </si>
  <si>
    <t>quora</t>
  </si>
  <si>
    <t>theguardian</t>
  </si>
  <si>
    <t>tianya</t>
  </si>
  <si>
    <t>twitter</t>
  </si>
  <si>
    <t>whatsapp</t>
  </si>
  <si>
    <t>xnxx</t>
  </si>
  <si>
    <t>xvideos</t>
  </si>
  <si>
    <t>yandex</t>
  </si>
  <si>
    <t>youtube</t>
  </si>
  <si>
    <t>Duration (s)</t>
  </si>
  <si>
    <t>Platform Discharge (mAh)</t>
  </si>
  <si>
    <t>Energy consumption (J)</t>
  </si>
  <si>
    <t>Device</t>
  </si>
  <si>
    <t>OS version</t>
  </si>
  <si>
    <t>Browser</t>
  </si>
  <si>
    <t>Browser version</t>
  </si>
  <si>
    <t>Iterations</t>
  </si>
  <si>
    <t>Nexus 9</t>
  </si>
  <si>
    <t>Chrome</t>
  </si>
  <si>
    <t>Ampere-hours-volt</t>
  </si>
  <si>
    <t>Joules</t>
  </si>
  <si>
    <t>mAh</t>
  </si>
  <si>
    <t>Ah</t>
  </si>
  <si>
    <t>Battery voltage (V)</t>
  </si>
  <si>
    <t>Energy Consumption (J)</t>
  </si>
  <si>
    <t>Greenspector</t>
  </si>
  <si>
    <t xml:space="preserve">Trepn (by VU) </t>
  </si>
  <si>
    <t>Platform CPU (%)</t>
  </si>
  <si>
    <t>iteration</t>
  </si>
  <si>
    <t>metric</t>
  </si>
  <si>
    <t>7,1,1</t>
  </si>
  <si>
    <t>54,0,2840,85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</si>
</sst>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5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8" xfId="0" applyFill="1" applyBorder="1"/>
    <xf numFmtId="0" fontId="0" fillId="0" borderId="4" xfId="0" applyFill="1" applyBorder="1"/>
    <xf numFmtId="0" fontId="1" fillId="0" borderId="2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4" xfId="0" applyFont="1" applyBorder="1"/>
    <xf numFmtId="4" fontId="0" fillId="0" borderId="6" xfId="0" applyNumberFormat="1" applyBorder="1"/>
    <xf numFmtId="4" fontId="0" fillId="0" borderId="9" xfId="0" applyNumberFormat="1" applyBorder="1"/>
    <xf numFmtId="4" fontId="0" fillId="0" borderId="11" xfId="0" applyNumberFormat="1" applyBorder="1"/>
    <xf numFmtId="4" fontId="0" fillId="0" borderId="1" xfId="0" applyNumberFormat="1" applyBorder="1"/>
    <xf numFmtId="4" fontId="0" fillId="0" borderId="2" xfId="0" applyNumberFormat="1" applyBorder="1"/>
    <xf numFmtId="4" fontId="0" fillId="0" borderId="7" xfId="0" applyNumberFormat="1" applyBorder="1"/>
    <xf numFmtId="4" fontId="0" fillId="0" borderId="8" xfId="0" applyNumberFormat="1" applyBorder="1"/>
    <xf numFmtId="4" fontId="0" fillId="0" borderId="4" xfId="0" applyNumberFormat="1" applyBorder="1"/>
    <xf numFmtId="0" fontId="1" fillId="0" borderId="4" xfId="0" applyFont="1" applyBorder="1" applyAlignment="1">
      <alignment horizontal="center"/>
    </xf>
    <xf numFmtId="0" fontId="1" fillId="0" borderId="12" xfId="0" applyFont="1" applyBorder="1"/>
    <xf numFmtId="10" fontId="0" fillId="0" borderId="2" xfId="0" applyNumberFormat="1" applyBorder="1"/>
    <xf numFmtId="10" fontId="0" fillId="0" borderId="7" xfId="0" applyNumberFormat="1" applyBorder="1"/>
    <xf numFmtId="10" fontId="0" fillId="0" borderId="14" xfId="0" applyNumberForma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5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/>
    <xf numFmtId="0" fontId="0" fillId="0" borderId="18" xfId="0" applyBorder="1"/>
    <xf numFmtId="10" fontId="0" fillId="0" borderId="22" xfId="0" applyNumberFormat="1" applyBorder="1"/>
    <xf numFmtId="10" fontId="0" fillId="0" borderId="23" xfId="0" applyNumberFormat="1" applyBorder="1"/>
    <xf numFmtId="0" fontId="0" fillId="0" borderId="24" xfId="0" applyBorder="1"/>
    <xf numFmtId="10" fontId="0" fillId="0" borderId="26" xfId="0" applyNumberFormat="1" applyBorder="1"/>
    <xf numFmtId="0" fontId="0" fillId="0" borderId="2" xfId="0" applyBorder="1"/>
    <xf numFmtId="0" fontId="0" fillId="0" borderId="7" xfId="0" applyBorder="1"/>
    <xf numFmtId="0" fontId="0" fillId="0" borderId="14" xfId="0" applyBorder="1" applyAlignment="1"/>
    <xf numFmtId="0" fontId="0" fillId="0" borderId="3" xfId="0" applyBorder="1"/>
    <xf numFmtId="0" fontId="0" fillId="0" borderId="29" xfId="0" applyBorder="1"/>
    <xf numFmtId="10" fontId="0" fillId="0" borderId="21" xfId="0" applyNumberFormat="1" applyBorder="1"/>
    <xf numFmtId="2" fontId="0" fillId="0" borderId="24" xfId="0" applyNumberFormat="1" applyBorder="1"/>
    <xf numFmtId="0" fontId="0" fillId="0" borderId="29" xfId="0" applyBorder="1" applyAlignment="1"/>
    <xf numFmtId="10" fontId="0" fillId="0" borderId="28" xfId="0" applyNumberFormat="1" applyBorder="1"/>
    <xf numFmtId="10" fontId="0" fillId="0" borderId="30" xfId="0" applyNumberFormat="1" applyBorder="1"/>
    <xf numFmtId="10" fontId="0" fillId="0" borderId="3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9"/>
  <sheetViews>
    <sheetView tabSelected="1" zoomScale="85" zoomScaleNormal="85" workbookViewId="0">
      <selection activeCell="R124" sqref="R124"/>
    </sheetView>
  </sheetViews>
  <sheetFormatPr baseColWidth="10" defaultRowHeight="15" x14ac:dyDescent="0.25"/>
  <cols>
    <col min="1" max="1" width="12.5703125" customWidth="1"/>
    <col min="2" max="2" width="24.42578125" customWidth="1"/>
    <col min="3" max="3" width="23.85546875" customWidth="1"/>
    <col min="4" max="4" width="24.28515625" customWidth="1"/>
    <col min="5" max="5" width="22.42578125" customWidth="1"/>
    <col min="6" max="6" width="22" customWidth="1"/>
    <col min="7" max="7" width="19" customWidth="1"/>
    <col min="8" max="8" width="18.7109375" customWidth="1"/>
    <col min="9" max="9" width="12.28515625" customWidth="1"/>
    <col min="10" max="10" width="21.7109375" customWidth="1"/>
    <col min="11" max="11" width="17.140625" customWidth="1"/>
    <col min="12" max="12" width="24.140625" customWidth="1"/>
    <col min="13" max="13" width="14.28515625" customWidth="1"/>
    <col min="14" max="14" width="14.140625" customWidth="1"/>
    <col min="15" max="15" width="14.28515625" customWidth="1"/>
    <col min="16" max="16" width="15.28515625" customWidth="1"/>
  </cols>
  <sheetData>
    <row r="2" spans="1:10" ht="15.75" thickBot="1" x14ac:dyDescent="0.3"/>
    <row r="3" spans="1:10" ht="15.75" thickBot="1" x14ac:dyDescent="0.3">
      <c r="A3" s="3" t="s">
        <v>25</v>
      </c>
      <c r="B3" s="4" t="s">
        <v>36</v>
      </c>
      <c r="C3" s="1" t="s">
        <v>26</v>
      </c>
      <c r="D3" s="1" t="s">
        <v>27</v>
      </c>
      <c r="E3" s="1" t="s">
        <v>28</v>
      </c>
      <c r="F3" s="1" t="s">
        <v>29</v>
      </c>
      <c r="H3" s="2" t="s">
        <v>32</v>
      </c>
      <c r="I3" s="2" t="s">
        <v>33</v>
      </c>
    </row>
    <row r="4" spans="1:10" ht="15.75" thickBot="1" x14ac:dyDescent="0.3">
      <c r="A4" s="5" t="s">
        <v>30</v>
      </c>
      <c r="B4" s="5">
        <v>3.8</v>
      </c>
      <c r="C4" s="6" t="s">
        <v>43</v>
      </c>
      <c r="D4" s="6" t="s">
        <v>31</v>
      </c>
      <c r="E4" s="6" t="s">
        <v>44</v>
      </c>
      <c r="F4" s="6">
        <v>25</v>
      </c>
      <c r="H4" s="2">
        <v>1</v>
      </c>
      <c r="I4" s="19">
        <v>3600</v>
      </c>
    </row>
    <row r="5" spans="1:10" ht="15.75" thickBot="1" x14ac:dyDescent="0.3"/>
    <row r="6" spans="1:10" ht="15.75" thickBot="1" x14ac:dyDescent="0.3">
      <c r="A6" s="29" t="s">
        <v>0</v>
      </c>
      <c r="B6" s="31" t="s">
        <v>22</v>
      </c>
      <c r="C6" s="33" t="s">
        <v>38</v>
      </c>
      <c r="D6" s="34"/>
      <c r="E6" s="35"/>
      <c r="F6" s="3" t="s">
        <v>39</v>
      </c>
      <c r="H6" s="2" t="s">
        <v>35</v>
      </c>
      <c r="I6" s="2" t="s">
        <v>34</v>
      </c>
    </row>
    <row r="7" spans="1:10" ht="15.75" thickBot="1" x14ac:dyDescent="0.3">
      <c r="A7" s="30"/>
      <c r="B7" s="32"/>
      <c r="C7" s="3" t="s">
        <v>40</v>
      </c>
      <c r="D7" s="24" t="s">
        <v>23</v>
      </c>
      <c r="E7" s="25" t="s">
        <v>24</v>
      </c>
      <c r="F7" s="7" t="s">
        <v>37</v>
      </c>
      <c r="H7" s="2">
        <v>1</v>
      </c>
      <c r="I7" s="19">
        <v>1000</v>
      </c>
    </row>
    <row r="8" spans="1:10" x14ac:dyDescent="0.25">
      <c r="A8" s="12" t="s">
        <v>1</v>
      </c>
      <c r="B8" s="9">
        <v>26.95945</v>
      </c>
      <c r="C8" s="26">
        <v>0.70430000000000004</v>
      </c>
      <c r="D8" s="20">
        <v>14.18</v>
      </c>
      <c r="E8" s="17">
        <f t="shared" ref="E8:E28" si="0">(D8/$I$7)*$B$4*$I$4</f>
        <v>193.98239999999998</v>
      </c>
      <c r="F8" s="16">
        <v>3078.07</v>
      </c>
    </row>
    <row r="9" spans="1:10" x14ac:dyDescent="0.25">
      <c r="A9" s="13" t="s">
        <v>2</v>
      </c>
      <c r="B9" s="10">
        <v>6.9267799999999999</v>
      </c>
      <c r="C9" s="27">
        <v>0.628</v>
      </c>
      <c r="D9" s="21">
        <v>2.75</v>
      </c>
      <c r="E9" s="17">
        <f t="shared" si="0"/>
        <v>37.619999999999997</v>
      </c>
      <c r="F9" s="17">
        <v>175.87</v>
      </c>
    </row>
    <row r="10" spans="1:10" x14ac:dyDescent="0.25">
      <c r="A10" s="13" t="s">
        <v>3</v>
      </c>
      <c r="B10" s="10">
        <v>3.3641700000000001</v>
      </c>
      <c r="C10" s="27">
        <v>0.5494</v>
      </c>
      <c r="D10" s="21">
        <v>1.01</v>
      </c>
      <c r="E10" s="17">
        <f t="shared" si="0"/>
        <v>13.816799999999999</v>
      </c>
      <c r="F10" s="17">
        <v>36.64</v>
      </c>
    </row>
    <row r="11" spans="1:10" x14ac:dyDescent="0.25">
      <c r="A11" s="13" t="s">
        <v>4</v>
      </c>
      <c r="B11" s="10">
        <v>14.12801</v>
      </c>
      <c r="C11" s="27">
        <v>0.56899999999999995</v>
      </c>
      <c r="D11" s="21">
        <v>4.74</v>
      </c>
      <c r="E11" s="17">
        <f t="shared" si="0"/>
        <v>64.843199999999996</v>
      </c>
      <c r="F11" s="17">
        <v>206.62</v>
      </c>
      <c r="G11" s="8"/>
      <c r="H11" s="8"/>
      <c r="I11" s="8"/>
      <c r="J11" s="8"/>
    </row>
    <row r="12" spans="1:10" x14ac:dyDescent="0.25">
      <c r="A12" s="13" t="s">
        <v>5</v>
      </c>
      <c r="B12" s="10">
        <v>32.485610000000001</v>
      </c>
      <c r="C12" s="27">
        <v>0.53569999999999995</v>
      </c>
      <c r="D12" s="21">
        <v>10.46</v>
      </c>
      <c r="E12" s="17">
        <f t="shared" si="0"/>
        <v>143.09279999999998</v>
      </c>
      <c r="F12" s="17">
        <v>2865.62</v>
      </c>
      <c r="G12" s="8"/>
      <c r="H12" s="8"/>
      <c r="I12" s="8"/>
      <c r="J12" s="8"/>
    </row>
    <row r="13" spans="1:10" x14ac:dyDescent="0.25">
      <c r="A13" s="13" t="s">
        <v>6</v>
      </c>
      <c r="B13" s="10">
        <v>14.36013</v>
      </c>
      <c r="C13" s="27">
        <v>0.49209999999999998</v>
      </c>
      <c r="D13" s="21">
        <v>4.0999999999999996</v>
      </c>
      <c r="E13" s="17">
        <f t="shared" si="0"/>
        <v>56.087999999999987</v>
      </c>
      <c r="F13" s="17">
        <v>537.66999999999996</v>
      </c>
      <c r="G13" s="8"/>
      <c r="H13" s="8"/>
      <c r="I13" s="8"/>
      <c r="J13" s="8"/>
    </row>
    <row r="14" spans="1:10" x14ac:dyDescent="0.25">
      <c r="A14" s="13" t="s">
        <v>7</v>
      </c>
      <c r="B14" s="10">
        <v>16.07516</v>
      </c>
      <c r="C14" s="27">
        <v>0.65959999999999996</v>
      </c>
      <c r="D14" s="21">
        <v>6.14</v>
      </c>
      <c r="E14" s="17">
        <f t="shared" si="0"/>
        <v>83.995199999999997</v>
      </c>
      <c r="F14" s="17">
        <v>477.84</v>
      </c>
      <c r="G14" s="8"/>
      <c r="H14" s="8"/>
      <c r="I14" s="8"/>
      <c r="J14" s="8"/>
    </row>
    <row r="15" spans="1:10" x14ac:dyDescent="0.25">
      <c r="A15" s="13" t="s">
        <v>8</v>
      </c>
      <c r="B15" s="10">
        <v>12.862120000000001</v>
      </c>
      <c r="C15" s="27">
        <v>0.51619999999999999</v>
      </c>
      <c r="D15" s="21">
        <v>3.98</v>
      </c>
      <c r="E15" s="17">
        <f t="shared" si="0"/>
        <v>54.446399999999997</v>
      </c>
      <c r="F15" s="17">
        <v>323.19</v>
      </c>
      <c r="G15" s="8"/>
      <c r="H15" s="8"/>
      <c r="I15" s="8"/>
      <c r="J15" s="8"/>
    </row>
    <row r="16" spans="1:10" x14ac:dyDescent="0.25">
      <c r="A16" s="13" t="s">
        <v>9</v>
      </c>
      <c r="B16" s="10">
        <v>5.6093200000000003</v>
      </c>
      <c r="C16" s="27">
        <v>0.65710000000000002</v>
      </c>
      <c r="D16" s="21">
        <v>2.34</v>
      </c>
      <c r="E16" s="17">
        <f t="shared" si="0"/>
        <v>32.011200000000002</v>
      </c>
      <c r="F16" s="17">
        <v>141.86000000000001</v>
      </c>
      <c r="G16" s="8"/>
      <c r="H16" s="8"/>
      <c r="I16" s="8"/>
      <c r="J16" s="8"/>
    </row>
    <row r="17" spans="1:23" x14ac:dyDescent="0.25">
      <c r="A17" s="13" t="s">
        <v>10</v>
      </c>
      <c r="B17" s="10">
        <v>3.7754400000000001</v>
      </c>
      <c r="C17" s="27">
        <v>0.80110000000000003</v>
      </c>
      <c r="D17" s="21">
        <v>1.81</v>
      </c>
      <c r="E17" s="17">
        <f t="shared" si="0"/>
        <v>24.7608</v>
      </c>
      <c r="F17" s="17">
        <v>55.15</v>
      </c>
      <c r="G17" s="8"/>
      <c r="H17" s="8"/>
      <c r="I17" s="8"/>
      <c r="J17" s="8"/>
    </row>
    <row r="18" spans="1:23" x14ac:dyDescent="0.25">
      <c r="A18" s="13" t="s">
        <v>11</v>
      </c>
      <c r="B18" s="10">
        <v>5.0625799999999996</v>
      </c>
      <c r="C18" s="27">
        <v>0.60829999999999995</v>
      </c>
      <c r="D18" s="21">
        <v>1.85</v>
      </c>
      <c r="E18" s="17">
        <f t="shared" si="0"/>
        <v>25.308</v>
      </c>
      <c r="F18" s="17">
        <v>91.66</v>
      </c>
      <c r="G18" s="8"/>
      <c r="H18" s="8"/>
      <c r="I18" s="8"/>
      <c r="J18" s="8"/>
    </row>
    <row r="19" spans="1:23" x14ac:dyDescent="0.25">
      <c r="A19" s="13" t="s">
        <v>12</v>
      </c>
      <c r="B19" s="10">
        <v>2.7562500000000001</v>
      </c>
      <c r="C19" s="27">
        <v>0.68079999999999996</v>
      </c>
      <c r="D19" s="21">
        <v>1.07</v>
      </c>
      <c r="E19" s="17">
        <f t="shared" si="0"/>
        <v>14.637600000000001</v>
      </c>
      <c r="F19" s="17">
        <v>0.66</v>
      </c>
      <c r="G19" s="8"/>
      <c r="H19" s="8"/>
      <c r="I19" s="8"/>
      <c r="J19" s="8"/>
    </row>
    <row r="20" spans="1:23" x14ac:dyDescent="0.25">
      <c r="A20" s="13" t="s">
        <v>13</v>
      </c>
      <c r="B20" s="10">
        <v>7.7454099999999997</v>
      </c>
      <c r="C20" s="27">
        <v>0.62350000000000005</v>
      </c>
      <c r="D20" s="21">
        <v>3.36</v>
      </c>
      <c r="E20" s="17">
        <f t="shared" si="0"/>
        <v>45.96479999999999</v>
      </c>
      <c r="F20" s="17">
        <v>197.2</v>
      </c>
      <c r="G20" s="8"/>
      <c r="H20" s="8"/>
      <c r="I20" s="8"/>
      <c r="J20" s="8"/>
    </row>
    <row r="21" spans="1:23" x14ac:dyDescent="0.25">
      <c r="A21" s="13" t="s">
        <v>14</v>
      </c>
      <c r="B21" s="10">
        <v>13.14062</v>
      </c>
      <c r="C21" s="27">
        <v>0.76959999999999995</v>
      </c>
      <c r="D21" s="21">
        <v>7.23</v>
      </c>
      <c r="E21" s="17">
        <f t="shared" si="0"/>
        <v>98.906399999999991</v>
      </c>
      <c r="F21" s="17">
        <v>780.82</v>
      </c>
      <c r="G21" s="8"/>
      <c r="H21" s="8"/>
      <c r="I21" s="8"/>
      <c r="J21" s="8"/>
    </row>
    <row r="22" spans="1:23" x14ac:dyDescent="0.25">
      <c r="A22" s="13" t="s">
        <v>15</v>
      </c>
      <c r="B22" s="10">
        <v>5.1565300000000001</v>
      </c>
      <c r="C22" s="27">
        <v>0.34870000000000001</v>
      </c>
      <c r="D22" s="21">
        <v>0.87</v>
      </c>
      <c r="E22" s="17">
        <f t="shared" si="0"/>
        <v>11.9016</v>
      </c>
      <c r="F22" s="17">
        <v>61.037999999999997</v>
      </c>
      <c r="G22" s="8"/>
      <c r="H22" s="8"/>
      <c r="I22" s="8"/>
      <c r="J22" s="8"/>
    </row>
    <row r="23" spans="1:23" x14ac:dyDescent="0.25">
      <c r="A23" s="13" t="s">
        <v>16</v>
      </c>
      <c r="B23" s="10">
        <v>7.3728400000000001</v>
      </c>
      <c r="C23" s="27">
        <v>0.72919999999999996</v>
      </c>
      <c r="D23" s="21">
        <v>3.53</v>
      </c>
      <c r="E23" s="17">
        <f t="shared" si="0"/>
        <v>48.290399999999998</v>
      </c>
      <c r="F23" s="17">
        <v>191.29</v>
      </c>
      <c r="G23" s="8"/>
      <c r="H23" s="8"/>
      <c r="I23" s="8"/>
      <c r="J23" s="8"/>
    </row>
    <row r="24" spans="1:23" x14ac:dyDescent="0.25">
      <c r="A24" s="14" t="s">
        <v>17</v>
      </c>
      <c r="B24" s="10">
        <v>7.2557299999999998</v>
      </c>
      <c r="C24" s="27">
        <v>0.69669999999999999</v>
      </c>
      <c r="D24" s="22">
        <v>2.99</v>
      </c>
      <c r="E24" s="17">
        <f t="shared" si="0"/>
        <v>40.903199999999998</v>
      </c>
      <c r="F24" s="17">
        <v>224.85</v>
      </c>
      <c r="G24" s="8"/>
      <c r="H24" s="8"/>
      <c r="I24" s="8"/>
      <c r="J24" s="8"/>
    </row>
    <row r="25" spans="1:23" x14ac:dyDescent="0.25">
      <c r="A25" s="14" t="s">
        <v>18</v>
      </c>
      <c r="B25" s="10">
        <v>5.8398599999999998</v>
      </c>
      <c r="C25" s="27">
        <v>0.74219999999999997</v>
      </c>
      <c r="D25" s="22">
        <v>2.74</v>
      </c>
      <c r="E25" s="17">
        <f t="shared" si="0"/>
        <v>37.483200000000004</v>
      </c>
      <c r="F25" s="17">
        <v>124.76</v>
      </c>
      <c r="G25" s="8"/>
      <c r="H25" s="8"/>
      <c r="I25" s="8"/>
      <c r="J25" s="8"/>
    </row>
    <row r="26" spans="1:23" x14ac:dyDescent="0.25">
      <c r="A26" s="14" t="s">
        <v>19</v>
      </c>
      <c r="B26" s="10">
        <v>6.6109099999999996</v>
      </c>
      <c r="C26" s="27">
        <v>0.85750000000000004</v>
      </c>
      <c r="D26" s="22">
        <v>3.78</v>
      </c>
      <c r="E26" s="17">
        <f t="shared" si="0"/>
        <v>51.710399999999993</v>
      </c>
      <c r="F26" s="17">
        <v>223.45</v>
      </c>
      <c r="G26" s="8"/>
      <c r="H26" s="8"/>
      <c r="I26" s="8"/>
      <c r="J26" s="8"/>
    </row>
    <row r="27" spans="1:23" x14ac:dyDescent="0.25">
      <c r="A27" s="14" t="s">
        <v>20</v>
      </c>
      <c r="B27" s="10">
        <v>5.0707199999999997</v>
      </c>
      <c r="C27" s="27">
        <v>0.79520000000000002</v>
      </c>
      <c r="D27" s="22">
        <v>2.5499999999999998</v>
      </c>
      <c r="E27" s="17">
        <f t="shared" si="0"/>
        <v>34.883999999999993</v>
      </c>
      <c r="F27" s="17">
        <v>94.2</v>
      </c>
      <c r="G27" s="8"/>
      <c r="H27" s="8"/>
      <c r="I27" s="8"/>
      <c r="J27" s="8"/>
    </row>
    <row r="28" spans="1:23" ht="15.75" thickBot="1" x14ac:dyDescent="0.3">
      <c r="A28" s="15" t="s">
        <v>21</v>
      </c>
      <c r="B28" s="11">
        <v>6.0910500000000001</v>
      </c>
      <c r="C28" s="28">
        <v>0.61429999999999996</v>
      </c>
      <c r="D28" s="23">
        <v>2.25</v>
      </c>
      <c r="E28" s="18">
        <f t="shared" si="0"/>
        <v>30.779999999999994</v>
      </c>
      <c r="F28" s="18">
        <v>170.9</v>
      </c>
      <c r="G28" s="8"/>
      <c r="H28" s="8"/>
      <c r="I28" s="8"/>
      <c r="J28" s="8"/>
    </row>
    <row r="32" spans="1:23" ht="15.75" thickBot="1" x14ac:dyDescent="0.3"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</row>
    <row r="33" spans="1:23" ht="15.75" thickBot="1" x14ac:dyDescent="0.3">
      <c r="A33" s="3" t="s">
        <v>41</v>
      </c>
      <c r="B33" s="3" t="s">
        <v>42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3" t="s">
        <v>8</v>
      </c>
      <c r="K33" s="3" t="s">
        <v>9</v>
      </c>
      <c r="L33" s="3" t="s">
        <v>10</v>
      </c>
      <c r="M33" s="3" t="s">
        <v>11</v>
      </c>
      <c r="N33" s="3" t="s">
        <v>12</v>
      </c>
      <c r="O33" s="3" t="s">
        <v>13</v>
      </c>
      <c r="P33" s="3" t="s">
        <v>14</v>
      </c>
      <c r="Q33" s="3" t="s">
        <v>15</v>
      </c>
      <c r="R33" s="3" t="s">
        <v>16</v>
      </c>
      <c r="S33" s="3" t="s">
        <v>17</v>
      </c>
      <c r="T33" s="3" t="s">
        <v>18</v>
      </c>
      <c r="U33" s="3" t="s">
        <v>19</v>
      </c>
      <c r="V33" s="3" t="s">
        <v>20</v>
      </c>
      <c r="W33" s="3" t="s">
        <v>21</v>
      </c>
    </row>
    <row r="34" spans="1:23" x14ac:dyDescent="0.25">
      <c r="A34" s="43">
        <v>1</v>
      </c>
      <c r="B34" s="55" t="s">
        <v>24</v>
      </c>
      <c r="C34" s="53">
        <f>(C35/$I$7)*$B$4*$I$4</f>
        <v>191.97280799999999</v>
      </c>
      <c r="D34" s="37">
        <f>(D35/$I$7)*$B$4*$I$4</f>
        <v>40.271047199999998</v>
      </c>
      <c r="E34" s="37">
        <f>(E35/$I$7)*$B$4*$I$4</f>
        <v>17.700825599999998</v>
      </c>
      <c r="F34" s="37">
        <f t="shared" ref="F34:W34" si="1">(F35/$I$7)*$B$4*$I$4</f>
        <v>70.275801599999994</v>
      </c>
      <c r="G34" s="37">
        <f t="shared" si="1"/>
        <v>149.54975999999999</v>
      </c>
      <c r="H34" s="37">
        <f t="shared" si="1"/>
        <v>52.255137599999998</v>
      </c>
      <c r="I34" s="37">
        <f t="shared" si="1"/>
        <v>79.281482400000002</v>
      </c>
      <c r="J34" s="37">
        <f t="shared" si="1"/>
        <v>42.021540000000002</v>
      </c>
      <c r="K34" s="37">
        <f t="shared" si="1"/>
        <v>34.129411199999993</v>
      </c>
      <c r="L34" s="37">
        <f t="shared" si="1"/>
        <v>27.586814399999998</v>
      </c>
      <c r="M34" s="37">
        <f t="shared" si="1"/>
        <v>22.419057599999999</v>
      </c>
      <c r="N34" s="37">
        <f t="shared" si="1"/>
        <v>16.364426399999999</v>
      </c>
      <c r="O34" s="37">
        <f t="shared" si="1"/>
        <v>49.466743199999996</v>
      </c>
      <c r="P34" s="37">
        <f t="shared" si="1"/>
        <v>49.681382399999997</v>
      </c>
      <c r="Q34" s="37">
        <f t="shared" si="1"/>
        <v>13.454704079999999</v>
      </c>
      <c r="R34" s="37">
        <f t="shared" si="1"/>
        <v>53.070328800000006</v>
      </c>
      <c r="S34" s="37">
        <f t="shared" si="1"/>
        <v>45.909806400000001</v>
      </c>
      <c r="T34" s="37">
        <f t="shared" si="1"/>
        <v>41.328784800000001</v>
      </c>
      <c r="U34" s="37">
        <f t="shared" si="1"/>
        <v>48.450729600000003</v>
      </c>
      <c r="V34" s="37">
        <f t="shared" si="1"/>
        <v>31.7775456</v>
      </c>
      <c r="W34" s="38">
        <f t="shared" si="1"/>
        <v>31.919543999999998</v>
      </c>
    </row>
    <row r="35" spans="1:23" x14ac:dyDescent="0.25">
      <c r="A35" s="44"/>
      <c r="B35" s="56" t="s">
        <v>23</v>
      </c>
      <c r="C35" s="42">
        <f>14033100/1000000</f>
        <v>14.033099999999999</v>
      </c>
      <c r="D35" s="39">
        <f>2943790/1000000</f>
        <v>2.9437899999999999</v>
      </c>
      <c r="E35" s="39">
        <f>1293920/1000000</f>
        <v>1.29392</v>
      </c>
      <c r="F35" s="39">
        <f>5137120/1000000</f>
        <v>5.1371200000000004</v>
      </c>
      <c r="G35" s="39">
        <f>10932000/1000000</f>
        <v>10.932</v>
      </c>
      <c r="H35" s="39">
        <f>3819820/1000000</f>
        <v>3.81982</v>
      </c>
      <c r="I35" s="39">
        <f>5795430/1000000</f>
        <v>5.7954299999999996</v>
      </c>
      <c r="J35" s="39">
        <f>3071750/1000000</f>
        <v>3.0717500000000002</v>
      </c>
      <c r="K35" s="39">
        <f>2494840/1000000</f>
        <v>2.4948399999999999</v>
      </c>
      <c r="L35" s="39">
        <f>2016580/1000000</f>
        <v>2.0165799999999998</v>
      </c>
      <c r="M35" s="39">
        <f>1638820/1000000</f>
        <v>1.6388199999999999</v>
      </c>
      <c r="N35" s="39">
        <f>1196230/1000000</f>
        <v>1.1962299999999999</v>
      </c>
      <c r="O35" s="39">
        <f>3615990/1000000</f>
        <v>3.61599</v>
      </c>
      <c r="P35" s="39">
        <f>3631680/1000000</f>
        <v>3.6316799999999998</v>
      </c>
      <c r="Q35" s="39">
        <f>983531/1000000</f>
        <v>0.98353100000000004</v>
      </c>
      <c r="R35" s="39">
        <f>3879410/1000000</f>
        <v>3.87941</v>
      </c>
      <c r="S35" s="39">
        <f>3355980/1000000</f>
        <v>3.3559800000000002</v>
      </c>
      <c r="T35" s="39">
        <f>3021110/1000000</f>
        <v>3.0211100000000002</v>
      </c>
      <c r="U35" s="39">
        <f>3541720/1000000</f>
        <v>3.5417200000000002</v>
      </c>
      <c r="V35" s="39">
        <f>2322920/1000000</f>
        <v>2.3229199999999999</v>
      </c>
      <c r="W35" s="40">
        <f>2333300/1000000</f>
        <v>2.3332999999999999</v>
      </c>
    </row>
    <row r="36" spans="1:23" ht="15.75" thickBot="1" x14ac:dyDescent="0.3">
      <c r="A36" s="45"/>
      <c r="B36" s="57" t="s">
        <v>40</v>
      </c>
      <c r="C36" s="54">
        <v>0.69979800000000003</v>
      </c>
      <c r="D36" s="51">
        <v>0.65041000000000004</v>
      </c>
      <c r="E36" s="51">
        <v>0.69230800000000003</v>
      </c>
      <c r="F36" s="51">
        <v>0.59139299999999995</v>
      </c>
      <c r="G36" s="51">
        <v>0.55182799999999999</v>
      </c>
      <c r="H36" s="51">
        <v>0.47313</v>
      </c>
      <c r="I36" s="51">
        <v>0.67493499999999995</v>
      </c>
      <c r="J36" s="51">
        <v>0.44723800000000002</v>
      </c>
      <c r="K36" s="51">
        <v>0.67936200000000002</v>
      </c>
      <c r="L36" s="51">
        <v>0.89503200000000005</v>
      </c>
      <c r="M36" s="51">
        <v>0.57879400000000003</v>
      </c>
      <c r="N36" s="51">
        <v>0.76320600000000005</v>
      </c>
      <c r="O36" s="51">
        <v>0.63981100000000002</v>
      </c>
      <c r="P36" s="51">
        <v>0.470524</v>
      </c>
      <c r="Q36" s="51">
        <v>0.36013000000000001</v>
      </c>
      <c r="R36" s="51">
        <v>0.79763799999999996</v>
      </c>
      <c r="S36" s="51">
        <v>0.70650400000000002</v>
      </c>
      <c r="T36" s="51">
        <v>0.789802</v>
      </c>
      <c r="U36" s="51">
        <v>0.85934100000000002</v>
      </c>
      <c r="V36" s="51">
        <v>0.76110699999999998</v>
      </c>
      <c r="W36" s="52">
        <v>0.67029300000000003</v>
      </c>
    </row>
    <row r="37" spans="1:23" x14ac:dyDescent="0.25">
      <c r="A37" s="46">
        <v>2</v>
      </c>
      <c r="B37" s="55" t="s">
        <v>24</v>
      </c>
      <c r="C37" s="53">
        <f>(C38/$I$7)*$B$4*$I$4</f>
        <v>193.14107999999996</v>
      </c>
      <c r="D37" s="37">
        <f>(D38/$I$7)*$B$4*$I$4</f>
        <v>35.609313599999993</v>
      </c>
      <c r="E37" s="37">
        <f>(E38/$I$7)*$B$4*$I$4</f>
        <v>15.111748799999999</v>
      </c>
      <c r="F37" s="37">
        <f t="shared" ref="F37:W37" si="2">(F38/$I$7)*$B$4*$I$4</f>
        <v>52.968686400000003</v>
      </c>
      <c r="G37" s="37">
        <f t="shared" si="2"/>
        <v>142.35681599999998</v>
      </c>
      <c r="H37" s="37">
        <f t="shared" si="2"/>
        <v>54.483472799999994</v>
      </c>
      <c r="I37" s="37">
        <f t="shared" si="2"/>
        <v>73.000310400000004</v>
      </c>
      <c r="J37" s="37">
        <f t="shared" si="2"/>
        <v>61.603228799999989</v>
      </c>
      <c r="K37" s="37">
        <f t="shared" si="2"/>
        <v>32.651287199999999</v>
      </c>
      <c r="L37" s="37">
        <f t="shared" si="2"/>
        <v>25.974899999999998</v>
      </c>
      <c r="M37" s="37">
        <f t="shared" si="2"/>
        <v>23.343278399999996</v>
      </c>
      <c r="N37" s="37">
        <f t="shared" si="2"/>
        <v>14.5080504</v>
      </c>
      <c r="O37" s="37">
        <f t="shared" si="2"/>
        <v>49.356345599999997</v>
      </c>
      <c r="P37" s="37">
        <f t="shared" si="2"/>
        <v>104.20685280000001</v>
      </c>
      <c r="Q37" s="37">
        <f t="shared" si="2"/>
        <v>13.108449599999998</v>
      </c>
      <c r="R37" s="37">
        <f t="shared" si="2"/>
        <v>48.957436799999996</v>
      </c>
      <c r="S37" s="37">
        <f t="shared" si="2"/>
        <v>39.356128799999993</v>
      </c>
      <c r="T37" s="37">
        <f t="shared" si="2"/>
        <v>36.349127999999993</v>
      </c>
      <c r="U37" s="37">
        <f t="shared" si="2"/>
        <v>52.831065599999995</v>
      </c>
      <c r="V37" s="37">
        <f t="shared" si="2"/>
        <v>36.294681600000004</v>
      </c>
      <c r="W37" s="38">
        <f t="shared" si="2"/>
        <v>27.135511199999996</v>
      </c>
    </row>
    <row r="38" spans="1:23" x14ac:dyDescent="0.25">
      <c r="A38" s="47"/>
      <c r="B38" s="56" t="s">
        <v>23</v>
      </c>
      <c r="C38" s="42">
        <f>14118500/1000000</f>
        <v>14.118499999999999</v>
      </c>
      <c r="D38" s="39">
        <f>2603020/1000000</f>
        <v>2.6030199999999999</v>
      </c>
      <c r="E38" s="39">
        <f>1104660/1000000</f>
        <v>1.10466</v>
      </c>
      <c r="F38" s="39">
        <f>3871980/1000000</f>
        <v>3.8719800000000002</v>
      </c>
      <c r="G38" s="39">
        <f>10406200/1000000</f>
        <v>10.4062</v>
      </c>
      <c r="H38" s="39">
        <f>3982710/1000000</f>
        <v>3.98271</v>
      </c>
      <c r="I38" s="39">
        <f>5336280/1000000</f>
        <v>5.3362800000000004</v>
      </c>
      <c r="J38" s="39">
        <f>4503160/1000000</f>
        <v>4.5031600000000003</v>
      </c>
      <c r="K38" s="39">
        <f>2386790/1000000</f>
        <v>2.38679</v>
      </c>
      <c r="L38" s="39">
        <f>1898750/1000000</f>
        <v>1.8987499999999999</v>
      </c>
      <c r="M38" s="39">
        <f>1706380/1000000</f>
        <v>1.70638</v>
      </c>
      <c r="N38" s="39">
        <f>1060530/1000000</f>
        <v>1.06053</v>
      </c>
      <c r="O38" s="39">
        <f>3607920/1000000</f>
        <v>3.60792</v>
      </c>
      <c r="P38" s="39">
        <f>7617460/1000000</f>
        <v>7.6174600000000003</v>
      </c>
      <c r="Q38" s="39">
        <f>958220/1000000</f>
        <v>0.95821999999999996</v>
      </c>
      <c r="R38" s="39">
        <f>3578760/1000000</f>
        <v>3.5787599999999999</v>
      </c>
      <c r="S38" s="39">
        <f>2876910/1000000</f>
        <v>2.8769100000000001</v>
      </c>
      <c r="T38" s="39">
        <f>2657100/1000000</f>
        <v>2.6570999999999998</v>
      </c>
      <c r="U38" s="39">
        <f>3861920/1000000</f>
        <v>3.86192</v>
      </c>
      <c r="V38" s="39">
        <f>2653120/1000000</f>
        <v>2.6531199999999999</v>
      </c>
      <c r="W38" s="40">
        <f>1983590/1000000</f>
        <v>1.98359</v>
      </c>
    </row>
    <row r="39" spans="1:23" ht="15.75" thickBot="1" x14ac:dyDescent="0.3">
      <c r="A39" s="48"/>
      <c r="B39" s="57" t="s">
        <v>40</v>
      </c>
      <c r="C39" s="54">
        <v>0.699708</v>
      </c>
      <c r="D39" s="51">
        <v>0.63486299999999996</v>
      </c>
      <c r="E39" s="51">
        <v>0.54821200000000003</v>
      </c>
      <c r="F39" s="51">
        <v>0.49616199999999999</v>
      </c>
      <c r="G39" s="51">
        <v>0.53800000000000003</v>
      </c>
      <c r="H39" s="51">
        <v>0.47747600000000001</v>
      </c>
      <c r="I39" s="51">
        <v>0.58757599999999999</v>
      </c>
      <c r="J39" s="51">
        <v>0.55957800000000002</v>
      </c>
      <c r="K39" s="51">
        <v>0.67141700000000004</v>
      </c>
      <c r="L39" s="51">
        <v>0.81927000000000005</v>
      </c>
      <c r="M39" s="51">
        <v>0.56890700000000005</v>
      </c>
      <c r="N39" s="51">
        <v>0.69217099999999998</v>
      </c>
      <c r="O39" s="51">
        <v>0.66515199999999997</v>
      </c>
      <c r="P39" s="51">
        <v>0.80879100000000004</v>
      </c>
      <c r="Q39" s="51">
        <v>0.37568000000000001</v>
      </c>
      <c r="R39" s="51">
        <v>0.73415200000000003</v>
      </c>
      <c r="S39" s="51">
        <v>0.692191</v>
      </c>
      <c r="T39" s="51">
        <v>0.74658800000000003</v>
      </c>
      <c r="U39" s="51">
        <v>0.85946199999999995</v>
      </c>
      <c r="V39" s="51">
        <v>0.82412799999999997</v>
      </c>
      <c r="W39" s="52">
        <v>0.57836200000000004</v>
      </c>
    </row>
    <row r="40" spans="1:23" x14ac:dyDescent="0.25">
      <c r="A40" s="46">
        <v>3</v>
      </c>
      <c r="B40" s="55" t="s">
        <v>24</v>
      </c>
      <c r="C40" s="53">
        <f>(C41/$I$7)*$B$4*$I$4</f>
        <v>187.50492</v>
      </c>
      <c r="D40" s="37">
        <f>(D41/$I$7)*$B$4*$I$4</f>
        <v>38.707970400000008</v>
      </c>
      <c r="E40" s="37">
        <f>(E41/$I$7)*$B$4*$I$4</f>
        <v>13.276056959999998</v>
      </c>
      <c r="F40" s="37">
        <f t="shared" ref="F40:W40" si="3">(F41/$I$7)*$B$4*$I$4</f>
        <v>61.16998319999999</v>
      </c>
      <c r="G40" s="37">
        <f t="shared" si="3"/>
        <v>147.92594399999999</v>
      </c>
      <c r="H40" s="37">
        <f t="shared" si="3"/>
        <v>59.862038399999996</v>
      </c>
      <c r="I40" s="37">
        <f t="shared" si="3"/>
        <v>46.375747199999999</v>
      </c>
      <c r="J40" s="37">
        <f t="shared" si="3"/>
        <v>49.876869599999999</v>
      </c>
      <c r="K40" s="37">
        <f t="shared" si="3"/>
        <v>32.701629599999997</v>
      </c>
      <c r="L40" s="37">
        <f t="shared" si="3"/>
        <v>26.622100799999998</v>
      </c>
      <c r="M40" s="37">
        <f t="shared" si="3"/>
        <v>28.589148000000005</v>
      </c>
      <c r="N40" s="37">
        <f t="shared" si="3"/>
        <v>13.908045599999998</v>
      </c>
      <c r="O40" s="37">
        <f t="shared" si="3"/>
        <v>42.774350399999996</v>
      </c>
      <c r="P40" s="37">
        <f t="shared" si="3"/>
        <v>99.112557600000002</v>
      </c>
      <c r="Q40" s="37">
        <f t="shared" si="3"/>
        <v>9.3089116799999978</v>
      </c>
      <c r="R40" s="37">
        <f t="shared" si="3"/>
        <v>47.017886400000002</v>
      </c>
      <c r="S40" s="37">
        <f t="shared" si="3"/>
        <v>44.908703999999993</v>
      </c>
      <c r="T40" s="37">
        <f t="shared" si="3"/>
        <v>35.616153600000004</v>
      </c>
      <c r="U40" s="37">
        <f t="shared" si="3"/>
        <v>49.883299199999996</v>
      </c>
      <c r="V40" s="37">
        <f>(V41/$I$7)*$B$4*$I$4</f>
        <v>37.096055999999997</v>
      </c>
      <c r="W40" s="38">
        <f t="shared" si="3"/>
        <v>29.621851199999998</v>
      </c>
    </row>
    <row r="41" spans="1:23" x14ac:dyDescent="0.25">
      <c r="A41" s="47"/>
      <c r="B41" s="56" t="s">
        <v>23</v>
      </c>
      <c r="C41" s="42">
        <f>13706500/1000000</f>
        <v>13.7065</v>
      </c>
      <c r="D41" s="39">
        <f>2829530/1000000</f>
        <v>2.8295300000000001</v>
      </c>
      <c r="E41" s="39">
        <f>970472/1000000</f>
        <v>0.970472</v>
      </c>
      <c r="F41" s="39">
        <f>4471490/1000000</f>
        <v>4.4714900000000002</v>
      </c>
      <c r="G41" s="39">
        <f>10813300/1000000</f>
        <v>10.8133</v>
      </c>
      <c r="H41" s="39">
        <f>4375880/1000000</f>
        <v>4.3758800000000004</v>
      </c>
      <c r="I41" s="39">
        <f>3390040/1000000</f>
        <v>3.3900399999999999</v>
      </c>
      <c r="J41" s="39">
        <f>3645970/1000000</f>
        <v>3.6459700000000002</v>
      </c>
      <c r="K41" s="39">
        <f>2390470/1000000</f>
        <v>2.3904700000000001</v>
      </c>
      <c r="L41" s="39">
        <f>1946060/1000000</f>
        <v>1.9460599999999999</v>
      </c>
      <c r="M41" s="39">
        <f>2089850/1000000</f>
        <v>2.0898500000000002</v>
      </c>
      <c r="N41" s="39">
        <f>1016670/1000000</f>
        <v>1.01667</v>
      </c>
      <c r="O41" s="39">
        <f>3126780/1000000</f>
        <v>3.1267800000000001</v>
      </c>
      <c r="P41" s="39">
        <f>7245070/1000000</f>
        <v>7.2450700000000001</v>
      </c>
      <c r="Q41" s="39">
        <f>680476/1000000</f>
        <v>0.68047599999999997</v>
      </c>
      <c r="R41" s="39">
        <f>3436980/1000000</f>
        <v>3.4369800000000001</v>
      </c>
      <c r="S41" s="39">
        <f>3282800/1000000</f>
        <v>3.2827999999999999</v>
      </c>
      <c r="T41" s="39">
        <f>2603520/1000000</f>
        <v>2.6035200000000001</v>
      </c>
      <c r="U41" s="39">
        <f>3646440/1000000</f>
        <v>3.6464400000000001</v>
      </c>
      <c r="V41" s="39">
        <f>2711700/1000000</f>
        <v>2.7117</v>
      </c>
      <c r="W41" s="40">
        <f>2165340/1000000</f>
        <v>2.16534</v>
      </c>
    </row>
    <row r="42" spans="1:23" ht="15.75" thickBot="1" x14ac:dyDescent="0.3">
      <c r="A42" s="48"/>
      <c r="B42" s="57" t="s">
        <v>40</v>
      </c>
      <c r="C42" s="54">
        <v>0.69428199999999995</v>
      </c>
      <c r="D42" s="51">
        <v>0.66131399999999996</v>
      </c>
      <c r="E42" s="51">
        <v>0.53349800000000003</v>
      </c>
      <c r="F42" s="51">
        <v>0.58328599999999997</v>
      </c>
      <c r="G42" s="51">
        <v>0.54835299999999998</v>
      </c>
      <c r="H42" s="51">
        <v>0.51413200000000003</v>
      </c>
      <c r="I42" s="51">
        <v>0.44400099999999998</v>
      </c>
      <c r="J42" s="51">
        <v>0.51095500000000005</v>
      </c>
      <c r="K42" s="51">
        <v>0.717831</v>
      </c>
      <c r="L42" s="51">
        <v>0.79398500000000005</v>
      </c>
      <c r="M42" s="51">
        <v>0.62557799999999997</v>
      </c>
      <c r="N42" s="51">
        <v>0.66685300000000003</v>
      </c>
      <c r="O42" s="51">
        <v>0.61475800000000003</v>
      </c>
      <c r="P42" s="51">
        <v>0.79272699999999996</v>
      </c>
      <c r="Q42" s="51">
        <v>0.30129499999999998</v>
      </c>
      <c r="R42" s="51">
        <v>0.71267400000000003</v>
      </c>
      <c r="S42" s="51">
        <v>0.70544600000000002</v>
      </c>
      <c r="T42" s="51">
        <v>0.74872899999999998</v>
      </c>
      <c r="U42" s="51">
        <v>0.86752700000000005</v>
      </c>
      <c r="V42" s="51">
        <v>0.80202499999999999</v>
      </c>
      <c r="W42" s="52">
        <v>0.59114599999999995</v>
      </c>
    </row>
    <row r="43" spans="1:23" x14ac:dyDescent="0.25">
      <c r="A43" s="46">
        <v>4</v>
      </c>
      <c r="B43" s="55" t="s">
        <v>24</v>
      </c>
      <c r="C43" s="53">
        <f>(C44/$I$7)*$B$4*$I$4</f>
        <v>186.07125599999998</v>
      </c>
      <c r="D43" s="37">
        <f>(D44/$I$7)*$B$4*$I$4</f>
        <v>41.605804800000001</v>
      </c>
      <c r="E43" s="37">
        <f>(E44/$I$7)*$B$4*$I$4</f>
        <v>12.554956799999999</v>
      </c>
      <c r="F43" s="37">
        <f t="shared" ref="F43:W43" si="4">(F44/$I$7)*$B$4*$I$4</f>
        <v>64.300514399999997</v>
      </c>
      <c r="G43" s="37">
        <f t="shared" si="4"/>
        <v>152.09150400000001</v>
      </c>
      <c r="H43" s="37">
        <f t="shared" si="4"/>
        <v>54.675676799999998</v>
      </c>
      <c r="I43" s="37">
        <f t="shared" si="4"/>
        <v>83.351419199999995</v>
      </c>
      <c r="J43" s="37">
        <f t="shared" si="4"/>
        <v>26.580924</v>
      </c>
      <c r="K43" s="37">
        <f t="shared" si="4"/>
        <v>33.305328000000003</v>
      </c>
      <c r="L43" s="37">
        <f t="shared" si="4"/>
        <v>25.237000800000001</v>
      </c>
      <c r="M43" s="37">
        <f t="shared" si="4"/>
        <v>25.0763976</v>
      </c>
      <c r="N43" s="37">
        <f t="shared" si="4"/>
        <v>14.274806399999999</v>
      </c>
      <c r="O43" s="37">
        <f t="shared" si="4"/>
        <v>52.817522400000001</v>
      </c>
      <c r="P43" s="37">
        <f t="shared" si="4"/>
        <v>101.7596376</v>
      </c>
      <c r="Q43" s="37">
        <f t="shared" si="4"/>
        <v>13.264346880000002</v>
      </c>
      <c r="R43" s="37">
        <f t="shared" si="4"/>
        <v>48.137594399999998</v>
      </c>
      <c r="S43" s="37">
        <f t="shared" si="4"/>
        <v>41.351356799999991</v>
      </c>
      <c r="T43" s="37">
        <f t="shared" si="4"/>
        <v>38.845591199999994</v>
      </c>
      <c r="U43" s="37">
        <f t="shared" si="4"/>
        <v>55.031493599999997</v>
      </c>
      <c r="V43" s="37">
        <f t="shared" si="4"/>
        <v>36.798515999999999</v>
      </c>
      <c r="W43" s="38">
        <f t="shared" si="4"/>
        <v>32.589179999999999</v>
      </c>
    </row>
    <row r="44" spans="1:23" x14ac:dyDescent="0.25">
      <c r="A44" s="47"/>
      <c r="B44" s="56" t="s">
        <v>23</v>
      </c>
      <c r="C44" s="42">
        <f>13601700/1000000</f>
        <v>13.601699999999999</v>
      </c>
      <c r="D44" s="39">
        <f>3041360/1000000</f>
        <v>3.0413600000000001</v>
      </c>
      <c r="E44" s="39">
        <f>917760/1000000</f>
        <v>0.91776000000000002</v>
      </c>
      <c r="F44" s="39">
        <f>4700330/1000000</f>
        <v>4.7003300000000001</v>
      </c>
      <c r="G44" s="39">
        <f>11117800/1000000</f>
        <v>11.117800000000001</v>
      </c>
      <c r="H44" s="39">
        <f>3996760/1000000</f>
        <v>3.9967600000000001</v>
      </c>
      <c r="I44" s="39">
        <f>6092940/1000000</f>
        <v>6.0929399999999996</v>
      </c>
      <c r="J44" s="39">
        <f>1943050/1000000</f>
        <v>1.9430499999999999</v>
      </c>
      <c r="K44" s="39">
        <f>2434600/1000000</f>
        <v>2.4346000000000001</v>
      </c>
      <c r="L44" s="39">
        <f>1844810/1000000</f>
        <v>1.8448100000000001</v>
      </c>
      <c r="M44" s="39">
        <f>1833070/1000000</f>
        <v>1.83307</v>
      </c>
      <c r="N44" s="39">
        <f>1043480/1000000</f>
        <v>1.04348</v>
      </c>
      <c r="O44" s="39">
        <f>3860930/1000000</f>
        <v>3.8609300000000002</v>
      </c>
      <c r="P44" s="39">
        <f>7438570/1000000</f>
        <v>7.4385700000000003</v>
      </c>
      <c r="Q44" s="39">
        <f>969616/1000000</f>
        <v>0.96961600000000003</v>
      </c>
      <c r="R44" s="39">
        <f>3518830/1000000</f>
        <v>3.5188299999999999</v>
      </c>
      <c r="S44" s="39">
        <f>3022760/1000000</f>
        <v>3.0227599999999999</v>
      </c>
      <c r="T44" s="39">
        <f>2839590/1000000</f>
        <v>2.8395899999999998</v>
      </c>
      <c r="U44" s="39">
        <f>4022770/1000000</f>
        <v>4.0227700000000004</v>
      </c>
      <c r="V44" s="39">
        <f>2689950/1000000</f>
        <v>2.6899500000000001</v>
      </c>
      <c r="W44" s="40">
        <f>2382250/1000000</f>
        <v>2.38225</v>
      </c>
    </row>
    <row r="45" spans="1:23" ht="15.75" thickBot="1" x14ac:dyDescent="0.3">
      <c r="A45" s="48"/>
      <c r="B45" s="57" t="s">
        <v>40</v>
      </c>
      <c r="C45" s="54">
        <v>0.701353</v>
      </c>
      <c r="D45" s="51">
        <v>0.67213999999999996</v>
      </c>
      <c r="E45" s="51">
        <v>0.55462100000000003</v>
      </c>
      <c r="F45" s="51">
        <v>0.563469</v>
      </c>
      <c r="G45" s="51">
        <v>0.54428600000000005</v>
      </c>
      <c r="H45" s="51">
        <v>0.50170000000000003</v>
      </c>
      <c r="I45" s="51">
        <v>0.65894699999999995</v>
      </c>
      <c r="J45" s="51">
        <v>0.34313900000000003</v>
      </c>
      <c r="K45" s="51">
        <v>0.65156899999999995</v>
      </c>
      <c r="L45" s="51">
        <v>0.77517899999999995</v>
      </c>
      <c r="M45" s="51">
        <v>0.62690800000000002</v>
      </c>
      <c r="N45" s="51">
        <v>0.63555099999999998</v>
      </c>
      <c r="O45" s="51">
        <v>0.651119</v>
      </c>
      <c r="P45" s="51">
        <v>0.81804900000000003</v>
      </c>
      <c r="Q45" s="51">
        <v>0.391405</v>
      </c>
      <c r="R45" s="51">
        <v>0.717333</v>
      </c>
      <c r="S45" s="51">
        <v>0.66232800000000003</v>
      </c>
      <c r="T45" s="51">
        <v>0.72604599999999997</v>
      </c>
      <c r="U45" s="51">
        <v>0.87729500000000005</v>
      </c>
      <c r="V45" s="51">
        <v>0.79369599999999996</v>
      </c>
      <c r="W45" s="52">
        <v>0.63134000000000001</v>
      </c>
    </row>
    <row r="46" spans="1:23" x14ac:dyDescent="0.25">
      <c r="A46" s="46">
        <v>5</v>
      </c>
      <c r="B46" s="55" t="s">
        <v>24</v>
      </c>
      <c r="C46" s="53">
        <f>(C47/$I$7)*$B$4*$I$4</f>
        <v>191.23408800000001</v>
      </c>
      <c r="D46" s="37">
        <f>(D47/$I$7)*$B$4*$I$4</f>
        <v>37.114934399999996</v>
      </c>
      <c r="E46" s="37">
        <f>(E47/$I$7)*$B$4*$I$4</f>
        <v>13.633638480000002</v>
      </c>
      <c r="F46" s="37">
        <f t="shared" ref="F46:W46" si="5">(F47/$I$7)*$B$4*$I$4</f>
        <v>70.244337599999994</v>
      </c>
      <c r="G46" s="37">
        <f t="shared" si="5"/>
        <v>132.81911999999997</v>
      </c>
      <c r="H46" s="37">
        <f t="shared" si="5"/>
        <v>54.514799999999994</v>
      </c>
      <c r="I46" s="37">
        <f t="shared" si="5"/>
        <v>90.046137599999994</v>
      </c>
      <c r="J46" s="37">
        <f t="shared" si="5"/>
        <v>30.515565599999999</v>
      </c>
      <c r="K46" s="37">
        <f t="shared" si="5"/>
        <v>34.966080000000005</v>
      </c>
      <c r="L46" s="37">
        <f t="shared" si="5"/>
        <v>22.561603199999997</v>
      </c>
      <c r="M46" s="37">
        <f>(M47/$I$7)*$B$4*$I$4</f>
        <v>30.100240800000002</v>
      </c>
      <c r="N46" s="37">
        <f t="shared" si="5"/>
        <v>17.274283199999999</v>
      </c>
      <c r="O46" s="37">
        <f t="shared" si="5"/>
        <v>40.601419199999995</v>
      </c>
      <c r="P46" s="37">
        <f t="shared" si="5"/>
        <v>103.50205919999999</v>
      </c>
      <c r="Q46" s="37">
        <f t="shared" si="5"/>
        <v>12.525503759999998</v>
      </c>
      <c r="R46" s="37">
        <f t="shared" si="5"/>
        <v>43.056842400000001</v>
      </c>
      <c r="S46" s="37">
        <f t="shared" si="5"/>
        <v>42.392404800000001</v>
      </c>
      <c r="T46" s="37">
        <f t="shared" si="5"/>
        <v>32.728579199999999</v>
      </c>
      <c r="U46" s="37">
        <f t="shared" si="5"/>
        <v>52.013685599999995</v>
      </c>
      <c r="V46" s="37">
        <f t="shared" si="5"/>
        <v>33.562785599999998</v>
      </c>
      <c r="W46" s="38">
        <f t="shared" si="5"/>
        <v>29.136347999999995</v>
      </c>
    </row>
    <row r="47" spans="1:23" x14ac:dyDescent="0.25">
      <c r="A47" s="47"/>
      <c r="B47" s="56" t="s">
        <v>23</v>
      </c>
      <c r="C47" s="42">
        <f>13979100/1000000</f>
        <v>13.979100000000001</v>
      </c>
      <c r="D47" s="39">
        <f>2713080/1000000</f>
        <v>2.7130800000000002</v>
      </c>
      <c r="E47" s="39">
        <f>996611/1000000</f>
        <v>0.99661100000000002</v>
      </c>
      <c r="F47" s="39">
        <f>5134820/1000000</f>
        <v>5.1348200000000004</v>
      </c>
      <c r="G47" s="39">
        <f>9709000/1000000</f>
        <v>9.7089999999999996</v>
      </c>
      <c r="H47" s="39">
        <f>3985000/1000000</f>
        <v>3.9849999999999999</v>
      </c>
      <c r="I47" s="39">
        <f>6582320/1000000</f>
        <v>6.5823200000000002</v>
      </c>
      <c r="J47" s="39">
        <f>2230670/1000000</f>
        <v>2.2306699999999999</v>
      </c>
      <c r="K47" s="39">
        <f>2556000/1000000</f>
        <v>2.556</v>
      </c>
      <c r="L47" s="39">
        <f>1649240/1000000</f>
        <v>1.64924</v>
      </c>
      <c r="M47" s="39">
        <f>2200310/1000000</f>
        <v>2.20031</v>
      </c>
      <c r="N47" s="39">
        <f>1262740/1000000</f>
        <v>1.26274</v>
      </c>
      <c r="O47" s="39">
        <f>2967940/1000000</f>
        <v>2.96794</v>
      </c>
      <c r="P47" s="39">
        <f>7565940/1000000</f>
        <v>7.5659400000000003</v>
      </c>
      <c r="Q47" s="39">
        <f>915607/1000000</f>
        <v>0.91560699999999995</v>
      </c>
      <c r="R47" s="39">
        <f>3147430/1000000</f>
        <v>3.1474299999999999</v>
      </c>
      <c r="S47" s="39">
        <f>3098860/1000000</f>
        <v>3.0988600000000002</v>
      </c>
      <c r="T47" s="39">
        <f>2392440/1000000</f>
        <v>2.3924400000000001</v>
      </c>
      <c r="U47" s="39">
        <f>3802170/1000000</f>
        <v>3.8021699999999998</v>
      </c>
      <c r="V47" s="39">
        <f>2453420/1000000</f>
        <v>2.4534199999999999</v>
      </c>
      <c r="W47" s="40">
        <f>2129850/1000000</f>
        <v>2.1298499999999998</v>
      </c>
    </row>
    <row r="48" spans="1:23" ht="15.75" thickBot="1" x14ac:dyDescent="0.3">
      <c r="A48" s="48"/>
      <c r="B48" s="57" t="s">
        <v>40</v>
      </c>
      <c r="C48" s="54">
        <v>0.70980500000000002</v>
      </c>
      <c r="D48" s="51">
        <v>0.60041999999999995</v>
      </c>
      <c r="E48" s="51">
        <v>0.53808100000000003</v>
      </c>
      <c r="F48" s="51">
        <v>0.57883799999999996</v>
      </c>
      <c r="G48" s="51">
        <v>0.51349400000000001</v>
      </c>
      <c r="H48" s="51">
        <v>0.49658400000000003</v>
      </c>
      <c r="I48" s="51">
        <v>0.69032300000000002</v>
      </c>
      <c r="J48" s="51">
        <v>0.368535</v>
      </c>
      <c r="K48" s="51">
        <v>0.64664500000000003</v>
      </c>
      <c r="L48" s="51">
        <v>0.81515099999999996</v>
      </c>
      <c r="M48" s="51">
        <v>0.66150500000000001</v>
      </c>
      <c r="N48" s="51">
        <v>0.788246</v>
      </c>
      <c r="O48" s="51">
        <v>0.58771499999999999</v>
      </c>
      <c r="P48" s="51">
        <v>0.79137999999999997</v>
      </c>
      <c r="Q48" s="51">
        <v>0.37760199999999999</v>
      </c>
      <c r="R48" s="51">
        <v>0.71849600000000002</v>
      </c>
      <c r="S48" s="51">
        <v>0.71451799999999999</v>
      </c>
      <c r="T48" s="51">
        <v>0.60550800000000005</v>
      </c>
      <c r="U48" s="51">
        <v>0.85645400000000005</v>
      </c>
      <c r="V48" s="51">
        <v>0.79071599999999997</v>
      </c>
      <c r="W48" s="52">
        <v>0.61630799999999997</v>
      </c>
    </row>
    <row r="49" spans="1:23" x14ac:dyDescent="0.25">
      <c r="A49" s="46">
        <v>6</v>
      </c>
      <c r="B49" s="58" t="s">
        <v>24</v>
      </c>
      <c r="C49" s="49">
        <f>(C50/$I$7)*$B$4*$I$4</f>
        <v>180.59515199999998</v>
      </c>
      <c r="D49" s="37">
        <f>(D50/$I$7)*$B$4*$I$4</f>
        <v>43.423329600000002</v>
      </c>
      <c r="E49" s="37">
        <f>(E50/$I$7)*$B$4*$I$4</f>
        <v>12.833344800000001</v>
      </c>
      <c r="F49" s="37">
        <f t="shared" ref="F49:W49" si="6">(F50/$I$7)*$B$4*$I$4</f>
        <v>67.320100799999992</v>
      </c>
      <c r="G49" s="37">
        <f t="shared" si="6"/>
        <v>132.69203279999999</v>
      </c>
      <c r="H49" s="37">
        <f t="shared" si="6"/>
        <v>54.190857599999994</v>
      </c>
      <c r="I49" s="37">
        <f t="shared" si="6"/>
        <v>83.879603999999986</v>
      </c>
      <c r="J49" s="37">
        <f t="shared" si="6"/>
        <v>58.878309599999994</v>
      </c>
      <c r="K49" s="37">
        <f t="shared" si="6"/>
        <v>29.416240800000004</v>
      </c>
      <c r="L49" s="37">
        <f t="shared" si="6"/>
        <v>25.537413600000001</v>
      </c>
      <c r="M49" s="37">
        <f t="shared" si="6"/>
        <v>22.980895199999999</v>
      </c>
      <c r="N49" s="37">
        <f t="shared" si="6"/>
        <v>13.659397919999998</v>
      </c>
      <c r="O49" s="37">
        <f t="shared" si="6"/>
        <v>500.15174399999989</v>
      </c>
      <c r="P49" s="37">
        <f t="shared" si="6"/>
        <v>49.113799199999995</v>
      </c>
      <c r="Q49" s="37">
        <f t="shared" si="6"/>
        <v>17.522711999999999</v>
      </c>
      <c r="R49" s="37">
        <f t="shared" si="6"/>
        <v>48.060712800000005</v>
      </c>
      <c r="S49" s="37">
        <f t="shared" si="6"/>
        <v>42.852463200000003</v>
      </c>
      <c r="T49" s="37">
        <f t="shared" si="6"/>
        <v>37.934913599999994</v>
      </c>
      <c r="U49" s="37">
        <f t="shared" si="6"/>
        <v>53.700839999999999</v>
      </c>
      <c r="V49" s="37">
        <f t="shared" si="6"/>
        <v>35.897004000000003</v>
      </c>
      <c r="W49" s="38">
        <f t="shared" si="6"/>
        <v>30.605169600000004</v>
      </c>
    </row>
    <row r="50" spans="1:23" x14ac:dyDescent="0.25">
      <c r="A50" s="47"/>
      <c r="B50" s="59" t="s">
        <v>23</v>
      </c>
      <c r="C50" s="50">
        <f>13201400/1000000</f>
        <v>13.2014</v>
      </c>
      <c r="D50" s="39">
        <f>3174220/1000000</f>
        <v>3.17422</v>
      </c>
      <c r="E50" s="39">
        <f>938110/1000000</f>
        <v>0.93811</v>
      </c>
      <c r="F50" s="39">
        <f>4921060/1000000</f>
        <v>4.9210599999999998</v>
      </c>
      <c r="G50" s="39">
        <f>9699710/1000000</f>
        <v>9.6997099999999996</v>
      </c>
      <c r="H50" s="39">
        <f>3961320/1000000</f>
        <v>3.9613200000000002</v>
      </c>
      <c r="I50" s="39">
        <f>6131550/1000000</f>
        <v>6.1315499999999998</v>
      </c>
      <c r="J50" s="39">
        <f>4303970/1000000</f>
        <v>4.3039699999999996</v>
      </c>
      <c r="K50" s="39">
        <f>2150310/1000000</f>
        <v>2.1503100000000002</v>
      </c>
      <c r="L50" s="39">
        <f>1866770/1000000</f>
        <v>1.86677</v>
      </c>
      <c r="M50" s="39">
        <f>1679890/1000000</f>
        <v>1.6798900000000001</v>
      </c>
      <c r="N50" s="39">
        <f>998494/1000000</f>
        <v>0.99849399999999999</v>
      </c>
      <c r="O50" s="39">
        <f>3656080/100000</f>
        <v>36.5608</v>
      </c>
      <c r="P50" s="39">
        <f>3590190/1000000</f>
        <v>3.5901900000000002</v>
      </c>
      <c r="Q50" s="39">
        <f>1280900/1000000</f>
        <v>1.2808999999999999</v>
      </c>
      <c r="R50" s="39">
        <f>3513210/1000000</f>
        <v>3.5132099999999999</v>
      </c>
      <c r="S50" s="39">
        <f>3132490/1000000</f>
        <v>3.1324900000000002</v>
      </c>
      <c r="T50" s="39">
        <f>2773020/1000000</f>
        <v>2.7730199999999998</v>
      </c>
      <c r="U50" s="39">
        <f>3925500/1000000</f>
        <v>3.9255</v>
      </c>
      <c r="V50" s="39">
        <f>2624050/1000000</f>
        <v>2.62405</v>
      </c>
      <c r="W50" s="40">
        <f>2237220/1000000</f>
        <v>2.2372200000000002</v>
      </c>
    </row>
    <row r="51" spans="1:23" ht="15.75" thickBot="1" x14ac:dyDescent="0.3">
      <c r="A51" s="48"/>
      <c r="B51" s="57" t="s">
        <v>40</v>
      </c>
      <c r="C51" s="60">
        <v>0.72171700000000005</v>
      </c>
      <c r="D51" s="51">
        <v>0.70196000000000003</v>
      </c>
      <c r="E51" s="51">
        <v>0.491977</v>
      </c>
      <c r="F51" s="51">
        <v>0.59553999999999996</v>
      </c>
      <c r="G51" s="51">
        <v>0.52345799999999998</v>
      </c>
      <c r="H51" s="51">
        <v>0.48252699999999998</v>
      </c>
      <c r="I51" s="51">
        <v>0.64863999999999999</v>
      </c>
      <c r="J51" s="51">
        <v>0.55676099999999995</v>
      </c>
      <c r="K51" s="51">
        <v>0.62331300000000001</v>
      </c>
      <c r="L51" s="51">
        <v>0.77780899999999997</v>
      </c>
      <c r="M51" s="51">
        <v>0.62646900000000005</v>
      </c>
      <c r="N51" s="51">
        <v>0.67925800000000003</v>
      </c>
      <c r="O51" s="51">
        <v>0.65020299999999998</v>
      </c>
      <c r="P51" s="51">
        <v>0.466026</v>
      </c>
      <c r="Q51" s="51">
        <v>0.40490500000000001</v>
      </c>
      <c r="R51" s="51">
        <v>0.72180599999999995</v>
      </c>
      <c r="S51" s="51">
        <v>0.729634</v>
      </c>
      <c r="T51" s="51">
        <v>0.74344299999999996</v>
      </c>
      <c r="U51" s="51">
        <v>0.85400200000000004</v>
      </c>
      <c r="V51" s="51">
        <v>0.84738599999999997</v>
      </c>
      <c r="W51" s="52">
        <v>0.56769000000000003</v>
      </c>
    </row>
    <row r="52" spans="1:23" x14ac:dyDescent="0.25">
      <c r="A52" s="46">
        <v>7</v>
      </c>
      <c r="B52" s="58" t="s">
        <v>24</v>
      </c>
      <c r="C52" s="49">
        <f>(C53/$I$7)*$B$4*$I$4</f>
        <v>198.11239199999997</v>
      </c>
      <c r="D52" s="37">
        <f>(D53/$I$7)*$B$4*$I$4</f>
        <v>36.508089599999998</v>
      </c>
      <c r="E52" s="37">
        <f>(E53/$I$7)*$B$4*$I$4</f>
        <v>14.071521600000001</v>
      </c>
      <c r="F52" s="37">
        <f t="shared" ref="F52:W52" si="7">(F53/$I$7)*$B$4*$I$4</f>
        <v>56.072267999999987</v>
      </c>
      <c r="G52" s="37">
        <f t="shared" si="7"/>
        <v>149.06275200000002</v>
      </c>
      <c r="H52" s="37">
        <f t="shared" si="7"/>
        <v>57.100730400000003</v>
      </c>
      <c r="I52" s="37">
        <f t="shared" si="7"/>
        <v>88.629300000000001</v>
      </c>
      <c r="J52" s="37">
        <f t="shared" si="7"/>
        <v>74.784182399999992</v>
      </c>
      <c r="K52" s="37">
        <f t="shared" si="7"/>
        <v>33.060319200000002</v>
      </c>
      <c r="L52" s="37">
        <f t="shared" si="7"/>
        <v>24.276391199999999</v>
      </c>
      <c r="M52" s="37">
        <f t="shared" si="7"/>
        <v>25.698974400000001</v>
      </c>
      <c r="N52" s="37">
        <f t="shared" si="7"/>
        <v>11.94928848</v>
      </c>
      <c r="O52" s="37">
        <f t="shared" si="7"/>
        <v>44.776555200000004</v>
      </c>
      <c r="P52" s="37">
        <f t="shared" si="7"/>
        <v>106.36692480000001</v>
      </c>
      <c r="Q52" s="37">
        <f t="shared" si="7"/>
        <v>10.370000879999999</v>
      </c>
      <c r="R52" s="37">
        <f t="shared" si="7"/>
        <v>45.775742399999999</v>
      </c>
      <c r="S52" s="37">
        <f t="shared" si="7"/>
        <v>38.728627199999998</v>
      </c>
      <c r="T52" s="37">
        <f t="shared" si="7"/>
        <v>33.779613599999998</v>
      </c>
      <c r="U52" s="37">
        <f t="shared" si="7"/>
        <v>51.358276799999999</v>
      </c>
      <c r="V52" s="37">
        <f t="shared" si="7"/>
        <v>37.230530399999999</v>
      </c>
      <c r="W52" s="38">
        <f t="shared" si="7"/>
        <v>31.634452800000002</v>
      </c>
    </row>
    <row r="53" spans="1:23" x14ac:dyDescent="0.25">
      <c r="A53" s="47"/>
      <c r="B53" s="59" t="s">
        <v>23</v>
      </c>
      <c r="C53" s="50">
        <f>14481900/1000000</f>
        <v>14.4819</v>
      </c>
      <c r="D53" s="39">
        <f>2668720/1000000</f>
        <v>2.66872</v>
      </c>
      <c r="E53" s="39">
        <f>1028620/1000000</f>
        <v>1.0286200000000001</v>
      </c>
      <c r="F53" s="39">
        <f>4098850/1000000</f>
        <v>4.0988499999999997</v>
      </c>
      <c r="G53" s="39">
        <f>10896400/1000000</f>
        <v>10.8964</v>
      </c>
      <c r="H53" s="39">
        <f>4174030/1000000</f>
        <v>4.1740300000000001</v>
      </c>
      <c r="I53" s="39">
        <f>6478750/1000000</f>
        <v>6.4787499999999998</v>
      </c>
      <c r="J53" s="39">
        <f>5466680/1000000</f>
        <v>5.4666800000000002</v>
      </c>
      <c r="K53" s="39">
        <f>2416690/1000000</f>
        <v>2.41669</v>
      </c>
      <c r="L53" s="39">
        <f>1774590/1000000</f>
        <v>1.7745899999999999</v>
      </c>
      <c r="M53" s="39">
        <f>1878580/1000000</f>
        <v>1.8785799999999999</v>
      </c>
      <c r="N53" s="39">
        <f>873486/1000000</f>
        <v>0.87348599999999998</v>
      </c>
      <c r="O53" s="39">
        <f>3273140/1000000</f>
        <v>3.2731400000000002</v>
      </c>
      <c r="P53" s="39">
        <f>7775360/1000000</f>
        <v>7.77536</v>
      </c>
      <c r="Q53" s="39">
        <f>758041/1000000</f>
        <v>0.75804099999999996</v>
      </c>
      <c r="R53" s="39">
        <f>3346180/1000000</f>
        <v>3.3461799999999999</v>
      </c>
      <c r="S53" s="39">
        <f>2831040/1000000</f>
        <v>2.8310399999999998</v>
      </c>
      <c r="T53" s="39">
        <f>2469270/1000000</f>
        <v>2.4692699999999999</v>
      </c>
      <c r="U53" s="39">
        <f>3754260/1000000</f>
        <v>3.7542599999999999</v>
      </c>
      <c r="V53" s="39">
        <f>2721530/1000000</f>
        <v>2.72153</v>
      </c>
      <c r="W53" s="40">
        <f>2312460/1000000</f>
        <v>2.3124600000000002</v>
      </c>
    </row>
    <row r="54" spans="1:23" ht="15.75" thickBot="1" x14ac:dyDescent="0.3">
      <c r="A54" s="48"/>
      <c r="B54" s="57" t="s">
        <v>40</v>
      </c>
      <c r="C54" s="60">
        <v>0.70105499999999998</v>
      </c>
      <c r="D54" s="51">
        <v>0.61434900000000003</v>
      </c>
      <c r="E54" s="51">
        <v>0.55043200000000003</v>
      </c>
      <c r="F54" s="51">
        <v>0.49836999999999998</v>
      </c>
      <c r="G54" s="51">
        <v>0.54697700000000005</v>
      </c>
      <c r="H54" s="51">
        <v>0.48525099999999999</v>
      </c>
      <c r="I54" s="51">
        <v>0.68683700000000003</v>
      </c>
      <c r="J54" s="51">
        <v>0.61850899999999998</v>
      </c>
      <c r="K54" s="51">
        <v>0.63788100000000003</v>
      </c>
      <c r="L54" s="51">
        <v>0.79794100000000001</v>
      </c>
      <c r="M54" s="51">
        <v>0.60217600000000004</v>
      </c>
      <c r="N54" s="51">
        <v>0.74282999999999999</v>
      </c>
      <c r="O54" s="51">
        <v>0.624552</v>
      </c>
      <c r="P54" s="51">
        <v>0.81002200000000002</v>
      </c>
      <c r="Q54" s="51">
        <v>0.298097</v>
      </c>
      <c r="R54" s="51">
        <v>0.66549999999999998</v>
      </c>
      <c r="S54" s="51">
        <v>0.68212399999999995</v>
      </c>
      <c r="T54" s="51">
        <v>0.72093600000000002</v>
      </c>
      <c r="U54" s="51">
        <v>0.85815300000000005</v>
      </c>
      <c r="V54" s="51">
        <v>0.80984100000000003</v>
      </c>
      <c r="W54" s="52">
        <v>0.62244100000000002</v>
      </c>
    </row>
    <row r="55" spans="1:23" x14ac:dyDescent="0.25">
      <c r="A55" s="46">
        <v>8</v>
      </c>
      <c r="B55" s="55" t="s">
        <v>24</v>
      </c>
      <c r="C55" s="61">
        <f>(C56/$I$7)*$B$4*$I$4</f>
        <v>194.50634399999998</v>
      </c>
      <c r="D55" s="37">
        <f>(D56/$I$7)*$B$4*$I$4</f>
        <v>35.755279200000004</v>
      </c>
      <c r="E55" s="37">
        <f>(E56/$I$7)*$B$4*$I$4</f>
        <v>13.250461679999999</v>
      </c>
      <c r="F55" s="37">
        <f t="shared" ref="F55:W55" si="8">(F56/$I$7)*$B$4*$I$4</f>
        <v>50.718052800000002</v>
      </c>
      <c r="G55" s="37">
        <f t="shared" si="8"/>
        <v>159.85353599999999</v>
      </c>
      <c r="H55" s="37">
        <f t="shared" si="8"/>
        <v>51.182352000000002</v>
      </c>
      <c r="I55" s="37">
        <f t="shared" si="8"/>
        <v>87.818212799999998</v>
      </c>
      <c r="J55" s="37">
        <f t="shared" si="8"/>
        <v>63.008712000000003</v>
      </c>
      <c r="K55" s="37">
        <f t="shared" si="8"/>
        <v>32.402584799999993</v>
      </c>
      <c r="L55" s="37">
        <f t="shared" si="8"/>
        <v>22.786776</v>
      </c>
      <c r="M55" s="37">
        <f t="shared" si="8"/>
        <v>25.635362399999998</v>
      </c>
      <c r="N55" s="37">
        <f t="shared" si="8"/>
        <v>14.931719999999999</v>
      </c>
      <c r="O55" s="37">
        <f t="shared" si="8"/>
        <v>49.005316800000003</v>
      </c>
      <c r="P55" s="37">
        <f t="shared" si="8"/>
        <v>108.77597280000001</v>
      </c>
      <c r="Q55" s="37">
        <f t="shared" si="8"/>
        <v>10.335609359999999</v>
      </c>
      <c r="R55" s="37">
        <f t="shared" si="8"/>
        <v>44.810618399999996</v>
      </c>
      <c r="S55" s="37">
        <f t="shared" si="8"/>
        <v>37.2290256</v>
      </c>
      <c r="T55" s="37">
        <f t="shared" si="8"/>
        <v>41.352998399999997</v>
      </c>
      <c r="U55" s="37">
        <f t="shared" si="8"/>
        <v>52.497683999999992</v>
      </c>
      <c r="V55" s="37">
        <f t="shared" si="8"/>
        <v>35.680723199999996</v>
      </c>
      <c r="W55" s="38">
        <f t="shared" si="8"/>
        <v>34.918199999999999</v>
      </c>
    </row>
    <row r="56" spans="1:23" x14ac:dyDescent="0.25">
      <c r="A56" s="47"/>
      <c r="B56" s="56" t="s">
        <v>23</v>
      </c>
      <c r="C56" s="42">
        <f>14218300/1000000</f>
        <v>14.218299999999999</v>
      </c>
      <c r="D56" s="39">
        <f>2613690/1000000</f>
        <v>2.6136900000000001</v>
      </c>
      <c r="E56" s="39">
        <f>968601/1000000</f>
        <v>0.96860100000000005</v>
      </c>
      <c r="F56" s="39">
        <f>3707460/1000000</f>
        <v>3.7074600000000002</v>
      </c>
      <c r="G56" s="39">
        <f>11685200/1000000</f>
        <v>11.6852</v>
      </c>
      <c r="H56" s="39">
        <f>3741400/1000000</f>
        <v>3.7414000000000001</v>
      </c>
      <c r="I56" s="39">
        <f>6419460/1000000</f>
        <v>6.4194599999999999</v>
      </c>
      <c r="J56" s="39">
        <f>4605900/1000000</f>
        <v>4.6059000000000001</v>
      </c>
      <c r="K56" s="39">
        <f>2368610/1000000</f>
        <v>2.3686099999999999</v>
      </c>
      <c r="L56" s="39">
        <f>1665700/1000000</f>
        <v>1.6657</v>
      </c>
      <c r="M56" s="39">
        <f>1873930/1000000</f>
        <v>1.8739300000000001</v>
      </c>
      <c r="N56" s="39">
        <f>1091500/1000000</f>
        <v>1.0914999999999999</v>
      </c>
      <c r="O56" s="39">
        <f>3582260/1000000</f>
        <v>3.5822600000000002</v>
      </c>
      <c r="P56" s="39">
        <f>7951460/1000000</f>
        <v>7.95146</v>
      </c>
      <c r="Q56" s="39">
        <f>755527/1000000</f>
        <v>0.75552699999999995</v>
      </c>
      <c r="R56" s="39">
        <f>3275630/1000000</f>
        <v>3.27563</v>
      </c>
      <c r="S56" s="39">
        <f>2721420/1000000</f>
        <v>2.7214200000000002</v>
      </c>
      <c r="T56" s="39">
        <f>3022880/1000000</f>
        <v>3.0228799999999998</v>
      </c>
      <c r="U56" s="39">
        <f>3837550/1000000</f>
        <v>3.8375499999999998</v>
      </c>
      <c r="V56" s="39">
        <f>2608240/1000000</f>
        <v>2.6082399999999999</v>
      </c>
      <c r="W56" s="40">
        <f>2552500/1000000</f>
        <v>2.5525000000000002</v>
      </c>
    </row>
    <row r="57" spans="1:23" ht="15.75" thickBot="1" x14ac:dyDescent="0.3">
      <c r="A57" s="48"/>
      <c r="B57" s="57" t="s">
        <v>40</v>
      </c>
      <c r="C57" s="54">
        <v>0.69996599999999998</v>
      </c>
      <c r="D57" s="51">
        <v>0.64008900000000002</v>
      </c>
      <c r="E57" s="51">
        <v>0.53900400000000004</v>
      </c>
      <c r="F57" s="51">
        <v>0.48957099999999998</v>
      </c>
      <c r="G57" s="51">
        <v>0.56153200000000003</v>
      </c>
      <c r="H57" s="51">
        <v>0.47782799999999997</v>
      </c>
      <c r="I57" s="51">
        <v>0.70172500000000004</v>
      </c>
      <c r="J57" s="51">
        <v>0.57373799999999997</v>
      </c>
      <c r="K57" s="51">
        <v>0.64881699999999998</v>
      </c>
      <c r="L57" s="51">
        <v>0.791682</v>
      </c>
      <c r="M57" s="51">
        <v>0.668987</v>
      </c>
      <c r="N57" s="51">
        <v>0.70305300000000004</v>
      </c>
      <c r="O57" s="51">
        <v>0.64515800000000001</v>
      </c>
      <c r="P57" s="51">
        <v>0.814836</v>
      </c>
      <c r="Q57" s="51">
        <v>0.33730599999999999</v>
      </c>
      <c r="R57" s="51">
        <v>0.70861099999999999</v>
      </c>
      <c r="S57" s="51">
        <v>0.70023800000000003</v>
      </c>
      <c r="T57" s="51">
        <v>0.76880700000000002</v>
      </c>
      <c r="U57" s="51">
        <v>0.85261699999999996</v>
      </c>
      <c r="V57" s="51">
        <v>0.78802399999999995</v>
      </c>
      <c r="W57" s="52">
        <v>0.62361299999999997</v>
      </c>
    </row>
    <row r="58" spans="1:23" x14ac:dyDescent="0.25">
      <c r="A58" s="46">
        <v>9</v>
      </c>
      <c r="B58" s="55" t="s">
        <v>24</v>
      </c>
      <c r="C58" s="53">
        <f>(C59/$I$7)*$B$4*$I$4</f>
        <v>201.70339200000001</v>
      </c>
      <c r="D58" s="37">
        <f>(D59/$I$7)*$B$4*$I$4</f>
        <v>32.705323199999995</v>
      </c>
      <c r="E58" s="37">
        <f>(E59/$I$7)*$B$4*$I$4</f>
        <v>15.2789184</v>
      </c>
      <c r="F58" s="37">
        <f t="shared" ref="F58:W58" si="9">(F59/$I$7)*$B$4*$I$4</f>
        <v>71.480052000000001</v>
      </c>
      <c r="G58" s="37">
        <f t="shared" si="9"/>
        <v>146.44029600000002</v>
      </c>
      <c r="H58" s="37">
        <f t="shared" si="9"/>
        <v>55.126022399999997</v>
      </c>
      <c r="I58" s="37">
        <f t="shared" si="9"/>
        <v>71.565278399999997</v>
      </c>
      <c r="J58" s="37">
        <f t="shared" si="9"/>
        <v>30.085876799999998</v>
      </c>
      <c r="K58" s="37">
        <f t="shared" si="9"/>
        <v>32.308056000000001</v>
      </c>
      <c r="L58" s="37">
        <f t="shared" si="9"/>
        <v>24.753276</v>
      </c>
      <c r="M58" s="37">
        <f t="shared" si="9"/>
        <v>26.582428799999999</v>
      </c>
      <c r="N58" s="37">
        <f t="shared" si="9"/>
        <v>16.35444</v>
      </c>
      <c r="O58" s="37">
        <f t="shared" si="9"/>
        <v>42.019077599999996</v>
      </c>
      <c r="P58" s="37">
        <f t="shared" si="9"/>
        <v>103.73366159999999</v>
      </c>
      <c r="Q58" s="37">
        <f t="shared" si="9"/>
        <v>8.0823765599999984</v>
      </c>
      <c r="R58" s="37">
        <f t="shared" si="9"/>
        <v>51.378796799999996</v>
      </c>
      <c r="S58" s="37">
        <f t="shared" si="9"/>
        <v>39.473776799999996</v>
      </c>
      <c r="T58" s="37">
        <f t="shared" si="9"/>
        <v>35.683322399999994</v>
      </c>
      <c r="U58" s="37">
        <f t="shared" si="9"/>
        <v>52.029417599999995</v>
      </c>
      <c r="V58" s="37">
        <f t="shared" si="9"/>
        <v>33.966892799999997</v>
      </c>
      <c r="W58" s="38">
        <f t="shared" si="9"/>
        <v>34.799731199999997</v>
      </c>
    </row>
    <row r="59" spans="1:23" x14ac:dyDescent="0.25">
      <c r="A59" s="47"/>
      <c r="B59" s="56" t="s">
        <v>23</v>
      </c>
      <c r="C59" s="42">
        <f>14744400/1000000</f>
        <v>14.744400000000001</v>
      </c>
      <c r="D59" s="39">
        <f>2390740/1000000</f>
        <v>2.3907400000000001</v>
      </c>
      <c r="E59" s="39">
        <f>1116880/1000000</f>
        <v>1.1168800000000001</v>
      </c>
      <c r="F59" s="39">
        <f>5225150/1000000</f>
        <v>5.2251500000000002</v>
      </c>
      <c r="G59" s="39">
        <f>10704700/1000000</f>
        <v>10.704700000000001</v>
      </c>
      <c r="H59" s="39">
        <f>4029680/1000000</f>
        <v>4.0296799999999999</v>
      </c>
      <c r="I59" s="39">
        <f>5231380/1000000</f>
        <v>5.2313799999999997</v>
      </c>
      <c r="J59" s="39">
        <f>2199260/1000000</f>
        <v>2.1992600000000002</v>
      </c>
      <c r="K59" s="39">
        <f>2361700/1000000</f>
        <v>2.3616999999999999</v>
      </c>
      <c r="L59" s="39">
        <f>1809450/1000000</f>
        <v>1.80945</v>
      </c>
      <c r="M59" s="39">
        <f>1943160/1000000</f>
        <v>1.94316</v>
      </c>
      <c r="N59" s="39">
        <f>1195500/1000000</f>
        <v>1.1955</v>
      </c>
      <c r="O59" s="39">
        <f>3071570/1000000</f>
        <v>3.0715699999999999</v>
      </c>
      <c r="P59" s="39">
        <f>7582870/1000000</f>
        <v>7.5828699999999998</v>
      </c>
      <c r="Q59" s="39">
        <f>590817/1000000</f>
        <v>0.59081700000000004</v>
      </c>
      <c r="R59" s="39">
        <f>3755760/1000000</f>
        <v>3.75576</v>
      </c>
      <c r="S59" s="39">
        <f>2885510/1000000</f>
        <v>2.88551</v>
      </c>
      <c r="T59" s="39">
        <f>2608430/1000000</f>
        <v>2.6084299999999998</v>
      </c>
      <c r="U59" s="39">
        <f>3803320/1000000</f>
        <v>3.8033199999999998</v>
      </c>
      <c r="V59" s="39">
        <f>2482960/1000000</f>
        <v>2.4829599999999998</v>
      </c>
      <c r="W59" s="40">
        <f>2543840/1000000</f>
        <v>2.5438399999999999</v>
      </c>
    </row>
    <row r="60" spans="1:23" ht="15.75" thickBot="1" x14ac:dyDescent="0.3">
      <c r="A60" s="48"/>
      <c r="B60" s="57" t="s">
        <v>40</v>
      </c>
      <c r="C60" s="54">
        <v>0.70875900000000003</v>
      </c>
      <c r="D60" s="51">
        <v>0.56701299999999999</v>
      </c>
      <c r="E60" s="51">
        <v>0.51779399999999998</v>
      </c>
      <c r="F60" s="51">
        <v>0.604962</v>
      </c>
      <c r="G60" s="51">
        <v>0.55340500000000004</v>
      </c>
      <c r="H60" s="51">
        <v>0.49146099999999998</v>
      </c>
      <c r="I60" s="51">
        <v>0.62412400000000001</v>
      </c>
      <c r="J60" s="51">
        <v>0.34856799999999999</v>
      </c>
      <c r="K60" s="51">
        <v>0.64536700000000002</v>
      </c>
      <c r="L60" s="51">
        <v>0.78698800000000002</v>
      </c>
      <c r="M60" s="51">
        <v>0.63167499999999999</v>
      </c>
      <c r="N60" s="51">
        <v>0.837148</v>
      </c>
      <c r="O60" s="51">
        <v>0.61391799999999996</v>
      </c>
      <c r="P60" s="51">
        <v>0.80315599999999998</v>
      </c>
      <c r="Q60" s="51">
        <v>0.29345199999999999</v>
      </c>
      <c r="R60" s="51">
        <v>0.73011000000000004</v>
      </c>
      <c r="S60" s="51">
        <v>0.687056</v>
      </c>
      <c r="T60" s="51">
        <v>0.75729100000000005</v>
      </c>
      <c r="U60" s="51">
        <v>0.85646500000000003</v>
      </c>
      <c r="V60" s="51">
        <v>0.78477200000000003</v>
      </c>
      <c r="W60" s="52">
        <v>0.645231</v>
      </c>
    </row>
    <row r="61" spans="1:23" x14ac:dyDescent="0.25">
      <c r="A61" s="46">
        <v>10</v>
      </c>
      <c r="B61" s="55" t="s">
        <v>24</v>
      </c>
      <c r="C61" s="53">
        <f>(C62/$I$7)*$B$4*$I$4</f>
        <v>191.7936</v>
      </c>
      <c r="D61" s="37">
        <f>(D62/$I$7)*$B$4*$I$4</f>
        <v>38.597162399999995</v>
      </c>
      <c r="E61" s="37">
        <f>(E62/$I$7)*$B$4*$I$4</f>
        <v>14.066460000000001</v>
      </c>
      <c r="F61" s="37">
        <f t="shared" ref="F61:W61" si="10">(F62/$I$7)*$B$4*$I$4</f>
        <v>70.628335199999995</v>
      </c>
      <c r="G61" s="37">
        <f t="shared" si="10"/>
        <v>142.847928</v>
      </c>
      <c r="H61" s="37">
        <f t="shared" si="10"/>
        <v>64.013508000000002</v>
      </c>
      <c r="I61" s="37">
        <f t="shared" si="10"/>
        <v>82.556611199999992</v>
      </c>
      <c r="J61" s="37">
        <f t="shared" si="10"/>
        <v>65.178086399999984</v>
      </c>
      <c r="K61" s="37">
        <f t="shared" si="10"/>
        <v>33.113260799999999</v>
      </c>
      <c r="L61" s="37">
        <f t="shared" si="10"/>
        <v>26.695425599999997</v>
      </c>
      <c r="M61" s="37">
        <f t="shared" si="10"/>
        <v>25.132759199999999</v>
      </c>
      <c r="N61" s="37">
        <f t="shared" si="10"/>
        <v>13.433185439999999</v>
      </c>
      <c r="O61" s="37">
        <f t="shared" si="10"/>
        <v>46.118563199999997</v>
      </c>
      <c r="P61" s="37">
        <f t="shared" si="10"/>
        <v>106.24298400000001</v>
      </c>
      <c r="Q61" s="37">
        <f t="shared" si="10"/>
        <v>8.8539969599999999</v>
      </c>
      <c r="R61" s="37">
        <f t="shared" si="10"/>
        <v>45.078199199999993</v>
      </c>
      <c r="S61" s="37">
        <f t="shared" si="10"/>
        <v>40.469954399999999</v>
      </c>
      <c r="T61" s="37">
        <f t="shared" si="10"/>
        <v>34.802877599999995</v>
      </c>
      <c r="U61" s="37">
        <f t="shared" si="10"/>
        <v>54.142430400000002</v>
      </c>
      <c r="V61" s="37">
        <f t="shared" si="10"/>
        <v>33.898492799999993</v>
      </c>
      <c r="W61" s="38">
        <f t="shared" si="10"/>
        <v>30.578356799999998</v>
      </c>
    </row>
    <row r="62" spans="1:23" x14ac:dyDescent="0.25">
      <c r="A62" s="47"/>
      <c r="B62" s="56" t="s">
        <v>23</v>
      </c>
      <c r="C62" s="42">
        <f>14020000/1000000</f>
        <v>14.02</v>
      </c>
      <c r="D62" s="39">
        <f>2821430/1000000</f>
        <v>2.8214299999999999</v>
      </c>
      <c r="E62" s="39">
        <f>1028250/1000000</f>
        <v>1.0282500000000001</v>
      </c>
      <c r="F62" s="39">
        <f>5162890/1000000</f>
        <v>5.16289</v>
      </c>
      <c r="G62" s="39">
        <f>10442100/1000000</f>
        <v>10.4421</v>
      </c>
      <c r="H62" s="39">
        <f>4679350/1000000</f>
        <v>4.6793500000000003</v>
      </c>
      <c r="I62" s="39">
        <f>6034840/1000000</f>
        <v>6.03484</v>
      </c>
      <c r="J62" s="39">
        <f>4764480/1000000</f>
        <v>4.7644799999999998</v>
      </c>
      <c r="K62" s="39">
        <f>2420560/1000000</f>
        <v>2.42056</v>
      </c>
      <c r="L62" s="39">
        <f>1951420/1000000</f>
        <v>1.9514199999999999</v>
      </c>
      <c r="M62" s="39">
        <f>1837190/1000000</f>
        <v>1.8371900000000001</v>
      </c>
      <c r="N62" s="39">
        <f>981958/1000000</f>
        <v>0.981958</v>
      </c>
      <c r="O62" s="39">
        <f>3371240/1000000</f>
        <v>3.3712399999999998</v>
      </c>
      <c r="P62" s="39">
        <f>7766300/1000000</f>
        <v>7.7663000000000002</v>
      </c>
      <c r="Q62" s="39">
        <f>647222/1000000</f>
        <v>0.64722199999999996</v>
      </c>
      <c r="R62" s="39">
        <f>3295190/1000000</f>
        <v>3.2951899999999998</v>
      </c>
      <c r="S62" s="39">
        <f>2958330/1000000</f>
        <v>2.9583300000000001</v>
      </c>
      <c r="T62" s="39">
        <f>2544070/1000000</f>
        <v>2.5440700000000001</v>
      </c>
      <c r="U62" s="39">
        <f>3957780/1000000</f>
        <v>3.9577800000000001</v>
      </c>
      <c r="V62" s="39">
        <f>2477960/1000000</f>
        <v>2.4779599999999999</v>
      </c>
      <c r="W62" s="40">
        <f>2235260/1000000</f>
        <v>2.2352599999999998</v>
      </c>
    </row>
    <row r="63" spans="1:23" ht="15.75" thickBot="1" x14ac:dyDescent="0.3">
      <c r="A63" s="48"/>
      <c r="B63" s="57" t="s">
        <v>40</v>
      </c>
      <c r="C63" s="54">
        <v>0.69702500000000001</v>
      </c>
      <c r="D63" s="51">
        <v>0.64683400000000002</v>
      </c>
      <c r="E63" s="51">
        <v>0.57051300000000005</v>
      </c>
      <c r="F63" s="51">
        <v>0.57910700000000004</v>
      </c>
      <c r="G63" s="51">
        <v>0.53484500000000001</v>
      </c>
      <c r="H63" s="51">
        <v>0.52164299999999997</v>
      </c>
      <c r="I63" s="51">
        <v>0.65830200000000005</v>
      </c>
      <c r="J63" s="51">
        <v>0.56215800000000005</v>
      </c>
      <c r="K63" s="51">
        <v>0.67444599999999999</v>
      </c>
      <c r="L63" s="51">
        <v>0.887347</v>
      </c>
      <c r="M63" s="51">
        <v>0.58863299999999996</v>
      </c>
      <c r="N63" s="51">
        <v>0.64168700000000001</v>
      </c>
      <c r="O63" s="51">
        <v>0.59428899999999996</v>
      </c>
      <c r="P63" s="51">
        <v>0.80110800000000004</v>
      </c>
      <c r="Q63" s="51">
        <v>0.31379899999999999</v>
      </c>
      <c r="R63" s="51">
        <v>0.72340000000000004</v>
      </c>
      <c r="S63" s="51">
        <v>0.67752400000000002</v>
      </c>
      <c r="T63" s="51">
        <v>0.73129900000000003</v>
      </c>
      <c r="U63" s="51">
        <v>0.850746</v>
      </c>
      <c r="V63" s="51">
        <v>0.79312700000000003</v>
      </c>
      <c r="W63" s="52">
        <v>0.61348999999999998</v>
      </c>
    </row>
    <row r="64" spans="1:23" x14ac:dyDescent="0.25">
      <c r="A64" s="46">
        <v>11</v>
      </c>
      <c r="B64" s="55" t="s">
        <v>24</v>
      </c>
      <c r="C64" s="53">
        <f>(C65/$I$7)*$B$4*$I$4</f>
        <v>199.80871199999999</v>
      </c>
      <c r="D64" s="37">
        <f>(D65/$I$7)*$B$4*$I$4</f>
        <v>40.156682400000001</v>
      </c>
      <c r="E64" s="37">
        <f>(E65/$I$7)*$B$4*$I$4</f>
        <v>16.1470512</v>
      </c>
      <c r="F64" s="37">
        <f t="shared" ref="F64:W64" si="11">(F65/$I$7)*$B$4*$I$4</f>
        <v>65.461125599999988</v>
      </c>
      <c r="G64" s="37">
        <f t="shared" si="11"/>
        <v>134.1834264</v>
      </c>
      <c r="H64" s="37">
        <f t="shared" si="11"/>
        <v>56.736021599999987</v>
      </c>
      <c r="I64" s="37">
        <f t="shared" si="11"/>
        <v>97.254950399999984</v>
      </c>
      <c r="J64" s="37">
        <f t="shared" si="11"/>
        <v>57.947659199999997</v>
      </c>
      <c r="K64" s="37">
        <f t="shared" si="11"/>
        <v>26.831404799999998</v>
      </c>
      <c r="L64" s="37">
        <f t="shared" si="11"/>
        <v>23.569955999999998</v>
      </c>
      <c r="M64" s="37">
        <f t="shared" si="11"/>
        <v>26.602401599999997</v>
      </c>
      <c r="N64" s="37">
        <f t="shared" si="11"/>
        <v>7.8951657599999985</v>
      </c>
      <c r="O64" s="37">
        <f t="shared" si="11"/>
        <v>42.696374399999996</v>
      </c>
      <c r="P64" s="37">
        <f t="shared" si="11"/>
        <v>109.69280639999999</v>
      </c>
      <c r="Q64" s="37">
        <f t="shared" si="11"/>
        <v>9.1766397600000005</v>
      </c>
      <c r="R64" s="37">
        <f t="shared" si="11"/>
        <v>48.965507999999993</v>
      </c>
      <c r="S64" s="37">
        <f t="shared" si="11"/>
        <v>41.121532799999997</v>
      </c>
      <c r="T64" s="37">
        <f t="shared" si="11"/>
        <v>38.886904800000003</v>
      </c>
      <c r="U64" s="37">
        <f t="shared" si="11"/>
        <v>49.452379199999989</v>
      </c>
      <c r="V64" s="37">
        <f t="shared" si="11"/>
        <v>35.813555999999998</v>
      </c>
      <c r="W64" s="38">
        <f t="shared" si="11"/>
        <v>30.086150399999998</v>
      </c>
    </row>
    <row r="65" spans="1:23" x14ac:dyDescent="0.25">
      <c r="A65" s="47"/>
      <c r="B65" s="56" t="s">
        <v>23</v>
      </c>
      <c r="C65" s="42">
        <f>14605900/1000000</f>
        <v>14.6059</v>
      </c>
      <c r="D65" s="39">
        <f>2935430/1000000</f>
        <v>2.9354300000000002</v>
      </c>
      <c r="E65" s="39">
        <f>1180340/1000000</f>
        <v>1.1803399999999999</v>
      </c>
      <c r="F65" s="39">
        <f>4785170/1000000</f>
        <v>4.7851699999999999</v>
      </c>
      <c r="G65" s="39">
        <f>9808730/1000000</f>
        <v>9.8087300000000006</v>
      </c>
      <c r="H65" s="39">
        <f>4147370/1000000</f>
        <v>4.1473699999999996</v>
      </c>
      <c r="I65" s="39">
        <f>7109280/1000000</f>
        <v>7.10928</v>
      </c>
      <c r="J65" s="39">
        <f>4235940/1000000</f>
        <v>4.2359400000000003</v>
      </c>
      <c r="K65" s="39">
        <f>1961360/1000000</f>
        <v>1.96136</v>
      </c>
      <c r="L65" s="39">
        <f>1722950/1000000</f>
        <v>1.72295</v>
      </c>
      <c r="M65" s="39">
        <f>1944620/1000000</f>
        <v>1.94462</v>
      </c>
      <c r="N65" s="39">
        <f>577132/1000000</f>
        <v>0.57713199999999998</v>
      </c>
      <c r="O65" s="39">
        <f>3121080/1000000</f>
        <v>3.1210800000000001</v>
      </c>
      <c r="P65" s="39">
        <f>8018480/1000000</f>
        <v>8.0184800000000003</v>
      </c>
      <c r="Q65" s="39">
        <f>670807/1000000</f>
        <v>0.67080700000000004</v>
      </c>
      <c r="R65" s="39">
        <f>3579350/1000000</f>
        <v>3.5793499999999998</v>
      </c>
      <c r="S65" s="39">
        <f>3005960/1000000</f>
        <v>3.00596</v>
      </c>
      <c r="T65" s="39">
        <f>2842610/1000000</f>
        <v>2.8426100000000001</v>
      </c>
      <c r="U65" s="39">
        <f>3614940/1000000</f>
        <v>3.6149399999999998</v>
      </c>
      <c r="V65" s="39">
        <f>2617950/1000000</f>
        <v>2.61795</v>
      </c>
      <c r="W65" s="40">
        <f>2199280/1000000</f>
        <v>2.1992799999999999</v>
      </c>
    </row>
    <row r="66" spans="1:23" ht="15.75" thickBot="1" x14ac:dyDescent="0.3">
      <c r="A66" s="48"/>
      <c r="B66" s="62" t="s">
        <v>40</v>
      </c>
      <c r="C66" s="63">
        <v>0.70132300000000003</v>
      </c>
      <c r="D66" s="64">
        <v>0.61402999999999996</v>
      </c>
      <c r="E66" s="64">
        <v>0.63446999999999998</v>
      </c>
      <c r="F66" s="64">
        <v>0.59774700000000003</v>
      </c>
      <c r="G66" s="64">
        <v>0.53274600000000005</v>
      </c>
      <c r="H66" s="64">
        <v>0.480161</v>
      </c>
      <c r="I66" s="64">
        <v>0.71916500000000005</v>
      </c>
      <c r="J66" s="64">
        <v>0.58207900000000001</v>
      </c>
      <c r="K66" s="64">
        <v>0.625614</v>
      </c>
      <c r="L66" s="64">
        <v>0.82216100000000003</v>
      </c>
      <c r="M66" s="64">
        <v>0.60567700000000002</v>
      </c>
      <c r="N66" s="64">
        <v>0.42591600000000002</v>
      </c>
      <c r="O66" s="64">
        <v>0.59467899999999996</v>
      </c>
      <c r="P66" s="64">
        <v>0.81428599999999995</v>
      </c>
      <c r="Q66" s="64">
        <v>0.29000100000000001</v>
      </c>
      <c r="R66" s="64">
        <v>0.80386299999999999</v>
      </c>
      <c r="S66" s="64">
        <v>0.67976800000000004</v>
      </c>
      <c r="T66" s="64">
        <v>0.82597100000000001</v>
      </c>
      <c r="U66" s="64">
        <v>0.78368599999999999</v>
      </c>
      <c r="V66" s="64">
        <v>0.78179699999999996</v>
      </c>
      <c r="W66" s="65">
        <v>0.63547200000000004</v>
      </c>
    </row>
    <row r="67" spans="1:23" x14ac:dyDescent="0.25">
      <c r="A67" s="46">
        <v>12</v>
      </c>
      <c r="B67" s="55" t="s">
        <v>24</v>
      </c>
      <c r="C67" s="53">
        <f>(C68/$I$7)*$B$4*$I$4</f>
        <v>187.075368</v>
      </c>
      <c r="D67" s="37">
        <f>(D68/$I$7)*$B$4*$I$4</f>
        <v>36.569102399999998</v>
      </c>
      <c r="E67" s="37">
        <f>(E68/$I$7)*$B$4*$I$4</f>
        <v>13.186603440000001</v>
      </c>
      <c r="F67" s="37">
        <v>68.469904799999995</v>
      </c>
      <c r="G67" s="37">
        <v>142.83151199999998</v>
      </c>
      <c r="H67" s="37">
        <v>49.695883200000004</v>
      </c>
      <c r="I67" s="37">
        <v>74.975155199999989</v>
      </c>
      <c r="J67" s="37">
        <v>63.679168799999999</v>
      </c>
      <c r="K67" s="37">
        <v>29.349208799999996</v>
      </c>
      <c r="L67" s="37">
        <v>25.150406399999998</v>
      </c>
      <c r="M67" s="37">
        <v>21.847233600000003</v>
      </c>
      <c r="N67" s="37">
        <v>15.692054400000002</v>
      </c>
      <c r="O67" s="37">
        <v>44.867116799999998</v>
      </c>
      <c r="P67" s="37">
        <v>109.82030399999999</v>
      </c>
      <c r="Q67" s="37">
        <v>11.645551439999998</v>
      </c>
      <c r="R67" s="37">
        <v>50.120236799999994</v>
      </c>
      <c r="S67" s="37">
        <v>41.106895199999997</v>
      </c>
      <c r="T67" s="37">
        <v>38.760912000000005</v>
      </c>
      <c r="U67" s="37">
        <v>52.531063199999991</v>
      </c>
      <c r="V67" s="37">
        <v>35.831750399999997</v>
      </c>
      <c r="W67" s="38">
        <v>33.592881599999998</v>
      </c>
    </row>
    <row r="68" spans="1:23" x14ac:dyDescent="0.25">
      <c r="A68" s="47"/>
      <c r="B68" s="56" t="s">
        <v>23</v>
      </c>
      <c r="C68" s="42">
        <f>13675100/1000000</f>
        <v>13.6751</v>
      </c>
      <c r="D68" s="39">
        <f>2673180/1000000</f>
        <v>2.6731799999999999</v>
      </c>
      <c r="E68" s="39">
        <f>963933/1000000</f>
        <v>0.96393300000000004</v>
      </c>
      <c r="F68" s="39">
        <v>5.0051100000000002</v>
      </c>
      <c r="G68" s="39">
        <v>10.440899999999999</v>
      </c>
      <c r="H68" s="39">
        <v>3.6327400000000001</v>
      </c>
      <c r="I68" s="39">
        <v>5.4806400000000002</v>
      </c>
      <c r="J68" s="39">
        <v>4.6549100000000001</v>
      </c>
      <c r="K68" s="39">
        <v>2.14541</v>
      </c>
      <c r="L68" s="39">
        <v>1.8384799999999999</v>
      </c>
      <c r="M68" s="39">
        <v>1.5970200000000001</v>
      </c>
      <c r="N68" s="39">
        <v>1.1470800000000001</v>
      </c>
      <c r="O68" s="39">
        <v>3.27976</v>
      </c>
      <c r="P68" s="39">
        <v>8.0277999999999992</v>
      </c>
      <c r="Q68" s="39">
        <v>0.85128300000000001</v>
      </c>
      <c r="R68" s="39">
        <v>3.6637599999999999</v>
      </c>
      <c r="S68" s="39">
        <v>3.0048900000000001</v>
      </c>
      <c r="T68" s="39">
        <v>2.8334000000000001</v>
      </c>
      <c r="U68" s="39">
        <v>3.8399899999999998</v>
      </c>
      <c r="V68" s="39">
        <v>2.6192799999999998</v>
      </c>
      <c r="W68" s="40">
        <v>2.4556200000000001</v>
      </c>
    </row>
    <row r="69" spans="1:23" ht="15.75" thickBot="1" x14ac:dyDescent="0.3">
      <c r="A69" s="48"/>
      <c r="B69" s="57" t="s">
        <v>40</v>
      </c>
      <c r="C69" s="54">
        <v>0.69638999999999995</v>
      </c>
      <c r="D69" s="51">
        <v>0.60920399999999997</v>
      </c>
      <c r="E69" s="51">
        <v>0.55738299999999996</v>
      </c>
      <c r="F69" s="51">
        <v>0.57871899999999998</v>
      </c>
      <c r="G69" s="51">
        <v>0.54451899999999998</v>
      </c>
      <c r="H69" s="51">
        <v>0.48234699999999997</v>
      </c>
      <c r="I69" s="51">
        <v>0.595696</v>
      </c>
      <c r="J69" s="51">
        <v>0.54453400000000007</v>
      </c>
      <c r="K69" s="51">
        <v>0.60758800000000002</v>
      </c>
      <c r="L69" s="51">
        <v>0.78679199999999994</v>
      </c>
      <c r="M69" s="51">
        <v>0.60830399999999996</v>
      </c>
      <c r="N69" s="51">
        <v>0.69338899999999992</v>
      </c>
      <c r="O69" s="51">
        <v>0.63161</v>
      </c>
      <c r="P69" s="51">
        <v>0.82261499999999999</v>
      </c>
      <c r="Q69" s="51">
        <v>0.34137700000000004</v>
      </c>
      <c r="R69" s="51">
        <v>0.72667599999999988</v>
      </c>
      <c r="S69" s="51">
        <v>0.70648799999999989</v>
      </c>
      <c r="T69" s="51">
        <v>0.75720500000000002</v>
      </c>
      <c r="U69" s="51">
        <v>0.85588200000000003</v>
      </c>
      <c r="V69" s="51">
        <v>0.81864400000000004</v>
      </c>
      <c r="W69" s="52">
        <v>0.59929600000000005</v>
      </c>
    </row>
    <row r="70" spans="1:23" x14ac:dyDescent="0.25">
      <c r="A70" s="46">
        <v>13</v>
      </c>
      <c r="B70" s="55" t="s">
        <v>24</v>
      </c>
      <c r="C70" s="53">
        <f>(C71/$I$7)*$B$4*$I$4</f>
        <v>199.73757599999999</v>
      </c>
      <c r="D70" s="37">
        <f>(D71/$I$7)*$B$4*$I$4</f>
        <v>37.502899199999995</v>
      </c>
      <c r="E70" s="37">
        <f>(E71/$I$7)*$B$4*$I$4</f>
        <v>16.175779199999997</v>
      </c>
      <c r="F70" s="37">
        <v>56.069805600000002</v>
      </c>
      <c r="G70" s="37">
        <v>147.04768799999999</v>
      </c>
      <c r="H70" s="37">
        <v>56.138205600000006</v>
      </c>
      <c r="I70" s="37">
        <v>95.162594399999989</v>
      </c>
      <c r="J70" s="37">
        <v>61.288999199999999</v>
      </c>
      <c r="K70" s="37">
        <v>35.156505600000003</v>
      </c>
      <c r="L70" s="37">
        <v>23.3732376</v>
      </c>
      <c r="M70" s="37">
        <v>22.365842399999998</v>
      </c>
      <c r="N70" s="37">
        <v>16.211483999999999</v>
      </c>
      <c r="O70" s="37">
        <v>45.77328</v>
      </c>
      <c r="P70" s="37">
        <v>95.421009599999991</v>
      </c>
      <c r="Q70" s="37">
        <v>10.18465056</v>
      </c>
      <c r="R70" s="37">
        <v>53.6691024</v>
      </c>
      <c r="S70" s="37">
        <v>36.904672799999993</v>
      </c>
      <c r="T70" s="37">
        <v>37.080460799999997</v>
      </c>
      <c r="U70" s="37">
        <v>52.236806399999992</v>
      </c>
      <c r="V70" s="37">
        <v>36.200700000000005</v>
      </c>
      <c r="W70" s="38">
        <v>28.03716</v>
      </c>
    </row>
    <row r="71" spans="1:23" x14ac:dyDescent="0.25">
      <c r="A71" s="47"/>
      <c r="B71" s="56" t="s">
        <v>23</v>
      </c>
      <c r="C71" s="42">
        <f>14600700/1000000</f>
        <v>14.6007</v>
      </c>
      <c r="D71" s="39">
        <f>2741440/1000000</f>
        <v>2.7414399999999999</v>
      </c>
      <c r="E71" s="39">
        <f>1182440/1000000</f>
        <v>1.1824399999999999</v>
      </c>
      <c r="F71" s="39">
        <v>4.0986700000000003</v>
      </c>
      <c r="G71" s="39">
        <v>10.7491</v>
      </c>
      <c r="H71" s="39">
        <v>4.1036700000000002</v>
      </c>
      <c r="I71" s="39">
        <v>6.9563300000000003</v>
      </c>
      <c r="J71" s="39">
        <v>4.4801900000000003</v>
      </c>
      <c r="K71" s="39">
        <v>2.5699200000000002</v>
      </c>
      <c r="L71" s="39">
        <v>1.7085699999999999</v>
      </c>
      <c r="M71" s="39">
        <v>1.63493</v>
      </c>
      <c r="N71" s="39">
        <v>1.1850499999999999</v>
      </c>
      <c r="O71" s="39">
        <v>3.3460000000000001</v>
      </c>
      <c r="P71" s="39">
        <v>6.9752200000000002</v>
      </c>
      <c r="Q71" s="39">
        <v>0.74449200000000004</v>
      </c>
      <c r="R71" s="39">
        <v>3.9231799999999999</v>
      </c>
      <c r="S71" s="39">
        <v>2.6977099999999998</v>
      </c>
      <c r="T71" s="39">
        <v>2.7105600000000001</v>
      </c>
      <c r="U71" s="39">
        <v>3.8184800000000001</v>
      </c>
      <c r="V71" s="39">
        <v>2.6462500000000002</v>
      </c>
      <c r="W71" s="40">
        <v>2.0495000000000001</v>
      </c>
    </row>
    <row r="72" spans="1:23" ht="15.75" thickBot="1" x14ac:dyDescent="0.3">
      <c r="A72" s="48"/>
      <c r="B72" s="57" t="s">
        <v>40</v>
      </c>
      <c r="C72" s="54">
        <v>0.71335800000000005</v>
      </c>
      <c r="D72" s="51">
        <v>0.63484399999999996</v>
      </c>
      <c r="E72" s="51">
        <v>0.54777699999999996</v>
      </c>
      <c r="F72" s="51">
        <v>0.51508299999999996</v>
      </c>
      <c r="G72" s="51">
        <v>0.52510800000000002</v>
      </c>
      <c r="H72" s="51">
        <v>0.50578899999999993</v>
      </c>
      <c r="I72" s="51">
        <v>0.67148200000000002</v>
      </c>
      <c r="J72" s="51">
        <v>0.566307</v>
      </c>
      <c r="K72" s="51">
        <v>0.70670100000000002</v>
      </c>
      <c r="L72" s="51">
        <v>0.78997099999999998</v>
      </c>
      <c r="M72" s="51">
        <v>0.63436500000000007</v>
      </c>
      <c r="N72" s="51">
        <v>0.67986400000000002</v>
      </c>
      <c r="O72" s="51">
        <v>0.60843800000000003</v>
      </c>
      <c r="P72" s="51">
        <v>0.79919200000000001</v>
      </c>
      <c r="Q72" s="51">
        <v>0.33131700000000003</v>
      </c>
      <c r="R72" s="51">
        <v>0.75626099999999996</v>
      </c>
      <c r="S72" s="51">
        <v>0.67979800000000001</v>
      </c>
      <c r="T72" s="51">
        <v>0.74669399999999997</v>
      </c>
      <c r="U72" s="51">
        <v>0.88290599999999997</v>
      </c>
      <c r="V72" s="51">
        <v>0.78827500000000006</v>
      </c>
      <c r="W72" s="52">
        <v>0.59223199999999998</v>
      </c>
    </row>
    <row r="73" spans="1:23" x14ac:dyDescent="0.25">
      <c r="A73" s="46">
        <v>14</v>
      </c>
      <c r="B73" s="55" t="s">
        <v>24</v>
      </c>
      <c r="C73" s="53">
        <f>(C74/$I$7)*$B$4*$I$4</f>
        <v>210.45859199999998</v>
      </c>
      <c r="D73" s="37">
        <f>(D74/$I$7)*$B$4*$I$4</f>
        <v>33.880435200000001</v>
      </c>
      <c r="E73" s="37">
        <f>(E74/$I$7)*$B$4*$I$4</f>
        <v>12.830896079999999</v>
      </c>
      <c r="F73" s="37">
        <v>56.201270399999991</v>
      </c>
      <c r="G73" s="37">
        <v>154.23379199999999</v>
      </c>
      <c r="H73" s="37">
        <v>51.001228799999993</v>
      </c>
      <c r="I73" s="37">
        <v>86.589885600000002</v>
      </c>
      <c r="J73" s="37">
        <v>61.812806399999992</v>
      </c>
      <c r="K73" s="37">
        <v>35.722036799999998</v>
      </c>
      <c r="L73" s="37">
        <v>27.772315199999994</v>
      </c>
      <c r="M73" s="37">
        <v>24.933167999999998</v>
      </c>
      <c r="N73" s="37">
        <v>14.9395176</v>
      </c>
      <c r="O73" s="37">
        <v>43.8147144</v>
      </c>
      <c r="P73" s="37">
        <v>108.77624640000001</v>
      </c>
      <c r="Q73" s="37">
        <v>12.825369359999998</v>
      </c>
      <c r="R73" s="37">
        <v>49.555252799999991</v>
      </c>
      <c r="S73" s="37">
        <v>45.084628799999997</v>
      </c>
      <c r="T73" s="37">
        <v>40.864075200000002</v>
      </c>
      <c r="U73" s="37">
        <v>52.823404799999992</v>
      </c>
      <c r="V73" s="37">
        <v>38.983622400000002</v>
      </c>
      <c r="W73" s="38">
        <v>27.282571199999996</v>
      </c>
    </row>
    <row r="74" spans="1:23" x14ac:dyDescent="0.25">
      <c r="A74" s="47"/>
      <c r="B74" s="56" t="s">
        <v>23</v>
      </c>
      <c r="C74" s="42">
        <f>15384400/1000000</f>
        <v>15.384399999999999</v>
      </c>
      <c r="D74" s="39">
        <f>2476640/1000000</f>
        <v>2.4766400000000002</v>
      </c>
      <c r="E74" s="39">
        <f>937931/1000000</f>
        <v>0.93793099999999996</v>
      </c>
      <c r="F74" s="39">
        <v>4.1082799999999997</v>
      </c>
      <c r="G74" s="39">
        <v>11.2744</v>
      </c>
      <c r="H74" s="39">
        <v>3.7281599999999999</v>
      </c>
      <c r="I74" s="39">
        <v>6.3296700000000001</v>
      </c>
      <c r="J74" s="39">
        <v>4.5184800000000003</v>
      </c>
      <c r="K74" s="39">
        <v>2.6112600000000001</v>
      </c>
      <c r="L74" s="39">
        <v>2.0301399999999998</v>
      </c>
      <c r="M74" s="39">
        <v>1.8226</v>
      </c>
      <c r="N74" s="39">
        <v>1.0920700000000001</v>
      </c>
      <c r="O74" s="39">
        <v>3.2028300000000001</v>
      </c>
      <c r="P74" s="39">
        <v>7.9514800000000001</v>
      </c>
      <c r="Q74" s="39">
        <v>0.937527</v>
      </c>
      <c r="R74" s="39">
        <v>3.6224599999999998</v>
      </c>
      <c r="S74" s="39">
        <v>3.2956599999999998</v>
      </c>
      <c r="T74" s="39">
        <v>2.9871400000000001</v>
      </c>
      <c r="U74" s="39">
        <v>3.8613599999999999</v>
      </c>
      <c r="V74" s="39">
        <v>2.8496800000000002</v>
      </c>
      <c r="W74" s="40">
        <v>1.99434</v>
      </c>
    </row>
    <row r="75" spans="1:23" ht="15.75" thickBot="1" x14ac:dyDescent="0.3">
      <c r="A75" s="48"/>
      <c r="B75" s="57" t="s">
        <v>40</v>
      </c>
      <c r="C75" s="54">
        <v>0.72662899999999997</v>
      </c>
      <c r="D75" s="41">
        <v>0.62368999999999997</v>
      </c>
      <c r="E75" s="51">
        <v>0.54062500000000002</v>
      </c>
      <c r="F75" s="51">
        <v>0.534111</v>
      </c>
      <c r="G75" s="51">
        <v>0.55272299999999996</v>
      </c>
      <c r="H75" s="51">
        <v>0.47634799999999999</v>
      </c>
      <c r="I75" s="51">
        <v>0.69786900000000007</v>
      </c>
      <c r="J75" s="51">
        <v>0.54428699999999997</v>
      </c>
      <c r="K75" s="51">
        <v>0.69400600000000001</v>
      </c>
      <c r="L75" s="51">
        <v>0.78765199999999991</v>
      </c>
      <c r="M75" s="51">
        <v>0.61193300000000006</v>
      </c>
      <c r="N75" s="51">
        <v>0.68783799999999995</v>
      </c>
      <c r="O75" s="51">
        <v>0.60562300000000002</v>
      </c>
      <c r="P75" s="51">
        <v>0.81176800000000005</v>
      </c>
      <c r="Q75" s="51">
        <v>0.36392600000000003</v>
      </c>
      <c r="R75" s="51">
        <v>0.72335899999999997</v>
      </c>
      <c r="S75" s="51">
        <v>0.70666799999999996</v>
      </c>
      <c r="T75" s="51">
        <v>0.85188900000000001</v>
      </c>
      <c r="U75" s="51">
        <v>0.86713399999999996</v>
      </c>
      <c r="V75" s="51">
        <v>0.79725599999999996</v>
      </c>
      <c r="W75" s="52">
        <v>0.590785</v>
      </c>
    </row>
    <row r="76" spans="1:23" x14ac:dyDescent="0.25">
      <c r="A76" s="46">
        <v>15</v>
      </c>
      <c r="B76" s="55" t="s">
        <v>24</v>
      </c>
      <c r="C76" s="53">
        <f>(C77/$I$7)*$B$4*$I$4</f>
        <v>189.76211999999998</v>
      </c>
      <c r="D76" s="37">
        <f>(D77/$I$7)*$B$4*$I$4</f>
        <v>44.834011199999999</v>
      </c>
      <c r="E76" s="37">
        <f>(E77/$I$7)*$B$4*$I$4</f>
        <v>11.909356559999999</v>
      </c>
      <c r="F76" s="37">
        <v>62.218281599999997</v>
      </c>
      <c r="G76" s="37">
        <v>130.49940239999998</v>
      </c>
      <c r="H76" s="37">
        <v>58.327005600000007</v>
      </c>
      <c r="I76" s="37">
        <v>90.111801599999978</v>
      </c>
      <c r="J76" s="37">
        <v>65.921868000000003</v>
      </c>
      <c r="K76" s="37">
        <v>30.054002400000002</v>
      </c>
      <c r="L76" s="37">
        <v>24.150672</v>
      </c>
      <c r="M76" s="37">
        <v>29.577117599999994</v>
      </c>
      <c r="N76" s="37">
        <v>13.743338399999997</v>
      </c>
      <c r="O76" s="37">
        <v>43.562044799999995</v>
      </c>
      <c r="P76" s="37">
        <v>48.726655199999996</v>
      </c>
      <c r="Q76" s="37">
        <v>13.178874240000001</v>
      </c>
      <c r="R76" s="37">
        <v>48.051684000000002</v>
      </c>
      <c r="S76" s="37">
        <v>39.569947199999994</v>
      </c>
      <c r="T76" s="37">
        <v>36.414655199999999</v>
      </c>
      <c r="U76" s="37">
        <v>50.988095999999999</v>
      </c>
      <c r="V76" s="37">
        <v>33.147460799999998</v>
      </c>
      <c r="W76" s="38">
        <v>30.947853599999998</v>
      </c>
    </row>
    <row r="77" spans="1:23" x14ac:dyDescent="0.25">
      <c r="A77" s="47"/>
      <c r="B77" s="56" t="s">
        <v>23</v>
      </c>
      <c r="C77" s="42">
        <f>13871500/1000000</f>
        <v>13.871499999999999</v>
      </c>
      <c r="D77" s="39">
        <f>3277340/1000000</f>
        <v>3.2773400000000001</v>
      </c>
      <c r="E77" s="39">
        <f>870567/1000000</f>
        <v>0.87056699999999998</v>
      </c>
      <c r="F77" s="39">
        <v>4.5481199999999999</v>
      </c>
      <c r="G77" s="39">
        <v>9.5394299999999994</v>
      </c>
      <c r="H77" s="39">
        <v>4.2636700000000003</v>
      </c>
      <c r="I77" s="39">
        <v>6.5871199999999996</v>
      </c>
      <c r="J77" s="39">
        <v>4.8188500000000003</v>
      </c>
      <c r="K77" s="39">
        <v>2.19693</v>
      </c>
      <c r="L77" s="39">
        <v>1.7654000000000001</v>
      </c>
      <c r="M77" s="39">
        <v>2.1620699999999999</v>
      </c>
      <c r="N77" s="39">
        <v>1.0046299999999999</v>
      </c>
      <c r="O77" s="39">
        <v>3.1843599999999999</v>
      </c>
      <c r="P77" s="39">
        <v>3.56189</v>
      </c>
      <c r="Q77" s="39">
        <v>0.963368</v>
      </c>
      <c r="R77" s="39">
        <v>3.5125500000000001</v>
      </c>
      <c r="S77" s="39">
        <v>2.8925399999999999</v>
      </c>
      <c r="T77" s="39">
        <v>2.6618900000000001</v>
      </c>
      <c r="U77" s="39">
        <v>3.7271999999999998</v>
      </c>
      <c r="V77" s="39">
        <v>2.42306</v>
      </c>
      <c r="W77" s="40">
        <v>2.26227</v>
      </c>
    </row>
    <row r="78" spans="1:23" ht="15.75" thickBot="1" x14ac:dyDescent="0.3">
      <c r="A78" s="48"/>
      <c r="B78" s="57" t="s">
        <v>40</v>
      </c>
      <c r="C78" s="54">
        <v>0.70190799999999998</v>
      </c>
      <c r="D78" s="41">
        <v>0.72648599999999997</v>
      </c>
      <c r="E78" s="51">
        <v>0.50799499999999997</v>
      </c>
      <c r="F78" s="51">
        <v>0.55384099999999992</v>
      </c>
      <c r="G78" s="51">
        <v>0.53472900000000001</v>
      </c>
      <c r="H78" s="51">
        <v>0.49334099999999997</v>
      </c>
      <c r="I78" s="51">
        <v>0.68174699999999999</v>
      </c>
      <c r="J78" s="51">
        <v>0.56671399999999994</v>
      </c>
      <c r="K78" s="51">
        <v>0.63251899999999994</v>
      </c>
      <c r="L78" s="51">
        <v>0.79643900000000001</v>
      </c>
      <c r="M78" s="51">
        <v>0.61116899999999996</v>
      </c>
      <c r="N78" s="51">
        <v>0.64239800000000002</v>
      </c>
      <c r="O78" s="51">
        <v>0.57647799999999993</v>
      </c>
      <c r="P78" s="51">
        <v>0.449685</v>
      </c>
      <c r="Q78" s="51">
        <v>0.38973999999999998</v>
      </c>
      <c r="R78" s="51">
        <v>0.7238079999999999</v>
      </c>
      <c r="S78" s="51">
        <v>0.67756899999999998</v>
      </c>
      <c r="T78" s="51">
        <v>0.73647700000000005</v>
      </c>
      <c r="U78" s="51">
        <v>0.84770000000000001</v>
      </c>
      <c r="V78" s="51">
        <v>0.79852900000000004</v>
      </c>
      <c r="W78" s="52">
        <v>0.60861199999999993</v>
      </c>
    </row>
    <row r="79" spans="1:23" x14ac:dyDescent="0.25">
      <c r="A79" s="46">
        <v>16</v>
      </c>
      <c r="B79" s="55" t="s">
        <v>24</v>
      </c>
      <c r="C79" s="53">
        <f>(C80/$I$7)*$B$4*$I$4</f>
        <v>181.44331200000002</v>
      </c>
      <c r="D79" s="37">
        <f>(D80/$I$7)*$B$4*$I$4</f>
        <v>38.223698400000004</v>
      </c>
      <c r="E79" s="37">
        <f>(E80/$I$7)*$B$4*$I$4</f>
        <v>14.982335999999998</v>
      </c>
      <c r="F79" s="37">
        <v>77.678186400000001</v>
      </c>
      <c r="G79" s="37">
        <v>141.34996799999999</v>
      </c>
      <c r="H79" s="37">
        <v>53.591399999999993</v>
      </c>
      <c r="I79" s="37">
        <v>78.80295599999998</v>
      </c>
      <c r="J79" s="37">
        <v>58.387607999999993</v>
      </c>
      <c r="K79" s="37">
        <v>29.279987999999999</v>
      </c>
      <c r="L79" s="37">
        <v>23.199091200000002</v>
      </c>
      <c r="M79" s="37">
        <v>23.800190400000002</v>
      </c>
      <c r="N79" s="37">
        <v>18.935582400000001</v>
      </c>
      <c r="O79" s="37">
        <v>46.586692800000002</v>
      </c>
      <c r="P79" s="37">
        <v>100.53938159999998</v>
      </c>
      <c r="Q79" s="37">
        <v>13.119817679999999</v>
      </c>
      <c r="R79" s="37">
        <v>50.792608799999996</v>
      </c>
      <c r="S79" s="37">
        <v>40.281307199999993</v>
      </c>
      <c r="T79" s="37">
        <v>36.116020799999994</v>
      </c>
      <c r="U79" s="37">
        <v>52.381677600000003</v>
      </c>
      <c r="V79" s="37">
        <v>35.025314399999999</v>
      </c>
      <c r="W79" s="38">
        <v>29.752358400000002</v>
      </c>
    </row>
    <row r="80" spans="1:23" x14ac:dyDescent="0.25">
      <c r="A80" s="47"/>
      <c r="B80" s="56" t="s">
        <v>23</v>
      </c>
      <c r="C80" s="42">
        <f>13263400/1000000</f>
        <v>13.263400000000001</v>
      </c>
      <c r="D80" s="39">
        <f>2794130/1000000</f>
        <v>2.79413</v>
      </c>
      <c r="E80" s="39">
        <f>1095200/1000000</f>
        <v>1.0952</v>
      </c>
      <c r="F80" s="39">
        <v>5.6782300000000001</v>
      </c>
      <c r="G80" s="39">
        <v>10.332599999999999</v>
      </c>
      <c r="H80" s="39">
        <v>3.9175</v>
      </c>
      <c r="I80" s="39">
        <v>5.7604499999999996</v>
      </c>
      <c r="J80" s="39">
        <v>4.2680999999999996</v>
      </c>
      <c r="K80" s="39">
        <v>2.1403500000000002</v>
      </c>
      <c r="L80" s="39">
        <v>1.69584</v>
      </c>
      <c r="M80" s="39">
        <v>1.7397800000000001</v>
      </c>
      <c r="N80" s="39">
        <v>1.38418</v>
      </c>
      <c r="O80" s="39">
        <v>3.4054600000000002</v>
      </c>
      <c r="P80" s="39">
        <v>7.3493700000000004</v>
      </c>
      <c r="Q80" s="39">
        <v>0.95905099999999999</v>
      </c>
      <c r="R80" s="39">
        <v>3.7129099999999999</v>
      </c>
      <c r="S80" s="39">
        <v>2.9445399999999999</v>
      </c>
      <c r="T80" s="39">
        <v>2.6400600000000001</v>
      </c>
      <c r="U80" s="39">
        <v>3.8290700000000002</v>
      </c>
      <c r="V80" s="39">
        <v>2.56033</v>
      </c>
      <c r="W80" s="40">
        <v>2.1748799999999999</v>
      </c>
    </row>
    <row r="81" spans="1:23" ht="15.75" thickBot="1" x14ac:dyDescent="0.3">
      <c r="A81" s="48"/>
      <c r="B81" s="57" t="s">
        <v>40</v>
      </c>
      <c r="C81" s="54">
        <v>0.69541600000000003</v>
      </c>
      <c r="D81" s="41">
        <v>0.62020799999999998</v>
      </c>
      <c r="E81" s="51">
        <v>0.62091399999999997</v>
      </c>
      <c r="F81" s="51">
        <v>0.64717699999999989</v>
      </c>
      <c r="G81" s="51">
        <v>0.53396599999999994</v>
      </c>
      <c r="H81" s="51">
        <v>0.46137600000000001</v>
      </c>
      <c r="I81" s="51">
        <v>0.65497899999999998</v>
      </c>
      <c r="J81" s="51">
        <v>0.56723800000000002</v>
      </c>
      <c r="K81" s="51">
        <v>0.60811100000000007</v>
      </c>
      <c r="L81" s="51">
        <v>0.78344800000000003</v>
      </c>
      <c r="M81" s="51">
        <v>0.61918700000000004</v>
      </c>
      <c r="N81" s="51">
        <v>0.80071399999999993</v>
      </c>
      <c r="O81" s="51">
        <v>0.61243199999999998</v>
      </c>
      <c r="P81" s="51">
        <v>0.80882000000000009</v>
      </c>
      <c r="Q81" s="51">
        <v>0.35694200000000004</v>
      </c>
      <c r="R81" s="51">
        <v>0.74240099999999998</v>
      </c>
      <c r="S81" s="51">
        <v>0.69358099999999989</v>
      </c>
      <c r="T81" s="51">
        <v>0.71498200000000001</v>
      </c>
      <c r="U81" s="51">
        <v>0.88947100000000001</v>
      </c>
      <c r="V81" s="51">
        <v>0.79303899999999994</v>
      </c>
      <c r="W81" s="52">
        <v>0.575631</v>
      </c>
    </row>
    <row r="82" spans="1:23" x14ac:dyDescent="0.25">
      <c r="A82" s="46">
        <v>17</v>
      </c>
      <c r="B82" s="55" t="s">
        <v>24</v>
      </c>
      <c r="C82" s="53">
        <f>(C83/$I$7)*$B$4*$I$4</f>
        <v>197.97285600000001</v>
      </c>
      <c r="D82" s="37">
        <f>(D83/$I$7)*$B$4*$I$4</f>
        <v>35.112592800000002</v>
      </c>
      <c r="E82" s="37">
        <f>(E83/$I$7)*$B$4*$I$4</f>
        <v>13.9421088</v>
      </c>
      <c r="F82" s="37">
        <v>61.202267999999997</v>
      </c>
      <c r="G82" s="37">
        <v>141.61262400000001</v>
      </c>
      <c r="H82" s="37">
        <v>55.1956536</v>
      </c>
      <c r="I82" s="37">
        <v>72.755985599999988</v>
      </c>
      <c r="J82" s="37">
        <v>45.443181600000003</v>
      </c>
      <c r="K82" s="37">
        <v>31.957027200000002</v>
      </c>
      <c r="L82" s="37">
        <v>23.995130399999997</v>
      </c>
      <c r="M82" s="37">
        <v>25.556702399999999</v>
      </c>
      <c r="N82" s="37">
        <v>13.582406880000001</v>
      </c>
      <c r="O82" s="37">
        <v>40.448203199999995</v>
      </c>
      <c r="P82" s="37">
        <v>107.66132640000001</v>
      </c>
      <c r="Q82" s="37">
        <v>13.45062744</v>
      </c>
      <c r="R82" s="37">
        <v>42.658070399999993</v>
      </c>
      <c r="S82" s="37">
        <v>38.564193599999996</v>
      </c>
      <c r="T82" s="37">
        <v>39.590056800000006</v>
      </c>
      <c r="U82" s="37">
        <v>51.582491999999995</v>
      </c>
      <c r="V82" s="37">
        <v>32.0322672</v>
      </c>
      <c r="W82" s="38">
        <v>30.376713599999999</v>
      </c>
    </row>
    <row r="83" spans="1:23" x14ac:dyDescent="0.25">
      <c r="A83" s="47"/>
      <c r="B83" s="56" t="s">
        <v>23</v>
      </c>
      <c r="C83" s="42">
        <f>14471700/1000000</f>
        <v>14.4717</v>
      </c>
      <c r="D83" s="39">
        <f>2566710/1000000</f>
        <v>2.56671</v>
      </c>
      <c r="E83" s="39">
        <f>1019160/1000000</f>
        <v>1.0191600000000001</v>
      </c>
      <c r="F83" s="39">
        <v>4.4738499999999997</v>
      </c>
      <c r="G83" s="39">
        <v>10.351800000000001</v>
      </c>
      <c r="H83" s="39">
        <v>4.03477</v>
      </c>
      <c r="I83" s="39">
        <v>5.3184199999999997</v>
      </c>
      <c r="J83" s="39">
        <v>3.3218700000000001</v>
      </c>
      <c r="K83" s="39">
        <v>2.3360400000000001</v>
      </c>
      <c r="L83" s="39">
        <v>1.75403</v>
      </c>
      <c r="M83" s="39">
        <v>1.86818</v>
      </c>
      <c r="N83" s="39">
        <v>0.99286600000000003</v>
      </c>
      <c r="O83" s="39">
        <v>2.9567399999999999</v>
      </c>
      <c r="P83" s="39">
        <v>7.86998</v>
      </c>
      <c r="Q83" s="39">
        <v>0.98323300000000002</v>
      </c>
      <c r="R83" s="39">
        <v>3.1182799999999999</v>
      </c>
      <c r="S83" s="39">
        <v>2.8190200000000001</v>
      </c>
      <c r="T83" s="39">
        <v>2.8940100000000002</v>
      </c>
      <c r="U83" s="39">
        <v>3.7706499999999998</v>
      </c>
      <c r="V83" s="39">
        <v>2.3415400000000002</v>
      </c>
      <c r="W83" s="40">
        <v>2.22052</v>
      </c>
    </row>
    <row r="84" spans="1:23" ht="15.75" thickBot="1" x14ac:dyDescent="0.3">
      <c r="A84" s="48"/>
      <c r="B84" s="57" t="s">
        <v>40</v>
      </c>
      <c r="C84" s="54">
        <v>0.69560100000000002</v>
      </c>
      <c r="D84" s="41">
        <v>0.61504199999999998</v>
      </c>
      <c r="E84" s="51">
        <v>0.49147200000000002</v>
      </c>
      <c r="F84" s="51">
        <v>0.56050800000000001</v>
      </c>
      <c r="G84" s="51">
        <v>0.53147</v>
      </c>
      <c r="H84" s="51">
        <v>0.48201099999999997</v>
      </c>
      <c r="I84" s="51">
        <v>0.58939600000000003</v>
      </c>
      <c r="J84" s="51">
        <v>0.45699000000000001</v>
      </c>
      <c r="K84" s="51">
        <v>0.65079700000000007</v>
      </c>
      <c r="L84" s="51">
        <v>0.7630880000000001</v>
      </c>
      <c r="M84" s="51">
        <v>0.62714599999999998</v>
      </c>
      <c r="N84" s="51">
        <v>0.64476600000000006</v>
      </c>
      <c r="O84" s="51">
        <v>0.58989100000000005</v>
      </c>
      <c r="P84" s="51">
        <v>0.81352000000000002</v>
      </c>
      <c r="Q84" s="51">
        <v>0.369975</v>
      </c>
      <c r="R84" s="51">
        <v>0.60675699999999999</v>
      </c>
      <c r="S84" s="51">
        <v>0.68766499999999997</v>
      </c>
      <c r="T84" s="51">
        <v>0.75454300000000007</v>
      </c>
      <c r="U84" s="51">
        <v>0.85842200000000002</v>
      </c>
      <c r="V84" s="51">
        <v>0.78301199999999993</v>
      </c>
      <c r="W84" s="52">
        <v>0.62933300000000003</v>
      </c>
    </row>
    <row r="85" spans="1:23" x14ac:dyDescent="0.25">
      <c r="A85" s="46">
        <v>18</v>
      </c>
      <c r="B85" s="55" t="s">
        <v>24</v>
      </c>
      <c r="C85" s="53">
        <f>(C86/$I$7)*$B$4*$I$4</f>
        <v>194.76352799999998</v>
      </c>
      <c r="D85" s="37">
        <f>(D86/$I$7)*$B$4*$I$4</f>
        <v>39.656815199999997</v>
      </c>
      <c r="E85" s="37">
        <f>(E86/$I$7)*$B$4*$I$4</f>
        <v>10.413982080000002</v>
      </c>
      <c r="F85" s="37">
        <v>67.7644272</v>
      </c>
      <c r="G85" s="37">
        <v>146.74262400000003</v>
      </c>
      <c r="H85" s="37">
        <v>54.836416799999995</v>
      </c>
      <c r="I85" s="37">
        <v>85.526675999999995</v>
      </c>
      <c r="J85" s="37">
        <v>72.528897600000008</v>
      </c>
      <c r="K85" s="37">
        <v>33.956085600000002</v>
      </c>
      <c r="L85" s="37">
        <v>21.831364799999999</v>
      </c>
      <c r="M85" s="37">
        <v>23.020430400000002</v>
      </c>
      <c r="N85" s="37">
        <v>15.177823200000002</v>
      </c>
      <c r="O85" s="37">
        <v>44.890509600000001</v>
      </c>
      <c r="P85" s="37">
        <v>108.16092</v>
      </c>
      <c r="Q85" s="37">
        <v>11.56232232</v>
      </c>
      <c r="R85" s="37">
        <v>48.344299199999995</v>
      </c>
      <c r="S85" s="37">
        <v>41.378306399999992</v>
      </c>
      <c r="T85" s="37">
        <v>33.344589599999999</v>
      </c>
      <c r="U85" s="37">
        <v>50.511484799999998</v>
      </c>
      <c r="V85" s="37">
        <v>34.935710399999998</v>
      </c>
      <c r="W85" s="38">
        <v>28.749751199999995</v>
      </c>
    </row>
    <row r="86" spans="1:23" x14ac:dyDescent="0.25">
      <c r="A86" s="47"/>
      <c r="B86" s="56" t="s">
        <v>23</v>
      </c>
      <c r="C86" s="42">
        <f>14237100/1000000</f>
        <v>14.2371</v>
      </c>
      <c r="D86" s="39">
        <f>2898890/1000000</f>
        <v>2.8988900000000002</v>
      </c>
      <c r="E86" s="39">
        <f>761256/1000000</f>
        <v>0.76125600000000004</v>
      </c>
      <c r="F86" s="39">
        <v>4.9535400000000003</v>
      </c>
      <c r="G86" s="39">
        <v>10.726800000000001</v>
      </c>
      <c r="H86" s="39">
        <v>4.0085100000000002</v>
      </c>
      <c r="I86" s="39">
        <v>6.2519499999999999</v>
      </c>
      <c r="J86" s="39">
        <v>5.3018200000000002</v>
      </c>
      <c r="K86" s="39">
        <v>2.48217</v>
      </c>
      <c r="L86" s="39">
        <v>1.5958600000000001</v>
      </c>
      <c r="M86" s="39">
        <v>1.6827799999999999</v>
      </c>
      <c r="N86" s="39">
        <v>1.1094900000000001</v>
      </c>
      <c r="O86" s="39">
        <v>3.2814700000000001</v>
      </c>
      <c r="P86" s="39">
        <v>7.9065000000000003</v>
      </c>
      <c r="Q86" s="39">
        <v>0.84519900000000003</v>
      </c>
      <c r="R86" s="39">
        <v>3.5339399999999999</v>
      </c>
      <c r="S86" s="39">
        <v>3.0247299999999999</v>
      </c>
      <c r="T86" s="39">
        <v>2.4374699999999998</v>
      </c>
      <c r="U86" s="39">
        <v>3.6923599999999999</v>
      </c>
      <c r="V86" s="39">
        <v>2.5537800000000002</v>
      </c>
      <c r="W86" s="40">
        <v>2.1015899999999998</v>
      </c>
    </row>
    <row r="87" spans="1:23" ht="15.75" thickBot="1" x14ac:dyDescent="0.3">
      <c r="A87" s="48"/>
      <c r="B87" s="57" t="s">
        <v>40</v>
      </c>
      <c r="C87" s="54">
        <v>0.70135899999999995</v>
      </c>
      <c r="D87" s="51">
        <v>0.638517</v>
      </c>
      <c r="E87" s="51">
        <v>0.49743799999999999</v>
      </c>
      <c r="F87" s="51">
        <v>0.59754099999999999</v>
      </c>
      <c r="G87" s="51">
        <v>0.53958099999999998</v>
      </c>
      <c r="H87" s="51">
        <v>0.49230699999999999</v>
      </c>
      <c r="I87" s="51">
        <v>0.67272499999999991</v>
      </c>
      <c r="J87" s="51">
        <v>0.61584899999999998</v>
      </c>
      <c r="K87" s="51">
        <v>0.69411199999999995</v>
      </c>
      <c r="L87" s="51">
        <v>0.74975099999999995</v>
      </c>
      <c r="M87" s="51">
        <v>0.56918900000000006</v>
      </c>
      <c r="N87" s="51">
        <v>0.74471699999999996</v>
      </c>
      <c r="O87" s="51">
        <v>0.62611499999999998</v>
      </c>
      <c r="P87" s="51">
        <v>0.79905500000000007</v>
      </c>
      <c r="Q87" s="51">
        <v>0.37434899999999999</v>
      </c>
      <c r="R87" s="51">
        <v>0.73634699999999997</v>
      </c>
      <c r="S87" s="51">
        <v>0.74135800000000007</v>
      </c>
      <c r="T87" s="51">
        <v>0.66686299999999998</v>
      </c>
      <c r="U87" s="51">
        <v>0.85730099999999998</v>
      </c>
      <c r="V87" s="51">
        <v>0.79508899999999993</v>
      </c>
      <c r="W87" s="52">
        <v>0.60870999999999997</v>
      </c>
    </row>
    <row r="88" spans="1:23" x14ac:dyDescent="0.25">
      <c r="A88" s="46">
        <v>19</v>
      </c>
      <c r="B88" s="55" t="s">
        <v>24</v>
      </c>
      <c r="C88" s="53">
        <f>(C89/$I$7)*$B$4*$I$4</f>
        <v>199.409256</v>
      </c>
      <c r="D88" s="37">
        <f>(D89/$I$7)*$B$4*$I$4</f>
        <v>41.555462399999996</v>
      </c>
      <c r="E88" s="37">
        <f>(E89/$I$7)*$B$4*$I$4</f>
        <v>11.396192399999999</v>
      </c>
      <c r="F88" s="37">
        <v>75.912645600000005</v>
      </c>
      <c r="G88" s="37">
        <v>140.83012800000003</v>
      </c>
      <c r="H88" s="37">
        <v>63.860839200000001</v>
      </c>
      <c r="I88" s="37">
        <v>92.268863999999994</v>
      </c>
      <c r="J88" s="37">
        <v>62.765755200000001</v>
      </c>
      <c r="K88" s="37">
        <v>32.909155200000001</v>
      </c>
      <c r="L88" s="37">
        <v>23.749847999999997</v>
      </c>
      <c r="M88" s="37">
        <v>24.9690096</v>
      </c>
      <c r="N88" s="37">
        <v>17.350480800000003</v>
      </c>
      <c r="O88" s="37">
        <v>48.134447999999999</v>
      </c>
      <c r="P88" s="37">
        <v>99.670564799999994</v>
      </c>
      <c r="Q88" s="37">
        <v>10.4803164</v>
      </c>
      <c r="R88" s="37">
        <v>48.127060800000002</v>
      </c>
      <c r="S88" s="37">
        <v>42.908824799999998</v>
      </c>
      <c r="T88" s="37">
        <v>36.064036799999997</v>
      </c>
      <c r="U88" s="37">
        <v>54.05966639999999</v>
      </c>
      <c r="V88" s="37">
        <v>35.139542400000003</v>
      </c>
      <c r="W88" s="38">
        <v>30.047162399999998</v>
      </c>
    </row>
    <row r="89" spans="1:23" x14ac:dyDescent="0.25">
      <c r="A89" s="47"/>
      <c r="B89" s="56" t="s">
        <v>23</v>
      </c>
      <c r="C89" s="42">
        <f>14576700/1000000</f>
        <v>14.576700000000001</v>
      </c>
      <c r="D89" s="39">
        <f>3037680/1000000</f>
        <v>3.0376799999999999</v>
      </c>
      <c r="E89" s="39">
        <f>833055/1000000</f>
        <v>0.83305499999999999</v>
      </c>
      <c r="F89" s="39">
        <v>5.5491700000000002</v>
      </c>
      <c r="G89" s="39">
        <v>10.294600000000001</v>
      </c>
      <c r="H89" s="39">
        <v>4.6681900000000001</v>
      </c>
      <c r="I89" s="39">
        <v>6.7447999999999997</v>
      </c>
      <c r="J89" s="39">
        <v>4.5881400000000001</v>
      </c>
      <c r="K89" s="39">
        <v>2.40564</v>
      </c>
      <c r="L89" s="39">
        <v>1.7361</v>
      </c>
      <c r="M89" s="39">
        <v>1.8252200000000001</v>
      </c>
      <c r="N89" s="39">
        <v>1.26831</v>
      </c>
      <c r="O89" s="39">
        <v>3.5186000000000002</v>
      </c>
      <c r="P89" s="39">
        <v>7.2858599999999996</v>
      </c>
      <c r="Q89" s="39">
        <v>0.76610500000000004</v>
      </c>
      <c r="R89" s="39">
        <v>3.5180600000000002</v>
      </c>
      <c r="S89" s="39">
        <v>3.1366100000000001</v>
      </c>
      <c r="T89" s="39">
        <v>2.63626</v>
      </c>
      <c r="U89" s="39">
        <v>3.95173</v>
      </c>
      <c r="V89" s="39">
        <v>2.5686800000000001</v>
      </c>
      <c r="W89" s="40">
        <v>2.1964299999999999</v>
      </c>
    </row>
    <row r="90" spans="1:23" ht="15.75" thickBot="1" x14ac:dyDescent="0.3">
      <c r="A90" s="48"/>
      <c r="B90" s="57" t="s">
        <v>40</v>
      </c>
      <c r="C90" s="54">
        <v>0.69878899999999999</v>
      </c>
      <c r="D90" s="51">
        <v>0.62712500000000004</v>
      </c>
      <c r="E90" s="51">
        <v>0.52081500000000003</v>
      </c>
      <c r="F90" s="51">
        <v>0.59424199999999994</v>
      </c>
      <c r="G90" s="51">
        <v>0.52286100000000002</v>
      </c>
      <c r="H90" s="51">
        <v>0.54017800000000005</v>
      </c>
      <c r="I90" s="51">
        <v>0.69200000000000006</v>
      </c>
      <c r="J90" s="51">
        <v>0.57036799999999999</v>
      </c>
      <c r="K90" s="51">
        <v>0.67897600000000002</v>
      </c>
      <c r="L90" s="51">
        <v>0.76657300000000006</v>
      </c>
      <c r="M90" s="51">
        <v>0.61639200000000005</v>
      </c>
      <c r="N90" s="51">
        <v>0.68066900000000008</v>
      </c>
      <c r="O90" s="51">
        <v>0.62966900000000003</v>
      </c>
      <c r="P90" s="51">
        <v>0.81247600000000009</v>
      </c>
      <c r="Q90" s="51">
        <v>0.31447199999999997</v>
      </c>
      <c r="R90" s="51">
        <v>0.72133599999999998</v>
      </c>
      <c r="S90" s="51">
        <v>0.70685799999999999</v>
      </c>
      <c r="T90" s="51">
        <v>0.75465800000000005</v>
      </c>
      <c r="U90" s="51">
        <v>0.86793400000000009</v>
      </c>
      <c r="V90" s="51">
        <v>0.78831400000000007</v>
      </c>
      <c r="W90" s="52">
        <v>0.64935900000000002</v>
      </c>
    </row>
    <row r="91" spans="1:23" x14ac:dyDescent="0.25">
      <c r="A91" s="46">
        <v>20</v>
      </c>
      <c r="B91" s="55" t="s">
        <v>24</v>
      </c>
      <c r="C91" s="53">
        <f>(C92/$I$7)*$B$4*$I$4</f>
        <v>189.92080799999999</v>
      </c>
      <c r="D91" s="37">
        <f>(D92/$I$7)*$B$4*$I$4</f>
        <v>35.416152000000004</v>
      </c>
      <c r="E91" s="37">
        <f>(E92/$I$7)*$B$4*$I$4</f>
        <v>12.87661464</v>
      </c>
      <c r="F91" s="37">
        <v>71.469518399999998</v>
      </c>
      <c r="G91" s="37">
        <v>143.52508800000001</v>
      </c>
      <c r="H91" s="37">
        <v>60.096787200000001</v>
      </c>
      <c r="I91" s="37">
        <v>87.773205599999997</v>
      </c>
      <c r="J91" s="37">
        <v>60.983661600000005</v>
      </c>
      <c r="K91" s="37">
        <v>32.669071199999998</v>
      </c>
      <c r="L91" s="37">
        <v>24.702796800000002</v>
      </c>
      <c r="M91" s="37">
        <v>25.634678399999999</v>
      </c>
      <c r="N91" s="37">
        <v>13.816526400000001</v>
      </c>
      <c r="O91" s="37">
        <v>42.979003200000001</v>
      </c>
      <c r="P91" s="37">
        <v>108.1368432</v>
      </c>
      <c r="Q91" s="37">
        <v>9.0974735999999989</v>
      </c>
      <c r="R91" s="37">
        <v>47.816935200000003</v>
      </c>
      <c r="S91" s="37">
        <v>39.198261600000002</v>
      </c>
      <c r="T91" s="37">
        <v>42.195412799999993</v>
      </c>
      <c r="U91" s="37">
        <v>50.786589599999999</v>
      </c>
      <c r="V91" s="37">
        <v>32.180968799999995</v>
      </c>
      <c r="W91" s="38">
        <v>25.935638399999998</v>
      </c>
    </row>
    <row r="92" spans="1:23" x14ac:dyDescent="0.25">
      <c r="A92" s="47"/>
      <c r="B92" s="56" t="s">
        <v>23</v>
      </c>
      <c r="C92" s="42">
        <f>13883100/1000000</f>
        <v>13.883100000000001</v>
      </c>
      <c r="D92" s="39">
        <f>2588900/1000000</f>
        <v>2.5889000000000002</v>
      </c>
      <c r="E92" s="39">
        <f>941273/1000000</f>
        <v>0.94127300000000003</v>
      </c>
      <c r="F92" s="39">
        <v>5.22438</v>
      </c>
      <c r="G92" s="39">
        <v>10.4916</v>
      </c>
      <c r="H92" s="39">
        <v>4.3930400000000001</v>
      </c>
      <c r="I92" s="39">
        <v>6.4161700000000002</v>
      </c>
      <c r="J92" s="39">
        <v>4.4578699999999998</v>
      </c>
      <c r="K92" s="39">
        <v>2.38809</v>
      </c>
      <c r="L92" s="39">
        <v>1.80576</v>
      </c>
      <c r="M92" s="39">
        <v>1.87388</v>
      </c>
      <c r="N92" s="39">
        <v>1.0099800000000001</v>
      </c>
      <c r="O92" s="39">
        <v>3.14174</v>
      </c>
      <c r="P92" s="39">
        <v>7.9047400000000003</v>
      </c>
      <c r="Q92" s="39">
        <v>0.66501999999999994</v>
      </c>
      <c r="R92" s="39">
        <v>3.49539</v>
      </c>
      <c r="S92" s="39">
        <v>2.86537</v>
      </c>
      <c r="T92" s="39">
        <v>3.08446</v>
      </c>
      <c r="U92" s="39">
        <v>3.7124700000000002</v>
      </c>
      <c r="V92" s="39">
        <v>2.3524099999999999</v>
      </c>
      <c r="W92" s="40">
        <v>1.89588</v>
      </c>
    </row>
    <row r="93" spans="1:23" ht="15.75" thickBot="1" x14ac:dyDescent="0.3">
      <c r="A93" s="48"/>
      <c r="B93" s="57" t="s">
        <v>40</v>
      </c>
      <c r="C93" s="54">
        <v>0.69541500000000001</v>
      </c>
      <c r="D93" s="51">
        <v>0.59458999999999995</v>
      </c>
      <c r="E93" s="51">
        <v>0.54130199999999995</v>
      </c>
      <c r="F93" s="51">
        <v>0.60582500000000006</v>
      </c>
      <c r="G93" s="51">
        <v>0.53249099999999994</v>
      </c>
      <c r="H93" s="51">
        <v>0.50733200000000001</v>
      </c>
      <c r="I93" s="51">
        <v>0.6781950000000001</v>
      </c>
      <c r="J93" s="51">
        <v>0.58107700000000007</v>
      </c>
      <c r="K93" s="51">
        <v>0.67686199999999996</v>
      </c>
      <c r="L93" s="51">
        <v>0.82147999999999999</v>
      </c>
      <c r="M93" s="51">
        <v>0.61058800000000002</v>
      </c>
      <c r="N93" s="51">
        <v>0.62939999999999996</v>
      </c>
      <c r="O93" s="51">
        <v>0.59041299999999997</v>
      </c>
      <c r="P93" s="51">
        <v>0.81147099999999994</v>
      </c>
      <c r="Q93" s="51">
        <v>0.32194699999999998</v>
      </c>
      <c r="R93" s="51">
        <v>0.72572300000000001</v>
      </c>
      <c r="S93" s="51">
        <v>0.69105099999999997</v>
      </c>
      <c r="T93" s="51">
        <v>0.78025800000000001</v>
      </c>
      <c r="U93" s="51">
        <v>0.86573999999999995</v>
      </c>
      <c r="V93" s="51">
        <v>0.74338700000000002</v>
      </c>
      <c r="W93" s="52">
        <v>0.56456499999999998</v>
      </c>
    </row>
    <row r="94" spans="1:23" x14ac:dyDescent="0.25">
      <c r="A94" s="46">
        <v>21</v>
      </c>
      <c r="B94" s="55" t="s">
        <v>24</v>
      </c>
      <c r="C94" s="53">
        <f>(C95/$I$7)*$B$4*$I$4</f>
        <v>197.83605600000001</v>
      </c>
      <c r="D94" s="37">
        <f>(D95/$I$7)*$B$4*$I$4</f>
        <v>35.320665600000005</v>
      </c>
      <c r="E94" s="37">
        <f>(E95/$I$7)*$B$4*$I$4</f>
        <v>17.3801664</v>
      </c>
      <c r="F94" s="37">
        <v>63.974793599999998</v>
      </c>
      <c r="G94" s="37">
        <v>144.28022399999998</v>
      </c>
      <c r="H94" s="37">
        <v>59.617166399999995</v>
      </c>
      <c r="I94" s="37">
        <v>92.266401600000009</v>
      </c>
      <c r="J94" s="37">
        <v>62.09940240000001</v>
      </c>
      <c r="K94" s="37">
        <v>29.395857599999999</v>
      </c>
      <c r="L94" s="37">
        <v>24.5438352</v>
      </c>
      <c r="M94" s="37">
        <v>26.795563199999997</v>
      </c>
      <c r="N94" s="37">
        <v>16.369351199999997</v>
      </c>
      <c r="O94" s="37">
        <v>48.932402400000001</v>
      </c>
      <c r="P94" s="37">
        <v>103.6440576</v>
      </c>
      <c r="Q94" s="37">
        <v>13.38955992</v>
      </c>
      <c r="R94" s="37">
        <v>51.075511200000001</v>
      </c>
      <c r="S94" s="37">
        <v>39.675146400000003</v>
      </c>
      <c r="T94" s="37">
        <v>40.376656799999999</v>
      </c>
      <c r="U94" s="37">
        <v>49.968388799999993</v>
      </c>
      <c r="V94" s="37">
        <v>36.008906399999994</v>
      </c>
      <c r="W94" s="38">
        <v>37.926021599999999</v>
      </c>
    </row>
    <row r="95" spans="1:23" x14ac:dyDescent="0.25">
      <c r="A95" s="47"/>
      <c r="B95" s="56" t="s">
        <v>23</v>
      </c>
      <c r="C95" s="42">
        <f>14461700/1000000</f>
        <v>14.4617</v>
      </c>
      <c r="D95" s="39">
        <f>2581920/1000000</f>
        <v>2.5819200000000002</v>
      </c>
      <c r="E95" s="39">
        <f>1270480/1000000</f>
        <v>1.2704800000000001</v>
      </c>
      <c r="F95" s="39">
        <v>4.67652</v>
      </c>
      <c r="G95" s="39">
        <v>10.546799999999999</v>
      </c>
      <c r="H95" s="39">
        <v>4.3579800000000004</v>
      </c>
      <c r="I95" s="39">
        <v>6.7446200000000003</v>
      </c>
      <c r="J95" s="39">
        <v>4.5394300000000003</v>
      </c>
      <c r="K95" s="39">
        <v>2.1488200000000002</v>
      </c>
      <c r="L95" s="39">
        <v>1.7941400000000001</v>
      </c>
      <c r="M95" s="39">
        <v>1.9587399999999999</v>
      </c>
      <c r="N95" s="39">
        <v>1.19659</v>
      </c>
      <c r="O95" s="39">
        <v>3.5769299999999999</v>
      </c>
      <c r="P95" s="39">
        <v>7.5763199999999999</v>
      </c>
      <c r="Q95" s="39">
        <v>0.978769</v>
      </c>
      <c r="R95" s="39">
        <v>3.73359</v>
      </c>
      <c r="S95" s="39">
        <v>2.9002300000000001</v>
      </c>
      <c r="T95" s="39">
        <v>2.9515099999999999</v>
      </c>
      <c r="U95" s="39">
        <v>3.65266</v>
      </c>
      <c r="V95" s="39">
        <v>2.6322299999999998</v>
      </c>
      <c r="W95" s="40">
        <v>2.77237</v>
      </c>
    </row>
    <row r="96" spans="1:23" ht="15.75" thickBot="1" x14ac:dyDescent="0.3">
      <c r="A96" s="48"/>
      <c r="B96" s="57" t="s">
        <v>40</v>
      </c>
      <c r="C96" s="54">
        <v>0.69806500000000005</v>
      </c>
      <c r="D96" s="51">
        <v>0.60230799999999995</v>
      </c>
      <c r="E96" s="51">
        <v>0.62879600000000002</v>
      </c>
      <c r="F96" s="51">
        <v>0.59501599999999999</v>
      </c>
      <c r="G96" s="51">
        <v>0.53303900000000004</v>
      </c>
      <c r="H96" s="51">
        <v>0.49968800000000002</v>
      </c>
      <c r="I96" s="51">
        <v>0.686469</v>
      </c>
      <c r="J96" s="51">
        <v>0.56459300000000001</v>
      </c>
      <c r="K96" s="51">
        <v>0.63644800000000001</v>
      </c>
      <c r="L96" s="51">
        <v>0.81601699999999999</v>
      </c>
      <c r="M96" s="51">
        <v>0.56641399999999997</v>
      </c>
      <c r="N96" s="51">
        <v>0.65985100000000008</v>
      </c>
      <c r="O96" s="51">
        <v>0.63631799999999994</v>
      </c>
      <c r="P96" s="51">
        <v>0.814384</v>
      </c>
      <c r="Q96" s="51">
        <v>0.36387599999999998</v>
      </c>
      <c r="R96" s="51">
        <v>0.80986099999999994</v>
      </c>
      <c r="S96" s="51">
        <v>0.66636499999999999</v>
      </c>
      <c r="T96" s="51">
        <v>0.76146100000000005</v>
      </c>
      <c r="U96" s="51">
        <v>0.85159499999999999</v>
      </c>
      <c r="V96" s="51">
        <v>0.81433999999999995</v>
      </c>
      <c r="W96" s="52">
        <v>0.69980699999999996</v>
      </c>
    </row>
    <row r="97" spans="1:23" x14ac:dyDescent="0.25">
      <c r="A97" s="46">
        <v>22</v>
      </c>
      <c r="B97" s="55" t="s">
        <v>24</v>
      </c>
      <c r="C97" s="53">
        <f>(C98/$I$7)*$B$4*$I$4</f>
        <v>193.71290399999998</v>
      </c>
      <c r="D97" s="37">
        <f>(D98/$I$7)*$B$4*$I$4</f>
        <v>35.1934416</v>
      </c>
      <c r="E97" s="37">
        <f>(E98/$I$7)*$B$4*$I$4</f>
        <v>13.205180879999999</v>
      </c>
      <c r="F97" s="37">
        <v>71.711243999999994</v>
      </c>
      <c r="G97" s="37">
        <v>132.39818639999999</v>
      </c>
      <c r="H97" s="37">
        <v>49.8589488</v>
      </c>
      <c r="I97" s="37">
        <v>94.011969599999986</v>
      </c>
      <c r="J97" s="37">
        <v>60.866697600000002</v>
      </c>
      <c r="K97" s="37">
        <v>28.872324000000003</v>
      </c>
      <c r="L97" s="37">
        <v>23.381308799999999</v>
      </c>
      <c r="M97" s="37">
        <v>24.470920800000002</v>
      </c>
      <c r="N97" s="37">
        <v>13.374060480000001</v>
      </c>
      <c r="O97" s="37">
        <v>46.110081600000008</v>
      </c>
      <c r="P97" s="37">
        <v>106.3915488</v>
      </c>
      <c r="Q97" s="37">
        <v>13.880548799999998</v>
      </c>
      <c r="R97" s="37">
        <v>50.330498399999996</v>
      </c>
      <c r="S97" s="37">
        <v>35.9953632</v>
      </c>
      <c r="T97" s="37">
        <v>35.242415999999999</v>
      </c>
      <c r="U97" s="37">
        <v>52.354454399999995</v>
      </c>
      <c r="V97" s="37">
        <v>31.881787199999998</v>
      </c>
      <c r="W97" s="38">
        <v>28.905292799999998</v>
      </c>
    </row>
    <row r="98" spans="1:23" x14ac:dyDescent="0.25">
      <c r="A98" s="47"/>
      <c r="B98" s="56" t="s">
        <v>23</v>
      </c>
      <c r="C98" s="42">
        <f>14160300/1000000</f>
        <v>14.160299999999999</v>
      </c>
      <c r="D98" s="39">
        <f>2572620/1000000</f>
        <v>2.5726200000000001</v>
      </c>
      <c r="E98" s="39">
        <f>965291/1000000</f>
        <v>0.96529100000000001</v>
      </c>
      <c r="F98" s="39">
        <v>5.2420499999999999</v>
      </c>
      <c r="G98" s="39">
        <v>9.6782299999999992</v>
      </c>
      <c r="H98" s="39">
        <v>3.64466</v>
      </c>
      <c r="I98" s="39">
        <v>6.8722200000000004</v>
      </c>
      <c r="J98" s="39">
        <v>4.4493200000000002</v>
      </c>
      <c r="K98" s="39">
        <v>2.1105499999999999</v>
      </c>
      <c r="L98" s="39">
        <v>1.70916</v>
      </c>
      <c r="M98" s="39">
        <v>1.78881</v>
      </c>
      <c r="N98" s="39">
        <v>0.97763599999999995</v>
      </c>
      <c r="O98" s="39">
        <v>3.3706200000000002</v>
      </c>
      <c r="P98" s="39">
        <v>7.7771600000000003</v>
      </c>
      <c r="Q98" s="39">
        <v>1.0146599999999999</v>
      </c>
      <c r="R98" s="39">
        <v>3.6791299999999998</v>
      </c>
      <c r="S98" s="39">
        <v>2.63124</v>
      </c>
      <c r="T98" s="39">
        <v>2.5762</v>
      </c>
      <c r="U98" s="39">
        <v>3.82708</v>
      </c>
      <c r="V98" s="39">
        <v>2.3305400000000001</v>
      </c>
      <c r="W98" s="40">
        <v>2.1129600000000002</v>
      </c>
    </row>
    <row r="99" spans="1:23" ht="15.75" thickBot="1" x14ac:dyDescent="0.3">
      <c r="A99" s="48"/>
      <c r="B99" s="57" t="s">
        <v>40</v>
      </c>
      <c r="C99" s="54">
        <v>0.69737099999999996</v>
      </c>
      <c r="D99" s="51">
        <v>0.58555400000000002</v>
      </c>
      <c r="E99" s="51">
        <v>0.54262500000000002</v>
      </c>
      <c r="F99" s="51">
        <v>0.59314500000000003</v>
      </c>
      <c r="G99" s="51">
        <v>0.51599499999999998</v>
      </c>
      <c r="H99" s="51">
        <v>0.48923</v>
      </c>
      <c r="I99" s="51">
        <v>0.69979100000000005</v>
      </c>
      <c r="J99" s="51">
        <v>0.55200300000000002</v>
      </c>
      <c r="K99" s="51">
        <v>0.655057</v>
      </c>
      <c r="L99" s="51">
        <v>0.82910899999999998</v>
      </c>
      <c r="M99" s="51">
        <v>0.60426099999999994</v>
      </c>
      <c r="N99" s="51">
        <v>0.66927000000000003</v>
      </c>
      <c r="O99" s="51">
        <v>0.63080800000000004</v>
      </c>
      <c r="P99" s="51">
        <v>0.83934900000000001</v>
      </c>
      <c r="Q99" s="51">
        <v>0.387598</v>
      </c>
      <c r="R99" s="51">
        <v>0.72843999999999998</v>
      </c>
      <c r="S99" s="51">
        <v>0.67265600000000003</v>
      </c>
      <c r="T99" s="51">
        <v>0.704453</v>
      </c>
      <c r="U99" s="51">
        <v>0.83893499999999999</v>
      </c>
      <c r="V99" s="51">
        <v>0.80229499999999998</v>
      </c>
      <c r="W99" s="52">
        <v>0.58599800000000002</v>
      </c>
    </row>
    <row r="100" spans="1:23" x14ac:dyDescent="0.25">
      <c r="A100" s="46">
        <v>23</v>
      </c>
      <c r="B100" s="55" t="s">
        <v>24</v>
      </c>
      <c r="C100" s="53">
        <f>(C101/$I$7)*$B$4*$I$4</f>
        <v>197.12059199999999</v>
      </c>
      <c r="D100" s="37">
        <f>(D101/$I$7)*$B$4*$I$4</f>
        <v>40.285821599999998</v>
      </c>
      <c r="E100" s="37">
        <f>(E101/$I$7)*$B$4*$I$4</f>
        <v>13.693679999999999</v>
      </c>
      <c r="F100" s="37">
        <v>75.38104079999998</v>
      </c>
      <c r="G100" s="37">
        <v>142.27610399999998</v>
      </c>
      <c r="H100" s="37">
        <v>65.46126240000001</v>
      </c>
      <c r="I100" s="37">
        <v>86.741323199999997</v>
      </c>
      <c r="J100" s="37">
        <v>32.269341599999997</v>
      </c>
      <c r="K100" s="37">
        <v>32.934463199999996</v>
      </c>
      <c r="L100" s="37">
        <v>23.0793912</v>
      </c>
      <c r="M100" s="37">
        <v>22.683765599999997</v>
      </c>
      <c r="N100" s="37">
        <v>14.5976544</v>
      </c>
      <c r="O100" s="37">
        <v>42.912791999999996</v>
      </c>
      <c r="P100" s="37">
        <v>104.85036000000001</v>
      </c>
      <c r="Q100" s="37">
        <v>9.3479817599999997</v>
      </c>
      <c r="R100" s="37">
        <v>50.404644000000005</v>
      </c>
      <c r="S100" s="37">
        <v>37.662955199999999</v>
      </c>
      <c r="T100" s="37">
        <v>36.561168000000002</v>
      </c>
      <c r="U100" s="37">
        <v>48.736231199999999</v>
      </c>
      <c r="V100" s="37">
        <v>33.799312799999996</v>
      </c>
      <c r="W100" s="38">
        <v>34.168262399999996</v>
      </c>
    </row>
    <row r="101" spans="1:23" x14ac:dyDescent="0.25">
      <c r="A101" s="47"/>
      <c r="B101" s="56" t="s">
        <v>23</v>
      </c>
      <c r="C101" s="42">
        <f>14409400/1000000</f>
        <v>14.4094</v>
      </c>
      <c r="D101" s="39">
        <f>2944870/1000000</f>
        <v>2.9448699999999999</v>
      </c>
      <c r="E101" s="39">
        <f>1001000/1000000</f>
        <v>1.0009999999999999</v>
      </c>
      <c r="F101" s="39">
        <v>5.5103099999999996</v>
      </c>
      <c r="G101" s="39">
        <v>10.4003</v>
      </c>
      <c r="H101" s="39">
        <v>4.7851800000000004</v>
      </c>
      <c r="I101" s="39">
        <v>6.3407400000000003</v>
      </c>
      <c r="J101" s="39">
        <v>2.35887</v>
      </c>
      <c r="K101" s="39">
        <v>2.4074900000000001</v>
      </c>
      <c r="L101" s="39">
        <v>1.68709</v>
      </c>
      <c r="M101" s="39">
        <v>1.6581699999999999</v>
      </c>
      <c r="N101" s="39">
        <v>1.06708</v>
      </c>
      <c r="O101" s="39">
        <v>3.1368999999999998</v>
      </c>
      <c r="P101" s="39">
        <v>7.6645000000000003</v>
      </c>
      <c r="Q101" s="39">
        <v>0.68333200000000005</v>
      </c>
      <c r="R101" s="39">
        <v>3.6845500000000002</v>
      </c>
      <c r="S101" s="39">
        <v>2.7531400000000001</v>
      </c>
      <c r="T101" s="39">
        <v>2.6726000000000001</v>
      </c>
      <c r="U101" s="39">
        <v>3.5625900000000001</v>
      </c>
      <c r="V101" s="39">
        <v>2.47071</v>
      </c>
      <c r="W101" s="40">
        <v>2.4976799999999999</v>
      </c>
    </row>
    <row r="102" spans="1:23" ht="15.75" thickBot="1" x14ac:dyDescent="0.3">
      <c r="A102" s="48"/>
      <c r="B102" s="57" t="s">
        <v>40</v>
      </c>
      <c r="C102" s="54">
        <v>0.712696</v>
      </c>
      <c r="D102" s="51">
        <v>0.63681900000000002</v>
      </c>
      <c r="E102" s="51">
        <v>0.52540500000000001</v>
      </c>
      <c r="F102" s="51">
        <v>0.61580199999999996</v>
      </c>
      <c r="G102" s="51">
        <v>0.52293999999999996</v>
      </c>
      <c r="H102" s="51">
        <v>0.50740200000000002</v>
      </c>
      <c r="I102" s="51">
        <v>0.69011300000000009</v>
      </c>
      <c r="J102" s="51">
        <v>0.37594900000000003</v>
      </c>
      <c r="K102" s="51">
        <v>0.71603499999999998</v>
      </c>
      <c r="L102" s="51">
        <v>0.80420800000000003</v>
      </c>
      <c r="M102" s="51">
        <v>0.595024</v>
      </c>
      <c r="N102" s="51">
        <v>0.71836900000000004</v>
      </c>
      <c r="O102" s="51">
        <v>0.58521099999999993</v>
      </c>
      <c r="P102" s="51">
        <v>0.82044499999999998</v>
      </c>
      <c r="Q102" s="51">
        <v>0.325984</v>
      </c>
      <c r="R102" s="51">
        <v>0.73020300000000005</v>
      </c>
      <c r="S102" s="51">
        <v>0.6785469999999999</v>
      </c>
      <c r="T102" s="51">
        <v>0.72483399999999998</v>
      </c>
      <c r="U102" s="51">
        <v>0.85165299999999999</v>
      </c>
      <c r="V102" s="51">
        <v>0.77870000000000006</v>
      </c>
      <c r="W102" s="52">
        <v>0.61553600000000008</v>
      </c>
    </row>
    <row r="103" spans="1:23" x14ac:dyDescent="0.25">
      <c r="A103" s="46">
        <v>24</v>
      </c>
      <c r="B103" s="55" t="s">
        <v>24</v>
      </c>
      <c r="C103" s="53">
        <f>(C104/$I$7)*$B$4*$I$4</f>
        <v>185.249088</v>
      </c>
      <c r="D103" s="37">
        <f>(D104/$I$7)*$B$4*$I$4</f>
        <v>35.282908800000001</v>
      </c>
      <c r="E103" s="37">
        <f>(E104/$I$7)*$B$4*$I$4</f>
        <v>11.7012564</v>
      </c>
      <c r="F103" s="37">
        <v>63.988473599999999</v>
      </c>
      <c r="G103" s="37">
        <v>133.500384</v>
      </c>
      <c r="H103" s="37">
        <v>55.516449600000001</v>
      </c>
      <c r="I103" s="37">
        <v>89.741620800000007</v>
      </c>
      <c r="J103" s="37">
        <v>49.64896079999999</v>
      </c>
      <c r="K103" s="37">
        <v>31.499157599999997</v>
      </c>
      <c r="L103" s="37">
        <v>27.195429599999997</v>
      </c>
      <c r="M103" s="37">
        <v>25.447946399999999</v>
      </c>
      <c r="N103" s="37">
        <v>14.486846399999999</v>
      </c>
      <c r="O103" s="37">
        <v>52.257326399999997</v>
      </c>
      <c r="P103" s="37">
        <v>104.57320319999999</v>
      </c>
      <c r="Q103" s="37">
        <v>13.49492328</v>
      </c>
      <c r="R103" s="37">
        <v>43.436188799999996</v>
      </c>
      <c r="S103" s="37">
        <v>45.014587200000001</v>
      </c>
      <c r="T103" s="37">
        <v>35.056368000000006</v>
      </c>
      <c r="U103" s="37">
        <v>51.323529600000001</v>
      </c>
      <c r="V103" s="37">
        <v>33.580569600000004</v>
      </c>
      <c r="W103" s="38">
        <v>28.460282400000001</v>
      </c>
    </row>
    <row r="104" spans="1:23" x14ac:dyDescent="0.25">
      <c r="A104" s="47"/>
      <c r="B104" s="56" t="s">
        <v>23</v>
      </c>
      <c r="C104" s="42">
        <f>13541600/1000000</f>
        <v>13.541600000000001</v>
      </c>
      <c r="D104" s="39">
        <f>2579160/1000000</f>
        <v>2.5791599999999999</v>
      </c>
      <c r="E104" s="39">
        <f>855355/1000000</f>
        <v>0.85535499999999998</v>
      </c>
      <c r="F104" s="39">
        <v>4.6775200000000003</v>
      </c>
      <c r="G104" s="39">
        <v>9.7588000000000008</v>
      </c>
      <c r="H104" s="39">
        <v>4.0582200000000004</v>
      </c>
      <c r="I104" s="39">
        <v>6.56006</v>
      </c>
      <c r="J104" s="39">
        <v>3.6293099999999998</v>
      </c>
      <c r="K104" s="39">
        <v>2.3025699999999998</v>
      </c>
      <c r="L104" s="39">
        <v>1.98797</v>
      </c>
      <c r="M104" s="39">
        <v>1.8602300000000001</v>
      </c>
      <c r="N104" s="39">
        <v>1.05898</v>
      </c>
      <c r="O104" s="39">
        <v>3.8199800000000002</v>
      </c>
      <c r="P104" s="39">
        <v>7.6442399999999999</v>
      </c>
      <c r="Q104" s="39">
        <v>0.98647099999999999</v>
      </c>
      <c r="R104" s="39">
        <v>3.17516</v>
      </c>
      <c r="S104" s="39">
        <v>3.29054</v>
      </c>
      <c r="T104" s="39">
        <v>2.5626000000000002</v>
      </c>
      <c r="U104" s="39">
        <v>3.7517200000000002</v>
      </c>
      <c r="V104" s="39">
        <v>2.45472</v>
      </c>
      <c r="W104" s="40">
        <v>2.0804299999999998</v>
      </c>
    </row>
    <row r="105" spans="1:23" ht="15.75" thickBot="1" x14ac:dyDescent="0.3">
      <c r="A105" s="48"/>
      <c r="B105" s="57" t="s">
        <v>40</v>
      </c>
      <c r="C105" s="54">
        <v>0.72895699999999997</v>
      </c>
      <c r="D105" s="51">
        <v>0.59749799999999997</v>
      </c>
      <c r="E105" s="51">
        <v>0.50680099999999995</v>
      </c>
      <c r="F105" s="51">
        <v>0.59586700000000004</v>
      </c>
      <c r="G105" s="51">
        <v>0.51343099999999997</v>
      </c>
      <c r="H105" s="51">
        <v>0.49924100000000005</v>
      </c>
      <c r="I105" s="51">
        <v>0.69668300000000005</v>
      </c>
      <c r="J105" s="51">
        <v>0.48141800000000001</v>
      </c>
      <c r="K105" s="51">
        <v>0.63404400000000005</v>
      </c>
      <c r="L105" s="51">
        <v>0.78833600000000004</v>
      </c>
      <c r="M105" s="51">
        <v>0.58637799999999995</v>
      </c>
      <c r="N105" s="51">
        <v>0.55021399999999998</v>
      </c>
      <c r="O105" s="51">
        <v>0.644154</v>
      </c>
      <c r="P105" s="51">
        <v>0.82590000000000008</v>
      </c>
      <c r="Q105" s="51">
        <v>0.36943300000000001</v>
      </c>
      <c r="R105" s="51">
        <v>0.72514100000000004</v>
      </c>
      <c r="S105" s="51">
        <v>0.73466899999999991</v>
      </c>
      <c r="T105" s="51">
        <v>0.70661199999999991</v>
      </c>
      <c r="U105" s="51">
        <v>0.86947199999999991</v>
      </c>
      <c r="V105" s="51">
        <v>0.78593400000000002</v>
      </c>
      <c r="W105" s="52">
        <v>0.600665</v>
      </c>
    </row>
    <row r="106" spans="1:23" x14ac:dyDescent="0.25">
      <c r="A106" s="46">
        <v>25</v>
      </c>
      <c r="B106" s="55" t="s">
        <v>24</v>
      </c>
      <c r="C106" s="53">
        <f>(C107/$I$7)*$B$4*$I$4</f>
        <v>208.36007999999998</v>
      </c>
      <c r="D106" s="37">
        <f>(D107/$I$7)*$B$4*$I$4</f>
        <v>32.354431199999993</v>
      </c>
      <c r="E106" s="37">
        <f>(E107/$I$7)*$B$4*$I$4</f>
        <v>13.126575600000001</v>
      </c>
      <c r="F106" s="37">
        <v>47.967825599999998</v>
      </c>
      <c r="G106" s="37">
        <v>145.75492800000001</v>
      </c>
      <c r="H106" s="37">
        <v>54.509875200000003</v>
      </c>
      <c r="I106" s="37">
        <v>88.496193599999998</v>
      </c>
      <c r="J106" s="37">
        <v>43.209921600000001</v>
      </c>
      <c r="K106" s="37">
        <v>32.163868799999996</v>
      </c>
      <c r="L106" s="37">
        <v>26.938382399999998</v>
      </c>
      <c r="M106" s="37">
        <v>29.143461599999998</v>
      </c>
      <c r="N106" s="37">
        <v>12.119002559999998</v>
      </c>
      <c r="O106" s="37">
        <v>51.444187199999995</v>
      </c>
      <c r="P106" s="37">
        <v>105.7890816</v>
      </c>
      <c r="Q106" s="37">
        <v>14.208048</v>
      </c>
      <c r="R106" s="37">
        <v>48.315160800000001</v>
      </c>
      <c r="S106" s="37">
        <v>45.011577599999995</v>
      </c>
      <c r="T106" s="37">
        <v>40.656823199999991</v>
      </c>
      <c r="U106" s="37">
        <v>51.256634399999996</v>
      </c>
      <c r="V106" s="37">
        <v>35.966635199999992</v>
      </c>
      <c r="W106" s="38">
        <v>32.148957599999996</v>
      </c>
    </row>
    <row r="107" spans="1:23" x14ac:dyDescent="0.25">
      <c r="A107" s="47"/>
      <c r="B107" s="56" t="s">
        <v>23</v>
      </c>
      <c r="C107" s="42">
        <f>15231000/1000000</f>
        <v>15.231</v>
      </c>
      <c r="D107" s="39">
        <f>2365090/1000000</f>
        <v>2.3650899999999999</v>
      </c>
      <c r="E107" s="39">
        <f>959545/1000000</f>
        <v>0.95954499999999998</v>
      </c>
      <c r="F107" s="39">
        <v>3.5064199999999999</v>
      </c>
      <c r="G107" s="39">
        <v>10.6546</v>
      </c>
      <c r="H107" s="39">
        <v>3.9846400000000002</v>
      </c>
      <c r="I107" s="39">
        <v>6.4690200000000004</v>
      </c>
      <c r="J107" s="39">
        <v>3.15862</v>
      </c>
      <c r="K107" s="39">
        <v>2.3511600000000001</v>
      </c>
      <c r="L107" s="39">
        <v>1.9691799999999999</v>
      </c>
      <c r="M107" s="39">
        <v>2.1303700000000001</v>
      </c>
      <c r="N107" s="39">
        <v>0.88589200000000001</v>
      </c>
      <c r="O107" s="39">
        <v>3.7605400000000002</v>
      </c>
      <c r="P107" s="39">
        <v>7.7331200000000004</v>
      </c>
      <c r="Q107" s="39">
        <v>1.0386</v>
      </c>
      <c r="R107" s="39">
        <v>3.5318100000000001</v>
      </c>
      <c r="S107" s="39">
        <v>3.2903199999999999</v>
      </c>
      <c r="T107" s="39">
        <v>2.9719899999999999</v>
      </c>
      <c r="U107" s="39">
        <v>3.7468300000000001</v>
      </c>
      <c r="V107" s="39">
        <v>2.62914</v>
      </c>
      <c r="W107" s="40">
        <v>2.3500700000000001</v>
      </c>
    </row>
    <row r="108" spans="1:23" ht="15.75" thickBot="1" x14ac:dyDescent="0.3">
      <c r="A108" s="48"/>
      <c r="B108" s="57" t="s">
        <v>40</v>
      </c>
      <c r="C108" s="54">
        <v>0.71131100000000003</v>
      </c>
      <c r="D108" s="51">
        <v>0.58381899999999998</v>
      </c>
      <c r="E108" s="51">
        <v>0.535165</v>
      </c>
      <c r="F108" s="51">
        <v>0.45963199999999999</v>
      </c>
      <c r="G108" s="51">
        <v>0.54045500000000002</v>
      </c>
      <c r="H108" s="51">
        <v>0.46351999999999999</v>
      </c>
      <c r="I108" s="51">
        <v>0.68771799999999994</v>
      </c>
      <c r="J108" s="51">
        <v>0.447494</v>
      </c>
      <c r="K108" s="51">
        <v>0.61513899999999999</v>
      </c>
      <c r="L108" s="51">
        <v>0.78275400000000006</v>
      </c>
      <c r="M108" s="51">
        <v>0.56201000000000001</v>
      </c>
      <c r="N108" s="51">
        <v>0.64192499999999997</v>
      </c>
      <c r="O108" s="51">
        <v>0.74019999999999997</v>
      </c>
      <c r="P108" s="51">
        <v>0.82000399999999996</v>
      </c>
      <c r="Q108" s="51">
        <v>0.36207600000000001</v>
      </c>
      <c r="R108" s="51">
        <v>0.73899300000000001</v>
      </c>
      <c r="S108" s="51">
        <v>0.73715599999999992</v>
      </c>
      <c r="T108" s="51">
        <v>0.72892599999999996</v>
      </c>
      <c r="U108" s="51">
        <v>0.85767499999999997</v>
      </c>
      <c r="V108" s="51">
        <v>0.81717099999999998</v>
      </c>
      <c r="W108" s="52">
        <v>0.64087800000000006</v>
      </c>
    </row>
    <row r="109" spans="1:23" x14ac:dyDescent="0.25">
      <c r="A109" s="8"/>
    </row>
  </sheetData>
  <mergeCells count="28">
    <mergeCell ref="A40:A42"/>
    <mergeCell ref="A37:A39"/>
    <mergeCell ref="A34:A36"/>
    <mergeCell ref="A55:A57"/>
    <mergeCell ref="A52:A54"/>
    <mergeCell ref="A49:A51"/>
    <mergeCell ref="A46:A48"/>
    <mergeCell ref="A43:A45"/>
    <mergeCell ref="A70:A72"/>
    <mergeCell ref="A67:A69"/>
    <mergeCell ref="A64:A66"/>
    <mergeCell ref="A61:A63"/>
    <mergeCell ref="A58:A60"/>
    <mergeCell ref="A106:A108"/>
    <mergeCell ref="A103:A105"/>
    <mergeCell ref="A100:A102"/>
    <mergeCell ref="A97:A99"/>
    <mergeCell ref="A94:A96"/>
    <mergeCell ref="A91:A93"/>
    <mergeCell ref="A88:A90"/>
    <mergeCell ref="A85:A87"/>
    <mergeCell ref="A82:A84"/>
    <mergeCell ref="A79:A81"/>
    <mergeCell ref="A76:A78"/>
    <mergeCell ref="A73:A75"/>
    <mergeCell ref="A6:A7"/>
    <mergeCell ref="B6:B7"/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2019-04-12T15:25:30Z</dcterms:created>
  <dcterms:modified xsi:type="dcterms:W3CDTF">2019-06-13T15:44:34Z</dcterms:modified>
</cp:coreProperties>
</file>