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e_41_inst\Corals Data\Scored\"/>
    </mc:Choice>
  </mc:AlternateContent>
  <xr:revisionPtr revIDLastSave="0" documentId="13_ncr:1_{0340AB5E-FEE2-4AED-B887-B1A786DF4DC1}" xr6:coauthVersionLast="47" xr6:coauthVersionMax="47" xr10:uidLastSave="{00000000-0000-0000-0000-000000000000}"/>
  <bookViews>
    <workbookView xWindow="-110" yWindow="-110" windowWidth="19420" windowHeight="10420" firstSheet="1" activeTab="5" xr2:uid="{A14BD9FD-9F18-44A3-A4EC-83967D877463}"/>
  </bookViews>
  <sheets>
    <sheet name="4_raw" sheetId="3" r:id="rId1"/>
    <sheet name="4_imgsummary" sheetId="4" r:id="rId2"/>
    <sheet name="4_%cover" sheetId="5" r:id="rId3"/>
    <sheet name="4" sheetId="6" r:id="rId4"/>
    <sheet name="4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70" i="6"/>
  <c r="B336" i="8" s="1"/>
  <c r="C336" i="8" s="1"/>
  <c r="B69" i="6"/>
  <c r="B335" i="8" s="1"/>
  <c r="B68" i="6"/>
  <c r="B334" i="8" s="1"/>
  <c r="B67" i="6"/>
  <c r="B333" i="8" s="1"/>
  <c r="B66" i="6"/>
  <c r="B332" i="8" s="1"/>
  <c r="B65" i="6"/>
  <c r="B331" i="8" s="1"/>
  <c r="B64" i="6"/>
  <c r="B330" i="8" s="1"/>
  <c r="B63" i="6"/>
  <c r="B329" i="8" s="1"/>
  <c r="B62" i="6"/>
  <c r="B328" i="8" s="1"/>
  <c r="C328" i="8" s="1"/>
  <c r="B61" i="6"/>
  <c r="B327" i="8" s="1"/>
  <c r="B60" i="6"/>
  <c r="B326" i="8" s="1"/>
  <c r="B59" i="6"/>
  <c r="B325" i="8" s="1"/>
  <c r="B58" i="6"/>
  <c r="B324" i="8" s="1"/>
  <c r="B57" i="6"/>
  <c r="B323" i="8" s="1"/>
  <c r="B56" i="6"/>
  <c r="B322" i="8" s="1"/>
  <c r="B55" i="6"/>
  <c r="B321" i="8" s="1"/>
  <c r="B54" i="6"/>
  <c r="B320" i="8" s="1"/>
  <c r="B53" i="6"/>
  <c r="B319" i="8" s="1"/>
  <c r="B52" i="6"/>
  <c r="B318" i="8" s="1"/>
  <c r="B51" i="6"/>
  <c r="B317" i="8" s="1"/>
  <c r="B50" i="6"/>
  <c r="B316" i="8" s="1"/>
  <c r="B49" i="6"/>
  <c r="B315" i="8" s="1"/>
  <c r="D315" i="8" s="1"/>
  <c r="B47" i="6" a="1"/>
  <c r="B47" i="6" s="1"/>
  <c r="B313" i="8" s="1"/>
  <c r="B46" i="6" a="1"/>
  <c r="B46" i="6" s="1"/>
  <c r="B312" i="8" s="1"/>
  <c r="B45" i="6" a="1"/>
  <c r="B45" i="6" s="1"/>
  <c r="B311" i="8" s="1"/>
  <c r="B44" i="6" a="1"/>
  <c r="B44" i="6" s="1"/>
  <c r="B310" i="8" s="1"/>
  <c r="B43" i="6" a="1"/>
  <c r="B43" i="6" s="1"/>
  <c r="B309" i="8" s="1"/>
  <c r="B42" i="6" a="1"/>
  <c r="B42" i="6" s="1"/>
  <c r="B308" i="8" s="1"/>
  <c r="B41" i="6" a="1"/>
  <c r="B41" i="6" s="1"/>
  <c r="B307" i="8" s="1"/>
  <c r="B40" i="6" a="1"/>
  <c r="B40" i="6" s="1"/>
  <c r="B306" i="8" s="1"/>
  <c r="D306" i="8" s="1"/>
  <c r="B39" i="6" a="1"/>
  <c r="B39" i="6" s="1"/>
  <c r="B305" i="8" s="1"/>
  <c r="B38" i="6" a="1"/>
  <c r="B38" i="6" s="1"/>
  <c r="B304" i="8" s="1"/>
  <c r="B37" i="6" a="1"/>
  <c r="B37" i="6" s="1"/>
  <c r="B303" i="8" s="1"/>
  <c r="B36" i="6" a="1"/>
  <c r="B36" i="6" s="1"/>
  <c r="B302" i="8" s="1"/>
  <c r="B35" i="6" a="1"/>
  <c r="B35" i="6" s="1"/>
  <c r="B301" i="8" s="1"/>
  <c r="B34" i="6" a="1"/>
  <c r="B34" i="6" s="1"/>
  <c r="B300" i="8" s="1"/>
  <c r="C300" i="8" s="1"/>
  <c r="B33" i="6" a="1"/>
  <c r="B33" i="6" s="1"/>
  <c r="B299" i="8" s="1"/>
  <c r="B32" i="6" a="1"/>
  <c r="B32" i="6" s="1"/>
  <c r="B298" i="8" s="1"/>
  <c r="B31" i="6" a="1"/>
  <c r="B31" i="6" s="1"/>
  <c r="B297" i="8" s="1"/>
  <c r="B30" i="6" a="1"/>
  <c r="B30" i="6" s="1"/>
  <c r="B296" i="8" s="1"/>
  <c r="B29" i="6" a="1"/>
  <c r="B29" i="6" s="1"/>
  <c r="B295" i="8" s="1"/>
  <c r="B28" i="6" a="1"/>
  <c r="B28" i="6" s="1"/>
  <c r="B294" i="8" s="1"/>
  <c r="E294" i="8" s="1"/>
  <c r="F294" i="8" s="1"/>
  <c r="B27" i="6" a="1"/>
  <c r="B27" i="6" s="1"/>
  <c r="B293" i="8" s="1"/>
  <c r="B26" i="6" a="1"/>
  <c r="B26" i="6" s="1"/>
  <c r="B292" i="8" s="1"/>
  <c r="B22" i="6"/>
  <c r="B181" i="8" s="1"/>
  <c r="E181" i="8" s="1"/>
  <c r="F181" i="8" s="1"/>
  <c r="B21" i="6"/>
  <c r="B180" i="8" s="1"/>
  <c r="B20" i="6"/>
  <c r="B179" i="8" s="1"/>
  <c r="B19" i="6"/>
  <c r="B178" i="8" s="1"/>
  <c r="B18" i="6"/>
  <c r="B177" i="8" s="1"/>
  <c r="D177" i="8" s="1"/>
  <c r="B17" i="6"/>
  <c r="B176" i="8" s="1"/>
  <c r="C176" i="8" s="1"/>
  <c r="B16" i="6"/>
  <c r="B175" i="8" s="1"/>
  <c r="C175" i="8" s="1"/>
  <c r="B10" i="6"/>
  <c r="H120" i="6"/>
  <c r="B289" i="8" s="1"/>
  <c r="H118" i="6"/>
  <c r="H117" i="6"/>
  <c r="B286" i="8" s="1"/>
  <c r="H116" i="6"/>
  <c r="B285" i="8" s="1"/>
  <c r="H115" i="6"/>
  <c r="H114" i="6"/>
  <c r="B283" i="8" s="1"/>
  <c r="H113" i="6"/>
  <c r="H112" i="6"/>
  <c r="H111" i="6"/>
  <c r="H110" i="6"/>
  <c r="H109" i="6"/>
  <c r="H107" i="6"/>
  <c r="H105" i="6"/>
  <c r="B274" i="8" s="1"/>
  <c r="H104" i="6"/>
  <c r="B273" i="8" s="1"/>
  <c r="H103" i="6"/>
  <c r="H102" i="6"/>
  <c r="H100" i="6"/>
  <c r="H99" i="6"/>
  <c r="J99" i="6" s="1"/>
  <c r="H98" i="6"/>
  <c r="H97" i="6"/>
  <c r="B266" i="8" s="1"/>
  <c r="H96" i="6"/>
  <c r="B265" i="8" s="1"/>
  <c r="H94" i="6"/>
  <c r="B263" i="8" s="1"/>
  <c r="E263" i="8" s="1"/>
  <c r="F263" i="8" s="1"/>
  <c r="H93" i="6"/>
  <c r="B262" i="8" s="1"/>
  <c r="H92" i="6"/>
  <c r="B261" i="8" s="1"/>
  <c r="H91" i="6"/>
  <c r="B260" i="8" s="1"/>
  <c r="C260" i="8" s="1"/>
  <c r="H90" i="6"/>
  <c r="B259" i="8" s="1"/>
  <c r="D259" i="8" s="1"/>
  <c r="H88" i="6"/>
  <c r="K88" i="6" s="1"/>
  <c r="H87" i="6"/>
  <c r="H86" i="6"/>
  <c r="B255" i="8" s="1"/>
  <c r="H85" i="6"/>
  <c r="B254" i="8" s="1"/>
  <c r="H84" i="6"/>
  <c r="K84" i="6" s="1"/>
  <c r="H83" i="6"/>
  <c r="H82" i="6"/>
  <c r="H81" i="6"/>
  <c r="J81" i="6" s="1"/>
  <c r="H80" i="6"/>
  <c r="H79" i="6"/>
  <c r="K79" i="6" s="1"/>
  <c r="H78" i="6"/>
  <c r="B247" i="8" s="1"/>
  <c r="H77" i="6"/>
  <c r="B246" i="8" s="1"/>
  <c r="H76" i="6"/>
  <c r="H75" i="6"/>
  <c r="K75" i="6" s="1"/>
  <c r="H74" i="6"/>
  <c r="B243" i="8" s="1"/>
  <c r="H73" i="6"/>
  <c r="B242" i="8" s="1"/>
  <c r="D242" i="8" s="1"/>
  <c r="H72" i="6"/>
  <c r="B241" i="8" s="1"/>
  <c r="H71" i="6"/>
  <c r="B240" i="8" s="1"/>
  <c r="H70" i="6"/>
  <c r="B239" i="8" s="1"/>
  <c r="H69" i="6"/>
  <c r="B238" i="8" s="1"/>
  <c r="H68" i="6"/>
  <c r="H67" i="6"/>
  <c r="B236" i="8" s="1"/>
  <c r="H66" i="6"/>
  <c r="B235" i="8" s="1"/>
  <c r="H65" i="6"/>
  <c r="B234" i="8" s="1"/>
  <c r="H64" i="6"/>
  <c r="B233" i="8" s="1"/>
  <c r="H63" i="6"/>
  <c r="B232" i="8" s="1"/>
  <c r="H62" i="6"/>
  <c r="B231" i="8" s="1"/>
  <c r="H61" i="6"/>
  <c r="B230" i="8" s="1"/>
  <c r="H60" i="6"/>
  <c r="H59" i="6"/>
  <c r="B228" i="8" s="1"/>
  <c r="H58" i="6"/>
  <c r="H57" i="6"/>
  <c r="B226" i="8" s="1"/>
  <c r="H56" i="6"/>
  <c r="B225" i="8" s="1"/>
  <c r="H55" i="6"/>
  <c r="B224" i="8" s="1"/>
  <c r="H54" i="6"/>
  <c r="B223" i="8" s="1"/>
  <c r="H53" i="6"/>
  <c r="B222" i="8" s="1"/>
  <c r="C222" i="8" s="1"/>
  <c r="H52" i="6"/>
  <c r="H51" i="6"/>
  <c r="H50" i="6"/>
  <c r="B219" i="8" s="1"/>
  <c r="H49" i="6"/>
  <c r="H48" i="6"/>
  <c r="H47" i="6"/>
  <c r="B216" i="8" s="1"/>
  <c r="H46" i="6"/>
  <c r="B215" i="8" s="1"/>
  <c r="E215" i="8" s="1"/>
  <c r="F215" i="8" s="1"/>
  <c r="H45" i="6"/>
  <c r="B214" i="8" s="1"/>
  <c r="H44" i="6"/>
  <c r="H43" i="6"/>
  <c r="B212" i="8" s="1"/>
  <c r="C212" i="8" s="1"/>
  <c r="H42" i="6"/>
  <c r="H41" i="6"/>
  <c r="H40" i="6"/>
  <c r="B209" i="8" s="1"/>
  <c r="D209" i="8" s="1"/>
  <c r="H39" i="6"/>
  <c r="B208" i="8" s="1"/>
  <c r="H38" i="6"/>
  <c r="B207" i="8" s="1"/>
  <c r="E207" i="8" s="1"/>
  <c r="F207" i="8" s="1"/>
  <c r="H37" i="6"/>
  <c r="B206" i="8" s="1"/>
  <c r="H36" i="6"/>
  <c r="H35" i="6"/>
  <c r="H34" i="6"/>
  <c r="H33" i="6"/>
  <c r="B202" i="8" s="1"/>
  <c r="H32" i="6"/>
  <c r="B201" i="8" s="1"/>
  <c r="H31" i="6"/>
  <c r="H30" i="6"/>
  <c r="B199" i="8" s="1"/>
  <c r="E199" i="8" s="1"/>
  <c r="F199" i="8" s="1"/>
  <c r="H29" i="6"/>
  <c r="B198" i="8" s="1"/>
  <c r="H28" i="6"/>
  <c r="H27" i="6"/>
  <c r="B196" i="8" s="1"/>
  <c r="H26" i="6"/>
  <c r="H25" i="6"/>
  <c r="H24" i="6"/>
  <c r="H23" i="6"/>
  <c r="B192" i="8" s="1"/>
  <c r="C192" i="8" s="1"/>
  <c r="H22" i="6"/>
  <c r="B191" i="8" s="1"/>
  <c r="E191" i="8" s="1"/>
  <c r="F191" i="8" s="1"/>
  <c r="H21" i="6"/>
  <c r="B190" i="8" s="1"/>
  <c r="H20" i="6"/>
  <c r="K20" i="6" s="1"/>
  <c r="H19" i="6"/>
  <c r="H18" i="6"/>
  <c r="B187" i="8" s="1"/>
  <c r="H17" i="6"/>
  <c r="EL24" i="5"/>
  <c r="EK24" i="5"/>
  <c r="EI24" i="5"/>
  <c r="EH24" i="5"/>
  <c r="EG24" i="5"/>
  <c r="ED24" i="5"/>
  <c r="EC24" i="5"/>
  <c r="EA24" i="5"/>
  <c r="DZ24" i="5"/>
  <c r="DY24" i="5"/>
  <c r="DV24" i="5"/>
  <c r="DU24" i="5"/>
  <c r="DS24" i="5"/>
  <c r="DR24" i="5"/>
  <c r="DQ24" i="5"/>
  <c r="DL24" i="5"/>
  <c r="DK24" i="5"/>
  <c r="DI24" i="5"/>
  <c r="DH24" i="5"/>
  <c r="DG24" i="5"/>
  <c r="DD24" i="5"/>
  <c r="DB24" i="5"/>
  <c r="CY24" i="5"/>
  <c r="CX24" i="5"/>
  <c r="CW24" i="5"/>
  <c r="CS24" i="5"/>
  <c r="CR24" i="5"/>
  <c r="CO24" i="5"/>
  <c r="CN24" i="5"/>
  <c r="CM24" i="5"/>
  <c r="CI24" i="5"/>
  <c r="CH24" i="5"/>
  <c r="CF24" i="5"/>
  <c r="CE24" i="5"/>
  <c r="CD24" i="5"/>
  <c r="CA24" i="5"/>
  <c r="BZ24" i="5"/>
  <c r="BX24" i="5"/>
  <c r="BW24" i="5"/>
  <c r="BV24" i="5"/>
  <c r="BS24" i="5"/>
  <c r="BR24" i="5"/>
  <c r="BP24" i="5"/>
  <c r="BO24" i="5"/>
  <c r="BN24" i="5"/>
  <c r="BK24" i="5"/>
  <c r="BJ24" i="5"/>
  <c r="BH24" i="5"/>
  <c r="BG24" i="5"/>
  <c r="BF24" i="5"/>
  <c r="BC24" i="5"/>
  <c r="BB24" i="5"/>
  <c r="AZ24" i="5"/>
  <c r="AY24" i="5"/>
  <c r="AX24" i="5"/>
  <c r="AU24" i="5"/>
  <c r="AT24" i="5"/>
  <c r="AR24" i="5"/>
  <c r="AQ24" i="5"/>
  <c r="AP24" i="5"/>
  <c r="AM24" i="5"/>
  <c r="AL24" i="5"/>
  <c r="AJ24" i="5"/>
  <c r="AI24" i="5"/>
  <c r="AH24" i="5"/>
  <c r="AE24" i="5"/>
  <c r="AD24" i="5"/>
  <c r="AB24" i="5"/>
  <c r="AA24" i="5"/>
  <c r="Z24" i="5"/>
  <c r="W24" i="5"/>
  <c r="V24" i="5"/>
  <c r="T24" i="5"/>
  <c r="S24" i="5"/>
  <c r="R24" i="5"/>
  <c r="L24" i="5"/>
  <c r="K24" i="5"/>
  <c r="I24" i="5"/>
  <c r="H24" i="5"/>
  <c r="G24" i="5"/>
  <c r="M24" i="5"/>
  <c r="EF24" i="5" s="1"/>
  <c r="EG23" i="5"/>
  <c r="ED23" i="5"/>
  <c r="EC23" i="5"/>
  <c r="EA23" i="5"/>
  <c r="DZ23" i="5"/>
  <c r="DY23" i="5"/>
  <c r="DQ23" i="5"/>
  <c r="DL23" i="5"/>
  <c r="DK23" i="5"/>
  <c r="DI23" i="5"/>
  <c r="DD23" i="5"/>
  <c r="DB23" i="5"/>
  <c r="CW23" i="5"/>
  <c r="CS23" i="5"/>
  <c r="CN23" i="5"/>
  <c r="CM23" i="5"/>
  <c r="CI23" i="5"/>
  <c r="CH23" i="5"/>
  <c r="BZ23" i="5"/>
  <c r="BX23" i="5"/>
  <c r="BW23" i="5"/>
  <c r="BV23" i="5"/>
  <c r="BS23" i="5"/>
  <c r="BR23" i="5"/>
  <c r="BJ23" i="5"/>
  <c r="BH23" i="5"/>
  <c r="BG23" i="5"/>
  <c r="BF23" i="5"/>
  <c r="BB23" i="5"/>
  <c r="AZ23" i="5"/>
  <c r="AV23" i="5"/>
  <c r="AU23" i="5"/>
  <c r="AQ23" i="5"/>
  <c r="AP23" i="5"/>
  <c r="AN23" i="5"/>
  <c r="AM23" i="5"/>
  <c r="AF23" i="5"/>
  <c r="AE23" i="5"/>
  <c r="AD23" i="5"/>
  <c r="AB23" i="5"/>
  <c r="AA23" i="5"/>
  <c r="Z23" i="5"/>
  <c r="S23" i="5"/>
  <c r="R23" i="5"/>
  <c r="P23" i="5"/>
  <c r="L23" i="5"/>
  <c r="H23" i="5"/>
  <c r="G23" i="5"/>
  <c r="M23" i="5"/>
  <c r="EK22" i="5"/>
  <c r="EJ22" i="5"/>
  <c r="EG22" i="5"/>
  <c r="EE22" i="5"/>
  <c r="ED22" i="5"/>
  <c r="EC22" i="5"/>
  <c r="DX22" i="5"/>
  <c r="DV22" i="5"/>
  <c r="DU22" i="5"/>
  <c r="DT22" i="5"/>
  <c r="DS22" i="5"/>
  <c r="DL22" i="5"/>
  <c r="DK22" i="5"/>
  <c r="DJ22" i="5"/>
  <c r="DF22" i="5"/>
  <c r="DE22" i="5"/>
  <c r="CZ22" i="5"/>
  <c r="CY22" i="5"/>
  <c r="CU22" i="5"/>
  <c r="CT22" i="5"/>
  <c r="CS22" i="5"/>
  <c r="CL22" i="5"/>
  <c r="CK22" i="5"/>
  <c r="CI22" i="5"/>
  <c r="CH22" i="5"/>
  <c r="CG22" i="5"/>
  <c r="CF22" i="5"/>
  <c r="CA22" i="5"/>
  <c r="BY22" i="5"/>
  <c r="BX22" i="5"/>
  <c r="BU22" i="5"/>
  <c r="BT22" i="5"/>
  <c r="BQ22" i="5"/>
  <c r="BP22" i="5"/>
  <c r="BM22" i="5"/>
  <c r="BK22" i="5"/>
  <c r="BJ22" i="5"/>
  <c r="BE22" i="5"/>
  <c r="BD22" i="5"/>
  <c r="BC22" i="5"/>
  <c r="BB22" i="5"/>
  <c r="BA22" i="5"/>
  <c r="AU22" i="5"/>
  <c r="AT22" i="5"/>
  <c r="AS22" i="5"/>
  <c r="AR22" i="5"/>
  <c r="AO22" i="5"/>
  <c r="AN22" i="5"/>
  <c r="AK22" i="5"/>
  <c r="AG22" i="5"/>
  <c r="AF22" i="5"/>
  <c r="AE22" i="5"/>
  <c r="AD22" i="5"/>
  <c r="Y22" i="5"/>
  <c r="X22" i="5"/>
  <c r="W22" i="5"/>
  <c r="U22" i="5"/>
  <c r="T22" i="5"/>
  <c r="L22" i="5"/>
  <c r="K22" i="5"/>
  <c r="J22" i="5"/>
  <c r="I22" i="5"/>
  <c r="F22" i="5"/>
  <c r="M22" i="5"/>
  <c r="EJ21" i="5"/>
  <c r="EI21" i="5"/>
  <c r="EF21" i="5"/>
  <c r="EE21" i="5"/>
  <c r="ED21" i="5"/>
  <c r="EC21" i="5"/>
  <c r="DX21" i="5"/>
  <c r="DV21" i="5"/>
  <c r="DU21" i="5"/>
  <c r="DT21" i="5"/>
  <c r="DS21" i="5"/>
  <c r="DL21" i="5"/>
  <c r="DK21" i="5"/>
  <c r="DJ21" i="5"/>
  <c r="DF21" i="5"/>
  <c r="DE21" i="5"/>
  <c r="CZ21" i="5"/>
  <c r="CY21" i="5"/>
  <c r="CU21" i="5"/>
  <c r="CT21" i="5"/>
  <c r="CS21" i="5"/>
  <c r="CL21" i="5"/>
  <c r="CK21" i="5"/>
  <c r="CI21" i="5"/>
  <c r="CH21" i="5"/>
  <c r="CG21" i="5"/>
  <c r="CF21" i="5"/>
  <c r="CA21" i="5"/>
  <c r="BY21" i="5"/>
  <c r="BX21" i="5"/>
  <c r="BU21" i="5"/>
  <c r="BT21" i="5"/>
  <c r="BQ21" i="5"/>
  <c r="BP21" i="5"/>
  <c r="BM21" i="5"/>
  <c r="BK21" i="5"/>
  <c r="BJ21" i="5"/>
  <c r="BE21" i="5"/>
  <c r="BD21" i="5"/>
  <c r="BC21" i="5"/>
  <c r="BB21" i="5"/>
  <c r="BA21" i="5"/>
  <c r="AU21" i="5"/>
  <c r="AT21" i="5"/>
  <c r="AS21" i="5"/>
  <c r="AR21" i="5"/>
  <c r="AO21" i="5"/>
  <c r="AN21" i="5"/>
  <c r="AK21" i="5"/>
  <c r="AG21" i="5"/>
  <c r="AF21" i="5"/>
  <c r="AE21" i="5"/>
  <c r="AD21" i="5"/>
  <c r="Y21" i="5"/>
  <c r="X21" i="5"/>
  <c r="W21" i="5"/>
  <c r="U21" i="5"/>
  <c r="T21" i="5"/>
  <c r="L21" i="5"/>
  <c r="K21" i="5"/>
  <c r="J21" i="5"/>
  <c r="I21" i="5"/>
  <c r="F21" i="5"/>
  <c r="M21" i="5"/>
  <c r="EJ20" i="5"/>
  <c r="EI20" i="5"/>
  <c r="EF20" i="5"/>
  <c r="EE20" i="5"/>
  <c r="ED20" i="5"/>
  <c r="EC20" i="5"/>
  <c r="DX20" i="5"/>
  <c r="DV20" i="5"/>
  <c r="DU20" i="5"/>
  <c r="DT20" i="5"/>
  <c r="DS20" i="5"/>
  <c r="DL20" i="5"/>
  <c r="DK20" i="5"/>
  <c r="DJ20" i="5"/>
  <c r="DF20" i="5"/>
  <c r="DE20" i="5"/>
  <c r="CZ20" i="5"/>
  <c r="CY20" i="5"/>
  <c r="CU20" i="5"/>
  <c r="CT20" i="5"/>
  <c r="CS20" i="5"/>
  <c r="CL20" i="5"/>
  <c r="CK20" i="5"/>
  <c r="CI20" i="5"/>
  <c r="CH20" i="5"/>
  <c r="CG20" i="5"/>
  <c r="CF20" i="5"/>
  <c r="CA20" i="5"/>
  <c r="BY20" i="5"/>
  <c r="BX20" i="5"/>
  <c r="BU20" i="5"/>
  <c r="BT20" i="5"/>
  <c r="BQ20" i="5"/>
  <c r="BP20" i="5"/>
  <c r="BM20" i="5"/>
  <c r="BK20" i="5"/>
  <c r="BJ20" i="5"/>
  <c r="BE20" i="5"/>
  <c r="BD20" i="5"/>
  <c r="BC20" i="5"/>
  <c r="BB20" i="5"/>
  <c r="BA20" i="5"/>
  <c r="AU20" i="5"/>
  <c r="AT20" i="5"/>
  <c r="AS20" i="5"/>
  <c r="AR20" i="5"/>
  <c r="AO20" i="5"/>
  <c r="AN20" i="5"/>
  <c r="AK20" i="5"/>
  <c r="AG20" i="5"/>
  <c r="AF20" i="5"/>
  <c r="AE20" i="5"/>
  <c r="AD20" i="5"/>
  <c r="Y20" i="5"/>
  <c r="X20" i="5"/>
  <c r="W20" i="5"/>
  <c r="U20" i="5"/>
  <c r="T20" i="5"/>
  <c r="L20" i="5"/>
  <c r="K20" i="5"/>
  <c r="J20" i="5"/>
  <c r="I20" i="5"/>
  <c r="F20" i="5"/>
  <c r="M20" i="5"/>
  <c r="EJ19" i="5"/>
  <c r="EI19" i="5"/>
  <c r="EF19" i="5"/>
  <c r="EE19" i="5"/>
  <c r="ED19" i="5"/>
  <c r="EC19" i="5"/>
  <c r="DX19" i="5"/>
  <c r="DV19" i="5"/>
  <c r="DU19" i="5"/>
  <c r="DT19" i="5"/>
  <c r="DS19" i="5"/>
  <c r="DL19" i="5"/>
  <c r="DK19" i="5"/>
  <c r="DJ19" i="5"/>
  <c r="DF19" i="5"/>
  <c r="DE19" i="5"/>
  <c r="CZ19" i="5"/>
  <c r="CY19" i="5"/>
  <c r="CU19" i="5"/>
  <c r="CT19" i="5"/>
  <c r="CS19" i="5"/>
  <c r="CL19" i="5"/>
  <c r="CK19" i="5"/>
  <c r="CI19" i="5"/>
  <c r="CH19" i="5"/>
  <c r="CG19" i="5"/>
  <c r="CF19" i="5"/>
  <c r="CA19" i="5"/>
  <c r="BY19" i="5"/>
  <c r="BX19" i="5"/>
  <c r="BU19" i="5"/>
  <c r="BT19" i="5"/>
  <c r="BQ19" i="5"/>
  <c r="BP19" i="5"/>
  <c r="BM19" i="5"/>
  <c r="BK19" i="5"/>
  <c r="BJ19" i="5"/>
  <c r="BE19" i="5"/>
  <c r="BD19" i="5"/>
  <c r="BC19" i="5"/>
  <c r="BB19" i="5"/>
  <c r="BA19" i="5"/>
  <c r="AU19" i="5"/>
  <c r="AT19" i="5"/>
  <c r="AS19" i="5"/>
  <c r="AR19" i="5"/>
  <c r="AO19" i="5"/>
  <c r="AN19" i="5"/>
  <c r="AK19" i="5"/>
  <c r="AG19" i="5"/>
  <c r="AF19" i="5"/>
  <c r="AE19" i="5"/>
  <c r="AD19" i="5"/>
  <c r="Y19" i="5"/>
  <c r="X19" i="5"/>
  <c r="W19" i="5"/>
  <c r="U19" i="5"/>
  <c r="T19" i="5"/>
  <c r="L19" i="5"/>
  <c r="K19" i="5"/>
  <c r="J19" i="5"/>
  <c r="I19" i="5"/>
  <c r="F19" i="5"/>
  <c r="M19" i="5"/>
  <c r="ED18" i="5"/>
  <c r="DK18" i="5"/>
  <c r="CQ18" i="5"/>
  <c r="BY18" i="5"/>
  <c r="BJ18" i="5"/>
  <c r="AP18" i="5"/>
  <c r="AC18" i="5"/>
  <c r="J18" i="5"/>
  <c r="M18" i="5"/>
  <c r="DY18" i="5" s="1"/>
  <c r="EL17" i="5"/>
  <c r="EK17" i="5"/>
  <c r="EG17" i="5"/>
  <c r="EF17" i="5"/>
  <c r="EE17" i="5"/>
  <c r="EB17" i="5"/>
  <c r="DY17" i="5"/>
  <c r="DW17" i="5"/>
  <c r="DV17" i="5"/>
  <c r="DU17" i="5"/>
  <c r="DT17" i="5"/>
  <c r="DM17" i="5"/>
  <c r="DK17" i="5"/>
  <c r="DJ17" i="5"/>
  <c r="DG17" i="5"/>
  <c r="DF17" i="5"/>
  <c r="DE17" i="5"/>
  <c r="CW17" i="5"/>
  <c r="CU17" i="5"/>
  <c r="CT17" i="5"/>
  <c r="CS17" i="5"/>
  <c r="CR17" i="5"/>
  <c r="CQ17" i="5"/>
  <c r="CI17" i="5"/>
  <c r="CH17" i="5"/>
  <c r="CG17" i="5"/>
  <c r="CD17" i="5"/>
  <c r="CC17" i="5"/>
  <c r="CB17" i="5"/>
  <c r="BV17" i="5"/>
  <c r="BU17" i="5"/>
  <c r="BT17" i="5"/>
  <c r="BS17" i="5"/>
  <c r="BR17" i="5"/>
  <c r="BN17" i="5"/>
  <c r="BK17" i="5"/>
  <c r="BJ17" i="5"/>
  <c r="BI17" i="5"/>
  <c r="BF17" i="5"/>
  <c r="BD17" i="5"/>
  <c r="BC17" i="5"/>
  <c r="AX17" i="5"/>
  <c r="AW17" i="5"/>
  <c r="AV17" i="5"/>
  <c r="AT17" i="5"/>
  <c r="AS17" i="5"/>
  <c r="AP17" i="5"/>
  <c r="AM17" i="5"/>
  <c r="AL17" i="5"/>
  <c r="AH17" i="5"/>
  <c r="AG17" i="5"/>
  <c r="AF17" i="5"/>
  <c r="AE17" i="5"/>
  <c r="Z17" i="5"/>
  <c r="X17" i="5"/>
  <c r="W17" i="5"/>
  <c r="V17" i="5"/>
  <c r="U17" i="5"/>
  <c r="T17" i="5"/>
  <c r="L17" i="5"/>
  <c r="K17" i="5"/>
  <c r="J17" i="5"/>
  <c r="I17" i="5"/>
  <c r="G17" i="5"/>
  <c r="F17" i="5"/>
  <c r="M17" i="5"/>
  <c r="EE16" i="5"/>
  <c r="ED16" i="5"/>
  <c r="DM16" i="5"/>
  <c r="DL16" i="5"/>
  <c r="CY16" i="5"/>
  <c r="CU16" i="5"/>
  <c r="CH16" i="5"/>
  <c r="CG16" i="5"/>
  <c r="BT16" i="5"/>
  <c r="BS16" i="5"/>
  <c r="BI16" i="5"/>
  <c r="BH16" i="5"/>
  <c r="AX16" i="5"/>
  <c r="AV16" i="5"/>
  <c r="AJ16" i="5"/>
  <c r="AI16" i="5"/>
  <c r="X16" i="5"/>
  <c r="W16" i="5"/>
  <c r="J16" i="5"/>
  <c r="I16" i="5"/>
  <c r="M16" i="5"/>
  <c r="DX16" i="5" s="1"/>
  <c r="ED15" i="5"/>
  <c r="EC15" i="5"/>
  <c r="EB15" i="5"/>
  <c r="DS15" i="5"/>
  <c r="DR15" i="5"/>
  <c r="DQ15" i="5"/>
  <c r="DE15" i="5"/>
  <c r="DD15" i="5"/>
  <c r="CY15" i="5"/>
  <c r="CN15" i="5"/>
  <c r="CM15" i="5"/>
  <c r="CK15" i="5"/>
  <c r="CA15" i="5"/>
  <c r="BZ15" i="5"/>
  <c r="BY15" i="5"/>
  <c r="BP15" i="5"/>
  <c r="BO15" i="5"/>
  <c r="BK15" i="5"/>
  <c r="BB15" i="5"/>
  <c r="BA15" i="5"/>
  <c r="AZ15" i="5"/>
  <c r="AQ15" i="5"/>
  <c r="AP15" i="5"/>
  <c r="AN15" i="5"/>
  <c r="AE15" i="5"/>
  <c r="AD15" i="5"/>
  <c r="AA15" i="5"/>
  <c r="R15" i="5"/>
  <c r="P15" i="5"/>
  <c r="L15" i="5"/>
  <c r="K15" i="5"/>
  <c r="M15" i="5"/>
  <c r="EH15" i="5" s="1"/>
  <c r="EK14" i="5"/>
  <c r="EJ14" i="5"/>
  <c r="DZ14" i="5"/>
  <c r="DY14" i="5"/>
  <c r="DJ14" i="5"/>
  <c r="DI14" i="5"/>
  <c r="CW14" i="5"/>
  <c r="CT14" i="5"/>
  <c r="CH14" i="5"/>
  <c r="CG14" i="5"/>
  <c r="BT14" i="5"/>
  <c r="BS14" i="5"/>
  <c r="BI14" i="5"/>
  <c r="BH14" i="5"/>
  <c r="AX14" i="5"/>
  <c r="AV14" i="5"/>
  <c r="AJ14" i="5"/>
  <c r="AI14" i="5"/>
  <c r="X14" i="5"/>
  <c r="W14" i="5"/>
  <c r="J14" i="5"/>
  <c r="I14" i="5"/>
  <c r="M14" i="5"/>
  <c r="EH14" i="5" s="1"/>
  <c r="EL13" i="5"/>
  <c r="ED13" i="5"/>
  <c r="EC13" i="5"/>
  <c r="EB13" i="5"/>
  <c r="EA13" i="5"/>
  <c r="DS13" i="5"/>
  <c r="DR13" i="5"/>
  <c r="DQ13" i="5"/>
  <c r="DM13" i="5"/>
  <c r="DE13" i="5"/>
  <c r="DD13" i="5"/>
  <c r="CY13" i="5"/>
  <c r="CX13" i="5"/>
  <c r="CN13" i="5"/>
  <c r="CM13" i="5"/>
  <c r="CK13" i="5"/>
  <c r="CI13" i="5"/>
  <c r="CA13" i="5"/>
  <c r="BZ13" i="5"/>
  <c r="BY13" i="5"/>
  <c r="BX13" i="5"/>
  <c r="BP13" i="5"/>
  <c r="BO13" i="5"/>
  <c r="BK13" i="5"/>
  <c r="BJ13" i="5"/>
  <c r="BB13" i="5"/>
  <c r="BA13" i="5"/>
  <c r="AZ13" i="5"/>
  <c r="AY13" i="5"/>
  <c r="AQ13" i="5"/>
  <c r="AP13" i="5"/>
  <c r="AN13" i="5"/>
  <c r="AM13" i="5"/>
  <c r="AE13" i="5"/>
  <c r="AD13" i="5"/>
  <c r="AA13" i="5"/>
  <c r="Z13" i="5"/>
  <c r="R13" i="5"/>
  <c r="P13" i="5"/>
  <c r="L13" i="5"/>
  <c r="K13" i="5"/>
  <c r="M13" i="5"/>
  <c r="EK12" i="5"/>
  <c r="EJ12" i="5"/>
  <c r="DZ12" i="5"/>
  <c r="DY12" i="5"/>
  <c r="DJ12" i="5"/>
  <c r="DI12" i="5"/>
  <c r="CW12" i="5"/>
  <c r="CT12" i="5"/>
  <c r="CH12" i="5"/>
  <c r="CG12" i="5"/>
  <c r="BT12" i="5"/>
  <c r="BS12" i="5"/>
  <c r="BI12" i="5"/>
  <c r="BH12" i="5"/>
  <c r="AX12" i="5"/>
  <c r="AV12" i="5"/>
  <c r="AJ12" i="5"/>
  <c r="AI12" i="5"/>
  <c r="X12" i="5"/>
  <c r="W12" i="5"/>
  <c r="J12" i="5"/>
  <c r="I12" i="5"/>
  <c r="M12" i="5"/>
  <c r="EH12" i="5" s="1"/>
  <c r="EL11" i="5"/>
  <c r="ED11" i="5"/>
  <c r="EC11" i="5"/>
  <c r="EB11" i="5"/>
  <c r="EA11" i="5"/>
  <c r="DS11" i="5"/>
  <c r="DR11" i="5"/>
  <c r="DQ11" i="5"/>
  <c r="DM11" i="5"/>
  <c r="DE11" i="5"/>
  <c r="DD11" i="5"/>
  <c r="CY11" i="5"/>
  <c r="CX11" i="5"/>
  <c r="CN11" i="5"/>
  <c r="CM11" i="5"/>
  <c r="CK11" i="5"/>
  <c r="CI11" i="5"/>
  <c r="CA11" i="5"/>
  <c r="BZ11" i="5"/>
  <c r="BY11" i="5"/>
  <c r="BX11" i="5"/>
  <c r="BP11" i="5"/>
  <c r="BO11" i="5"/>
  <c r="BK11" i="5"/>
  <c r="BJ11" i="5"/>
  <c r="BB11" i="5"/>
  <c r="BA11" i="5"/>
  <c r="AZ11" i="5"/>
  <c r="AY11" i="5"/>
  <c r="AQ11" i="5"/>
  <c r="AP11" i="5"/>
  <c r="AN11" i="5"/>
  <c r="AM11" i="5"/>
  <c r="AE11" i="5"/>
  <c r="AD11" i="5"/>
  <c r="AA11" i="5"/>
  <c r="Z11" i="5"/>
  <c r="U11" i="5"/>
  <c r="R11" i="5"/>
  <c r="P11" i="5"/>
  <c r="L11" i="5"/>
  <c r="K11" i="5"/>
  <c r="M11" i="5"/>
  <c r="EH11" i="5" s="1"/>
  <c r="EK10" i="5"/>
  <c r="EJ10" i="5"/>
  <c r="DZ10" i="5"/>
  <c r="DY10" i="5"/>
  <c r="DJ10" i="5"/>
  <c r="DI10" i="5"/>
  <c r="CW10" i="5"/>
  <c r="CT10" i="5"/>
  <c r="CH10" i="5"/>
  <c r="CG10" i="5"/>
  <c r="BT10" i="5"/>
  <c r="BS10" i="5"/>
  <c r="BI10" i="5"/>
  <c r="BH10" i="5"/>
  <c r="AX10" i="5"/>
  <c r="AV10" i="5"/>
  <c r="AJ10" i="5"/>
  <c r="AI10" i="5"/>
  <c r="X10" i="5"/>
  <c r="W10" i="5"/>
  <c r="J10" i="5"/>
  <c r="I10" i="5"/>
  <c r="M10" i="5"/>
  <c r="EH10" i="5" s="1"/>
  <c r="EL9" i="5"/>
  <c r="EK9" i="5"/>
  <c r="EJ9" i="5"/>
  <c r="EI9" i="5"/>
  <c r="EH9" i="5"/>
  <c r="ED9" i="5"/>
  <c r="EC9" i="5"/>
  <c r="EB9" i="5"/>
  <c r="EA9" i="5"/>
  <c r="DZ9" i="5"/>
  <c r="DY9" i="5"/>
  <c r="DU9" i="5"/>
  <c r="DT9" i="5"/>
  <c r="DS9" i="5"/>
  <c r="DR9" i="5"/>
  <c r="DQ9" i="5"/>
  <c r="DO9" i="5"/>
  <c r="DK9" i="5"/>
  <c r="DJ9" i="5"/>
  <c r="DI9" i="5"/>
  <c r="DH9" i="5"/>
  <c r="DG9" i="5"/>
  <c r="DF9" i="5"/>
  <c r="DB9" i="5"/>
  <c r="CZ9" i="5"/>
  <c r="CY9" i="5"/>
  <c r="CX9" i="5"/>
  <c r="CW9" i="5"/>
  <c r="CU9" i="5"/>
  <c r="CR9" i="5"/>
  <c r="CQ9" i="5"/>
  <c r="CO9" i="5"/>
  <c r="CN9" i="5"/>
  <c r="CM9" i="5"/>
  <c r="CL9" i="5"/>
  <c r="CH9" i="5"/>
  <c r="CG9" i="5"/>
  <c r="CF9" i="5"/>
  <c r="CE9" i="5"/>
  <c r="CD9" i="5"/>
  <c r="CC9" i="5"/>
  <c r="BZ9" i="5"/>
  <c r="BY9" i="5"/>
  <c r="BX9" i="5"/>
  <c r="BW9" i="5"/>
  <c r="BV9" i="5"/>
  <c r="BU9" i="5"/>
  <c r="BR9" i="5"/>
  <c r="BQ9" i="5"/>
  <c r="BP9" i="5"/>
  <c r="BO9" i="5"/>
  <c r="BN9" i="5"/>
  <c r="BM9" i="5"/>
  <c r="BJ9" i="5"/>
  <c r="BI9" i="5"/>
  <c r="BH9" i="5"/>
  <c r="BG9" i="5"/>
  <c r="BF9" i="5"/>
  <c r="BE9" i="5"/>
  <c r="BB9" i="5"/>
  <c r="BA9" i="5"/>
  <c r="AZ9" i="5"/>
  <c r="AY9" i="5"/>
  <c r="AX9" i="5"/>
  <c r="AW9" i="5"/>
  <c r="AT9" i="5"/>
  <c r="AS9" i="5"/>
  <c r="AR9" i="5"/>
  <c r="AQ9" i="5"/>
  <c r="AP9" i="5"/>
  <c r="AO9" i="5"/>
  <c r="AL9" i="5"/>
  <c r="AK9" i="5"/>
  <c r="AJ9" i="5"/>
  <c r="AI9" i="5"/>
  <c r="AH9" i="5"/>
  <c r="AG9" i="5"/>
  <c r="AD9" i="5"/>
  <c r="AC9" i="5"/>
  <c r="AB9" i="5"/>
  <c r="AA9" i="5"/>
  <c r="Z9" i="5"/>
  <c r="Y9" i="5"/>
  <c r="V9" i="5"/>
  <c r="U9" i="5"/>
  <c r="T9" i="5"/>
  <c r="S9" i="5"/>
  <c r="R9" i="5"/>
  <c r="Q9" i="5"/>
  <c r="K9" i="5"/>
  <c r="J9" i="5"/>
  <c r="I9" i="5"/>
  <c r="H9" i="5"/>
  <c r="G9" i="5"/>
  <c r="F9" i="5"/>
  <c r="M9" i="5"/>
  <c r="EK8" i="5"/>
  <c r="EJ8" i="5"/>
  <c r="EI8" i="5"/>
  <c r="EH8" i="5"/>
  <c r="EG8" i="5"/>
  <c r="EF8" i="5"/>
  <c r="EC8" i="5"/>
  <c r="EB8" i="5"/>
  <c r="EA8" i="5"/>
  <c r="DZ8" i="5"/>
  <c r="DY8" i="5"/>
  <c r="DX8" i="5"/>
  <c r="DU8" i="5"/>
  <c r="DT8" i="5"/>
  <c r="DS8" i="5"/>
  <c r="DR8" i="5"/>
  <c r="DQ8" i="5"/>
  <c r="DO8" i="5"/>
  <c r="DK8" i="5"/>
  <c r="DJ8" i="5"/>
  <c r="DI8" i="5"/>
  <c r="DH8" i="5"/>
  <c r="DG8" i="5"/>
  <c r="DF8" i="5"/>
  <c r="DB8" i="5"/>
  <c r="CZ8" i="5"/>
  <c r="CY8" i="5"/>
  <c r="CX8" i="5"/>
  <c r="CW8" i="5"/>
  <c r="CU8" i="5"/>
  <c r="CR8" i="5"/>
  <c r="CQ8" i="5"/>
  <c r="CO8" i="5"/>
  <c r="CN8" i="5"/>
  <c r="CM8" i="5"/>
  <c r="CL8" i="5"/>
  <c r="CH8" i="5"/>
  <c r="CG8" i="5"/>
  <c r="CF8" i="5"/>
  <c r="CE8" i="5"/>
  <c r="CD8" i="5"/>
  <c r="CC8" i="5"/>
  <c r="BZ8" i="5"/>
  <c r="BY8" i="5"/>
  <c r="BX8" i="5"/>
  <c r="BW8" i="5"/>
  <c r="BV8" i="5"/>
  <c r="BU8" i="5"/>
  <c r="BR8" i="5"/>
  <c r="BQ8" i="5"/>
  <c r="BP8" i="5"/>
  <c r="BO8" i="5"/>
  <c r="BN8" i="5"/>
  <c r="BM8" i="5"/>
  <c r="BJ8" i="5"/>
  <c r="BI8" i="5"/>
  <c r="BH8" i="5"/>
  <c r="BG8" i="5"/>
  <c r="BF8" i="5"/>
  <c r="BE8" i="5"/>
  <c r="BB8" i="5"/>
  <c r="BA8" i="5"/>
  <c r="AZ8" i="5"/>
  <c r="AY8" i="5"/>
  <c r="AX8" i="5"/>
  <c r="AW8" i="5"/>
  <c r="AT8" i="5"/>
  <c r="AS8" i="5"/>
  <c r="AR8" i="5"/>
  <c r="AQ8" i="5"/>
  <c r="AP8" i="5"/>
  <c r="AO8" i="5"/>
  <c r="AL8" i="5"/>
  <c r="AK8" i="5"/>
  <c r="AJ8" i="5"/>
  <c r="AI8" i="5"/>
  <c r="AH8" i="5"/>
  <c r="AG8" i="5"/>
  <c r="AD8" i="5"/>
  <c r="AC8" i="5"/>
  <c r="AB8" i="5"/>
  <c r="AA8" i="5"/>
  <c r="Z8" i="5"/>
  <c r="Y8" i="5"/>
  <c r="V8" i="5"/>
  <c r="U8" i="5"/>
  <c r="T8" i="5"/>
  <c r="S8" i="5"/>
  <c r="R8" i="5"/>
  <c r="Q8" i="5"/>
  <c r="K8" i="5"/>
  <c r="J8" i="5"/>
  <c r="I8" i="5"/>
  <c r="H8" i="5"/>
  <c r="G8" i="5"/>
  <c r="F8" i="5"/>
  <c r="M8" i="5"/>
  <c r="EL8" i="5" s="1"/>
  <c r="M7" i="5"/>
  <c r="EC7" i="5" s="1"/>
  <c r="EK6" i="5"/>
  <c r="EJ6" i="5"/>
  <c r="EG6" i="5"/>
  <c r="EF6" i="5"/>
  <c r="EE6" i="5"/>
  <c r="EC6" i="5"/>
  <c r="EB6" i="5"/>
  <c r="EA6" i="5"/>
  <c r="DX6" i="5"/>
  <c r="DW6" i="5"/>
  <c r="DU6" i="5"/>
  <c r="DT6" i="5"/>
  <c r="DS6" i="5"/>
  <c r="DR6" i="5"/>
  <c r="DM6" i="5"/>
  <c r="DK6" i="5"/>
  <c r="DJ6" i="5"/>
  <c r="DI6" i="5"/>
  <c r="DH6" i="5"/>
  <c r="DG6" i="5"/>
  <c r="DD6" i="5"/>
  <c r="DB6" i="5"/>
  <c r="CZ6" i="5"/>
  <c r="CY6" i="5"/>
  <c r="CX6" i="5"/>
  <c r="CW6" i="5"/>
  <c r="CS6" i="5"/>
  <c r="CR6" i="5"/>
  <c r="CQ6" i="5"/>
  <c r="CO6" i="5"/>
  <c r="CN6" i="5"/>
  <c r="CM6" i="5"/>
  <c r="CI6" i="5"/>
  <c r="CH6" i="5"/>
  <c r="CG6" i="5"/>
  <c r="CF6" i="5"/>
  <c r="CE6" i="5"/>
  <c r="CD6" i="5"/>
  <c r="CA6" i="5"/>
  <c r="BZ6" i="5"/>
  <c r="BY6" i="5"/>
  <c r="BX6" i="5"/>
  <c r="BW6" i="5"/>
  <c r="BV6" i="5"/>
  <c r="BS6" i="5"/>
  <c r="BR6" i="5"/>
  <c r="BQ6" i="5"/>
  <c r="BP6" i="5"/>
  <c r="BO6" i="5"/>
  <c r="BN6" i="5"/>
  <c r="BK6" i="5"/>
  <c r="BJ6" i="5"/>
  <c r="BI6" i="5"/>
  <c r="BH6" i="5"/>
  <c r="BG6" i="5"/>
  <c r="BF6" i="5"/>
  <c r="BC6" i="5"/>
  <c r="BB6" i="5"/>
  <c r="BA6" i="5"/>
  <c r="AZ6" i="5"/>
  <c r="AY6" i="5"/>
  <c r="AX6" i="5"/>
  <c r="AU6" i="5"/>
  <c r="AT6" i="5"/>
  <c r="AS6" i="5"/>
  <c r="AR6" i="5"/>
  <c r="AQ6" i="5"/>
  <c r="AP6" i="5"/>
  <c r="AM6" i="5"/>
  <c r="AL6" i="5"/>
  <c r="AK6" i="5"/>
  <c r="AJ6" i="5"/>
  <c r="AI6" i="5"/>
  <c r="AH6" i="5"/>
  <c r="AE6" i="5"/>
  <c r="AD6" i="5"/>
  <c r="AC6" i="5"/>
  <c r="AB6" i="5"/>
  <c r="AA6" i="5"/>
  <c r="Z6" i="5"/>
  <c r="W6" i="5"/>
  <c r="V6" i="5"/>
  <c r="U6" i="5"/>
  <c r="T6" i="5"/>
  <c r="S6" i="5"/>
  <c r="R6" i="5"/>
  <c r="L6" i="5"/>
  <c r="K6" i="5"/>
  <c r="J6" i="5"/>
  <c r="I6" i="5"/>
  <c r="H6" i="5"/>
  <c r="G6" i="5"/>
  <c r="M6" i="5"/>
  <c r="EI6" i="5" s="1"/>
  <c r="EL5" i="5"/>
  <c r="EK5" i="5"/>
  <c r="EJ5" i="5"/>
  <c r="EI5" i="5"/>
  <c r="EH5" i="5"/>
  <c r="EG5" i="5"/>
  <c r="ED5" i="5"/>
  <c r="EC5" i="5"/>
  <c r="EB5" i="5"/>
  <c r="EA5" i="5"/>
  <c r="DZ5" i="5"/>
  <c r="DY5" i="5"/>
  <c r="DV5" i="5"/>
  <c r="DU5" i="5"/>
  <c r="DT5" i="5"/>
  <c r="DS5" i="5"/>
  <c r="DR5" i="5"/>
  <c r="DQ5" i="5"/>
  <c r="DL5" i="5"/>
  <c r="DK5" i="5"/>
  <c r="DJ5" i="5"/>
  <c r="DI5" i="5"/>
  <c r="DH5" i="5"/>
  <c r="DG5" i="5"/>
  <c r="DD5" i="5"/>
  <c r="DB5" i="5"/>
  <c r="CZ5" i="5"/>
  <c r="CY5" i="5"/>
  <c r="CX5" i="5"/>
  <c r="CW5" i="5"/>
  <c r="CS5" i="5"/>
  <c r="CR5" i="5"/>
  <c r="CQ5" i="5"/>
  <c r="CO5" i="5"/>
  <c r="CN5" i="5"/>
  <c r="CM5" i="5"/>
  <c r="CI5" i="5"/>
  <c r="CH5" i="5"/>
  <c r="CG5" i="5"/>
  <c r="CF5" i="5"/>
  <c r="CE5" i="5"/>
  <c r="CD5" i="5"/>
  <c r="CA5" i="5"/>
  <c r="BZ5" i="5"/>
  <c r="BY5" i="5"/>
  <c r="BX5" i="5"/>
  <c r="BW5" i="5"/>
  <c r="BV5" i="5"/>
  <c r="BS5" i="5"/>
  <c r="BR5" i="5"/>
  <c r="BQ5" i="5"/>
  <c r="BP5" i="5"/>
  <c r="BO5" i="5"/>
  <c r="BN5" i="5"/>
  <c r="BK5" i="5"/>
  <c r="BJ5" i="5"/>
  <c r="BI5" i="5"/>
  <c r="BH5" i="5"/>
  <c r="BG5" i="5"/>
  <c r="BF5" i="5"/>
  <c r="BC5" i="5"/>
  <c r="BB5" i="5"/>
  <c r="BA5" i="5"/>
  <c r="AZ5" i="5"/>
  <c r="AY5" i="5"/>
  <c r="AX5" i="5"/>
  <c r="AU5" i="5"/>
  <c r="AT5" i="5"/>
  <c r="AS5" i="5"/>
  <c r="AR5" i="5"/>
  <c r="AQ5" i="5"/>
  <c r="AP5" i="5"/>
  <c r="AM5" i="5"/>
  <c r="AL5" i="5"/>
  <c r="AK5" i="5"/>
  <c r="AJ5" i="5"/>
  <c r="AI5" i="5"/>
  <c r="AH5" i="5"/>
  <c r="AE5" i="5"/>
  <c r="AD5" i="5"/>
  <c r="AC5" i="5"/>
  <c r="AB5" i="5"/>
  <c r="AA5" i="5"/>
  <c r="Z5" i="5"/>
  <c r="W5" i="5"/>
  <c r="V5" i="5"/>
  <c r="U5" i="5"/>
  <c r="T5" i="5"/>
  <c r="S5" i="5"/>
  <c r="R5" i="5"/>
  <c r="L5" i="5"/>
  <c r="K5" i="5"/>
  <c r="J5" i="5"/>
  <c r="I5" i="5"/>
  <c r="H5" i="5"/>
  <c r="G5" i="5"/>
  <c r="M5" i="5"/>
  <c r="EE5" i="5" s="1"/>
  <c r="EL4" i="5"/>
  <c r="EK4" i="5"/>
  <c r="EJ4" i="5"/>
  <c r="EI4" i="5"/>
  <c r="EH4" i="5"/>
  <c r="EG4" i="5"/>
  <c r="ED4" i="5"/>
  <c r="EC4" i="5"/>
  <c r="EB4" i="5"/>
  <c r="EA4" i="5"/>
  <c r="DZ4" i="5"/>
  <c r="DY4" i="5"/>
  <c r="DV4" i="5"/>
  <c r="DU4" i="5"/>
  <c r="DT4" i="5"/>
  <c r="DS4" i="5"/>
  <c r="DR4" i="5"/>
  <c r="DQ4" i="5"/>
  <c r="DL4" i="5"/>
  <c r="DK4" i="5"/>
  <c r="DJ4" i="5"/>
  <c r="DI4" i="5"/>
  <c r="DH4" i="5"/>
  <c r="DG4" i="5"/>
  <c r="DD4" i="5"/>
  <c r="DB4" i="5"/>
  <c r="CZ4" i="5"/>
  <c r="CY4" i="5"/>
  <c r="CX4" i="5"/>
  <c r="CW4" i="5"/>
  <c r="CS4" i="5"/>
  <c r="CR4" i="5"/>
  <c r="CQ4" i="5"/>
  <c r="CO4" i="5"/>
  <c r="CN4" i="5"/>
  <c r="CM4" i="5"/>
  <c r="CI4" i="5"/>
  <c r="CH4" i="5"/>
  <c r="CG4" i="5"/>
  <c r="CF4" i="5"/>
  <c r="CE4" i="5"/>
  <c r="CD4" i="5"/>
  <c r="CA4" i="5"/>
  <c r="BZ4" i="5"/>
  <c r="BY4" i="5"/>
  <c r="BX4" i="5"/>
  <c r="BW4" i="5"/>
  <c r="BV4" i="5"/>
  <c r="BS4" i="5"/>
  <c r="BR4" i="5"/>
  <c r="BQ4" i="5"/>
  <c r="BP4" i="5"/>
  <c r="BO4" i="5"/>
  <c r="BN4" i="5"/>
  <c r="BK4" i="5"/>
  <c r="BJ4" i="5"/>
  <c r="BI4" i="5"/>
  <c r="BH4" i="5"/>
  <c r="BG4" i="5"/>
  <c r="BF4" i="5"/>
  <c r="BC4" i="5"/>
  <c r="BB4" i="5"/>
  <c r="BA4" i="5"/>
  <c r="AZ4" i="5"/>
  <c r="AY4" i="5"/>
  <c r="AX4" i="5"/>
  <c r="AU4" i="5"/>
  <c r="AT4" i="5"/>
  <c r="AS4" i="5"/>
  <c r="AR4" i="5"/>
  <c r="AQ4" i="5"/>
  <c r="AP4" i="5"/>
  <c r="AM4" i="5"/>
  <c r="AL4" i="5"/>
  <c r="AK4" i="5"/>
  <c r="AJ4" i="5"/>
  <c r="AI4" i="5"/>
  <c r="AH4" i="5"/>
  <c r="AE4" i="5"/>
  <c r="AD4" i="5"/>
  <c r="AC4" i="5"/>
  <c r="AB4" i="5"/>
  <c r="AA4" i="5"/>
  <c r="Z4" i="5"/>
  <c r="W4" i="5"/>
  <c r="V4" i="5"/>
  <c r="U4" i="5"/>
  <c r="T4" i="5"/>
  <c r="S4" i="5"/>
  <c r="R4" i="5"/>
  <c r="L4" i="5"/>
  <c r="K4" i="5"/>
  <c r="J4" i="5"/>
  <c r="I4" i="5"/>
  <c r="H4" i="5"/>
  <c r="G4" i="5"/>
  <c r="M4" i="5"/>
  <c r="EE4" i="5" s="1"/>
  <c r="EL3" i="5"/>
  <c r="EK3" i="5"/>
  <c r="EJ3" i="5"/>
  <c r="EI3" i="5"/>
  <c r="EH3" i="5"/>
  <c r="EG3" i="5"/>
  <c r="ED3" i="5"/>
  <c r="EC3" i="5"/>
  <c r="EB3" i="5"/>
  <c r="EA3" i="5"/>
  <c r="DZ3" i="5"/>
  <c r="DY3" i="5"/>
  <c r="DV3" i="5"/>
  <c r="DU3" i="5"/>
  <c r="DT3" i="5"/>
  <c r="DS3" i="5"/>
  <c r="DR3" i="5"/>
  <c r="DQ3" i="5"/>
  <c r="DL3" i="5"/>
  <c r="DK3" i="5"/>
  <c r="DJ3" i="5"/>
  <c r="DI3" i="5"/>
  <c r="DH3" i="5"/>
  <c r="DG3" i="5"/>
  <c r="DD3" i="5"/>
  <c r="DB3" i="5"/>
  <c r="CZ3" i="5"/>
  <c r="CY3" i="5"/>
  <c r="CX3" i="5"/>
  <c r="CW3" i="5"/>
  <c r="CS3" i="5"/>
  <c r="CR3" i="5"/>
  <c r="CQ3" i="5"/>
  <c r="CO3" i="5"/>
  <c r="CN3" i="5"/>
  <c r="CM3" i="5"/>
  <c r="CI3" i="5"/>
  <c r="CH3" i="5"/>
  <c r="CG3" i="5"/>
  <c r="CF3" i="5"/>
  <c r="CE3" i="5"/>
  <c r="CD3" i="5"/>
  <c r="CA3" i="5"/>
  <c r="BZ3" i="5"/>
  <c r="BY3" i="5"/>
  <c r="BX3" i="5"/>
  <c r="BW3" i="5"/>
  <c r="BV3" i="5"/>
  <c r="BS3" i="5"/>
  <c r="BR3" i="5"/>
  <c r="BQ3" i="5"/>
  <c r="BP3" i="5"/>
  <c r="BO3" i="5"/>
  <c r="BN3" i="5"/>
  <c r="BK3" i="5"/>
  <c r="BJ3" i="5"/>
  <c r="BI3" i="5"/>
  <c r="BH3" i="5"/>
  <c r="BG3" i="5"/>
  <c r="BF3" i="5"/>
  <c r="BC3" i="5"/>
  <c r="BB3" i="5"/>
  <c r="BA3" i="5"/>
  <c r="AZ3" i="5"/>
  <c r="AY3" i="5"/>
  <c r="AX3" i="5"/>
  <c r="AU3" i="5"/>
  <c r="AT3" i="5"/>
  <c r="AS3" i="5"/>
  <c r="AR3" i="5"/>
  <c r="AQ3" i="5"/>
  <c r="AP3" i="5"/>
  <c r="AM3" i="5"/>
  <c r="AL3" i="5"/>
  <c r="AK3" i="5"/>
  <c r="AJ3" i="5"/>
  <c r="AI3" i="5"/>
  <c r="AH3" i="5"/>
  <c r="AE3" i="5"/>
  <c r="AD3" i="5"/>
  <c r="AC3" i="5"/>
  <c r="AB3" i="5"/>
  <c r="AA3" i="5"/>
  <c r="Z3" i="5"/>
  <c r="W3" i="5"/>
  <c r="V3" i="5"/>
  <c r="U3" i="5"/>
  <c r="T3" i="5"/>
  <c r="S3" i="5"/>
  <c r="R3" i="5"/>
  <c r="L3" i="5"/>
  <c r="K3" i="5"/>
  <c r="J3" i="5"/>
  <c r="I3" i="5"/>
  <c r="H3" i="5"/>
  <c r="G3" i="5"/>
  <c r="M3" i="5"/>
  <c r="EE3" i="5" s="1"/>
  <c r="C201" i="8" l="1"/>
  <c r="E201" i="8"/>
  <c r="F201" i="8" s="1"/>
  <c r="D201" i="8"/>
  <c r="C313" i="8"/>
  <c r="E313" i="8"/>
  <c r="F313" i="8" s="1"/>
  <c r="D313" i="8"/>
  <c r="E286" i="8"/>
  <c r="F286" i="8" s="1"/>
  <c r="C286" i="8"/>
  <c r="D286" i="8"/>
  <c r="C187" i="8"/>
  <c r="E187" i="8"/>
  <c r="F187" i="8" s="1"/>
  <c r="D187" i="8"/>
  <c r="D307" i="8"/>
  <c r="C307" i="8"/>
  <c r="E307" i="8"/>
  <c r="F307" i="8" s="1"/>
  <c r="D332" i="8"/>
  <c r="C332" i="8"/>
  <c r="E332" i="8"/>
  <c r="F332" i="8" s="1"/>
  <c r="C196" i="8"/>
  <c r="E196" i="8"/>
  <c r="F196" i="8" s="1"/>
  <c r="D196" i="8"/>
  <c r="C292" i="8"/>
  <c r="E292" i="8"/>
  <c r="F292" i="8" s="1"/>
  <c r="D292" i="8"/>
  <c r="E230" i="8"/>
  <c r="F230" i="8" s="1"/>
  <c r="C230" i="8"/>
  <c r="E238" i="8"/>
  <c r="F238" i="8" s="1"/>
  <c r="C238" i="8"/>
  <c r="G238" i="8" s="1"/>
  <c r="E319" i="8"/>
  <c r="F319" i="8" s="1"/>
  <c r="C319" i="8"/>
  <c r="C329" i="8"/>
  <c r="E329" i="8"/>
  <c r="F329" i="8" s="1"/>
  <c r="D329" i="8"/>
  <c r="J25" i="6"/>
  <c r="B194" i="8"/>
  <c r="K31" i="6"/>
  <c r="B200" i="8"/>
  <c r="C200" i="8" s="1"/>
  <c r="H200" i="8" s="1"/>
  <c r="C208" i="8"/>
  <c r="E208" i="8"/>
  <c r="F208" i="8" s="1"/>
  <c r="D208" i="8"/>
  <c r="C216" i="8"/>
  <c r="E216" i="8"/>
  <c r="F216" i="8" s="1"/>
  <c r="E224" i="8"/>
  <c r="F224" i="8" s="1"/>
  <c r="D224" i="8"/>
  <c r="C224" i="8"/>
  <c r="H224" i="8" s="1"/>
  <c r="E232" i="8"/>
  <c r="F232" i="8" s="1"/>
  <c r="D232" i="8"/>
  <c r="C240" i="8"/>
  <c r="H240" i="8" s="1"/>
  <c r="E240" i="8"/>
  <c r="F240" i="8" s="1"/>
  <c r="D240" i="8"/>
  <c r="K87" i="6"/>
  <c r="B256" i="8"/>
  <c r="C266" i="8"/>
  <c r="E266" i="8"/>
  <c r="F266" i="8" s="1"/>
  <c r="D266" i="8"/>
  <c r="K107" i="6"/>
  <c r="E20" i="6" s="1"/>
  <c r="B276" i="8"/>
  <c r="C285" i="8"/>
  <c r="E285" i="8"/>
  <c r="F285" i="8" s="1"/>
  <c r="D285" i="8"/>
  <c r="B342" i="8"/>
  <c r="D178" i="8"/>
  <c r="C178" i="8"/>
  <c r="C296" i="8"/>
  <c r="E296" i="8"/>
  <c r="F296" i="8" s="1"/>
  <c r="D296" i="8"/>
  <c r="C304" i="8"/>
  <c r="E304" i="8"/>
  <c r="F304" i="8" s="1"/>
  <c r="C312" i="8"/>
  <c r="E312" i="8"/>
  <c r="F312" i="8" s="1"/>
  <c r="D312" i="8"/>
  <c r="C321" i="8"/>
  <c r="E321" i="8"/>
  <c r="F321" i="8" s="1"/>
  <c r="D321" i="8"/>
  <c r="E178" i="8"/>
  <c r="F178" i="8" s="1"/>
  <c r="C232" i="8"/>
  <c r="G232" i="8" s="1"/>
  <c r="B257" i="8"/>
  <c r="E225" i="8"/>
  <c r="F225" i="8" s="1"/>
  <c r="C225" i="8"/>
  <c r="H225" i="8" s="1"/>
  <c r="D225" i="8"/>
  <c r="E233" i="8"/>
  <c r="F233" i="8" s="1"/>
  <c r="C233" i="8"/>
  <c r="D233" i="8"/>
  <c r="E241" i="8"/>
  <c r="F241" i="8" s="1"/>
  <c r="C241" i="8"/>
  <c r="K80" i="6"/>
  <c r="B249" i="8"/>
  <c r="K98" i="6"/>
  <c r="B267" i="8"/>
  <c r="K109" i="6"/>
  <c r="B278" i="8"/>
  <c r="E297" i="8"/>
  <c r="F297" i="8" s="1"/>
  <c r="D297" i="8"/>
  <c r="C305" i="8"/>
  <c r="E305" i="8"/>
  <c r="F305" i="8" s="1"/>
  <c r="D305" i="8"/>
  <c r="D322" i="8"/>
  <c r="C322" i="8"/>
  <c r="C330" i="8"/>
  <c r="E330" i="8"/>
  <c r="F330" i="8" s="1"/>
  <c r="D330" i="8"/>
  <c r="K48" i="6"/>
  <c r="B217" i="8"/>
  <c r="J110" i="6"/>
  <c r="B279" i="8"/>
  <c r="K118" i="6"/>
  <c r="B287" i="8"/>
  <c r="E287" i="8" s="1"/>
  <c r="F287" i="8" s="1"/>
  <c r="B189" i="8"/>
  <c r="C189" i="8" s="1"/>
  <c r="H189" i="8" s="1"/>
  <c r="D216" i="8"/>
  <c r="C263" i="8"/>
  <c r="C294" i="8"/>
  <c r="K24" i="6"/>
  <c r="B193" i="8"/>
  <c r="E202" i="8"/>
  <c r="F202" i="8" s="1"/>
  <c r="C202" i="8"/>
  <c r="J26" i="6"/>
  <c r="B195" i="8"/>
  <c r="J34" i="6"/>
  <c r="B203" i="8"/>
  <c r="J42" i="6"/>
  <c r="B211" i="8"/>
  <c r="D219" i="8"/>
  <c r="C219" i="8"/>
  <c r="G219" i="8" s="1"/>
  <c r="E219" i="8"/>
  <c r="F219" i="8" s="1"/>
  <c r="J58" i="6"/>
  <c r="B227" i="8"/>
  <c r="E235" i="8"/>
  <c r="F235" i="8" s="1"/>
  <c r="D235" i="8"/>
  <c r="C235" i="8"/>
  <c r="H235" i="8" s="1"/>
  <c r="C243" i="8"/>
  <c r="G243" i="8" s="1"/>
  <c r="E243" i="8"/>
  <c r="F243" i="8" s="1"/>
  <c r="D243" i="8"/>
  <c r="J82" i="6"/>
  <c r="B251" i="8"/>
  <c r="D260" i="8"/>
  <c r="E260" i="8"/>
  <c r="F260" i="8" s="1"/>
  <c r="J100" i="6"/>
  <c r="B269" i="8"/>
  <c r="J111" i="6"/>
  <c r="B280" i="8"/>
  <c r="D289" i="8"/>
  <c r="C289" i="8"/>
  <c r="E289" i="8"/>
  <c r="F289" i="8" s="1"/>
  <c r="C299" i="8"/>
  <c r="E299" i="8"/>
  <c r="F299" i="8" s="1"/>
  <c r="D299" i="8"/>
  <c r="D316" i="8"/>
  <c r="E316" i="8"/>
  <c r="F316" i="8" s="1"/>
  <c r="C316" i="8"/>
  <c r="D324" i="8"/>
  <c r="C324" i="8"/>
  <c r="E324" i="8"/>
  <c r="F324" i="8" s="1"/>
  <c r="D175" i="8"/>
  <c r="D241" i="8"/>
  <c r="B268" i="8"/>
  <c r="D268" i="8" s="1"/>
  <c r="C297" i="8"/>
  <c r="E322" i="8"/>
  <c r="F322" i="8" s="1"/>
  <c r="J17" i="6"/>
  <c r="B186" i="8"/>
  <c r="K19" i="6"/>
  <c r="B188" i="8"/>
  <c r="K35" i="6"/>
  <c r="B204" i="8"/>
  <c r="K51" i="6"/>
  <c r="B220" i="8"/>
  <c r="C228" i="8"/>
  <c r="H228" i="8" s="1"/>
  <c r="E228" i="8"/>
  <c r="F228" i="8" s="1"/>
  <c r="D228" i="8"/>
  <c r="C236" i="8"/>
  <c r="G236" i="8" s="1"/>
  <c r="E236" i="8"/>
  <c r="F236" i="8" s="1"/>
  <c r="D236" i="8"/>
  <c r="K83" i="6"/>
  <c r="B252" i="8"/>
  <c r="C261" i="8"/>
  <c r="E261" i="8"/>
  <c r="F261" i="8" s="1"/>
  <c r="D261" i="8"/>
  <c r="K102" i="6"/>
  <c r="B271" i="8"/>
  <c r="K112" i="6"/>
  <c r="B281" i="8"/>
  <c r="D308" i="8"/>
  <c r="C308" i="8"/>
  <c r="E308" i="8"/>
  <c r="F308" i="8" s="1"/>
  <c r="D317" i="8"/>
  <c r="C317" i="8"/>
  <c r="E317" i="8"/>
  <c r="F317" i="8" s="1"/>
  <c r="D325" i="8"/>
  <c r="C325" i="8"/>
  <c r="C333" i="8"/>
  <c r="E333" i="8"/>
  <c r="F333" i="8" s="1"/>
  <c r="E175" i="8"/>
  <c r="F175" i="8" s="1"/>
  <c r="B244" i="8"/>
  <c r="E300" i="8"/>
  <c r="F300" i="8" s="1"/>
  <c r="E325" i="8"/>
  <c r="F325" i="8" s="1"/>
  <c r="E209" i="8"/>
  <c r="F209" i="8" s="1"/>
  <c r="C209" i="8"/>
  <c r="G209" i="8" s="1"/>
  <c r="K28" i="6"/>
  <c r="B197" i="8"/>
  <c r="C197" i="8" s="1"/>
  <c r="H197" i="8" s="1"/>
  <c r="J36" i="6"/>
  <c r="B205" i="8"/>
  <c r="C205" i="8" s="1"/>
  <c r="H205" i="8" s="1"/>
  <c r="K44" i="6"/>
  <c r="B213" i="8"/>
  <c r="K52" i="6"/>
  <c r="B221" i="8"/>
  <c r="C221" i="8" s="1"/>
  <c r="K60" i="6"/>
  <c r="B229" i="8"/>
  <c r="K68" i="6"/>
  <c r="B237" i="8"/>
  <c r="K76" i="6"/>
  <c r="B245" i="8"/>
  <c r="D245" i="8" s="1"/>
  <c r="C262" i="8"/>
  <c r="E262" i="8"/>
  <c r="F262" i="8" s="1"/>
  <c r="D262" i="8"/>
  <c r="K103" i="6"/>
  <c r="B272" i="8"/>
  <c r="K113" i="6"/>
  <c r="B282" i="8"/>
  <c r="C293" i="8"/>
  <c r="E293" i="8"/>
  <c r="F293" i="8" s="1"/>
  <c r="D293" i="8"/>
  <c r="C301" i="8"/>
  <c r="E301" i="8"/>
  <c r="F301" i="8" s="1"/>
  <c r="D301" i="8"/>
  <c r="C309" i="8"/>
  <c r="E309" i="8"/>
  <c r="F309" i="8" s="1"/>
  <c r="C318" i="8"/>
  <c r="E318" i="8"/>
  <c r="F318" i="8" s="1"/>
  <c r="D318" i="8"/>
  <c r="C326" i="8"/>
  <c r="E326" i="8"/>
  <c r="F326" i="8" s="1"/>
  <c r="D326" i="8"/>
  <c r="C334" i="8"/>
  <c r="D334" i="8"/>
  <c r="B248" i="8"/>
  <c r="D304" i="8"/>
  <c r="J41" i="6"/>
  <c r="B210" i="8"/>
  <c r="C210" i="8" s="1"/>
  <c r="H210" i="8" s="1"/>
  <c r="E246" i="8"/>
  <c r="F246" i="8" s="1"/>
  <c r="C246" i="8"/>
  <c r="E254" i="8"/>
  <c r="F254" i="8" s="1"/>
  <c r="C254" i="8"/>
  <c r="G254" i="8" s="1"/>
  <c r="E273" i="8"/>
  <c r="F273" i="8" s="1"/>
  <c r="C273" i="8"/>
  <c r="E283" i="8"/>
  <c r="F283" i="8" s="1"/>
  <c r="C283" i="8"/>
  <c r="E302" i="8"/>
  <c r="F302" i="8" s="1"/>
  <c r="C302" i="8"/>
  <c r="E310" i="8"/>
  <c r="F310" i="8" s="1"/>
  <c r="C310" i="8"/>
  <c r="E327" i="8"/>
  <c r="F327" i="8" s="1"/>
  <c r="C327" i="8"/>
  <c r="E335" i="8"/>
  <c r="F335" i="8" s="1"/>
  <c r="C335" i="8"/>
  <c r="E177" i="8"/>
  <c r="F177" i="8" s="1"/>
  <c r="B250" i="8"/>
  <c r="D250" i="8" s="1"/>
  <c r="J49" i="6"/>
  <c r="B218" i="8"/>
  <c r="K115" i="6"/>
  <c r="B284" i="8"/>
  <c r="C284" i="8" s="1"/>
  <c r="C177" i="8"/>
  <c r="B253" i="8"/>
  <c r="C253" i="8" s="1"/>
  <c r="D309" i="8"/>
  <c r="E334" i="8"/>
  <c r="F334" i="8" s="1"/>
  <c r="C180" i="8"/>
  <c r="H286" i="8" s="1"/>
  <c r="B182" i="8"/>
  <c r="E180" i="8"/>
  <c r="F180" i="8" s="1"/>
  <c r="D180" i="8"/>
  <c r="G210" i="8"/>
  <c r="H192" i="8"/>
  <c r="G192" i="8"/>
  <c r="C323" i="8"/>
  <c r="E323" i="8"/>
  <c r="F323" i="8" s="1"/>
  <c r="D323" i="8"/>
  <c r="C198" i="8"/>
  <c r="E198" i="8"/>
  <c r="F198" i="8" s="1"/>
  <c r="D198" i="8"/>
  <c r="C311" i="8"/>
  <c r="E311" i="8"/>
  <c r="F311" i="8" s="1"/>
  <c r="D311" i="8"/>
  <c r="H202" i="8"/>
  <c r="G202" i="8"/>
  <c r="C190" i="8"/>
  <c r="E190" i="8"/>
  <c r="F190" i="8" s="1"/>
  <c r="D190" i="8"/>
  <c r="C206" i="8"/>
  <c r="E206" i="8"/>
  <c r="F206" i="8" s="1"/>
  <c r="D206" i="8"/>
  <c r="C181" i="8"/>
  <c r="C191" i="8"/>
  <c r="C199" i="8"/>
  <c r="C207" i="8"/>
  <c r="H209" i="8"/>
  <c r="H222" i="8"/>
  <c r="G222" i="8"/>
  <c r="C303" i="8"/>
  <c r="E303" i="8"/>
  <c r="F303" i="8" s="1"/>
  <c r="D303" i="8"/>
  <c r="C315" i="8"/>
  <c r="E315" i="8"/>
  <c r="F315" i="8" s="1"/>
  <c r="H196" i="8"/>
  <c r="C223" i="8"/>
  <c r="E223" i="8"/>
  <c r="F223" i="8" s="1"/>
  <c r="D223" i="8"/>
  <c r="C306" i="8"/>
  <c r="E306" i="8"/>
  <c r="F306" i="8" s="1"/>
  <c r="G208" i="8"/>
  <c r="B343" i="8"/>
  <c r="B351" i="8"/>
  <c r="D192" i="8"/>
  <c r="D200" i="8"/>
  <c r="H201" i="8"/>
  <c r="G201" i="8"/>
  <c r="H212" i="8"/>
  <c r="E214" i="8"/>
  <c r="F214" i="8" s="1"/>
  <c r="D214" i="8"/>
  <c r="H230" i="8"/>
  <c r="G230" i="8"/>
  <c r="G235" i="8"/>
  <c r="G260" i="8"/>
  <c r="H260" i="8"/>
  <c r="C295" i="8"/>
  <c r="E295" i="8"/>
  <c r="F295" i="8" s="1"/>
  <c r="D295" i="8"/>
  <c r="C298" i="8"/>
  <c r="E298" i="8"/>
  <c r="F298" i="8" s="1"/>
  <c r="G212" i="8"/>
  <c r="D179" i="8"/>
  <c r="E192" i="8"/>
  <c r="F192" i="8" s="1"/>
  <c r="D212" i="8"/>
  <c r="H221" i="8"/>
  <c r="G221" i="8"/>
  <c r="C226" i="8"/>
  <c r="E226" i="8"/>
  <c r="F226" i="8" s="1"/>
  <c r="C231" i="8"/>
  <c r="E231" i="8"/>
  <c r="F231" i="8" s="1"/>
  <c r="D231" i="8"/>
  <c r="H233" i="8"/>
  <c r="G233" i="8"/>
  <c r="H236" i="8"/>
  <c r="H238" i="8"/>
  <c r="H243" i="8"/>
  <c r="H261" i="8"/>
  <c r="H263" i="8"/>
  <c r="G263" i="8"/>
  <c r="H273" i="8"/>
  <c r="G273" i="8"/>
  <c r="D284" i="8"/>
  <c r="C287" i="8"/>
  <c r="D298" i="8"/>
  <c r="B350" i="8"/>
  <c r="G216" i="8"/>
  <c r="D176" i="8"/>
  <c r="E179" i="8"/>
  <c r="F179" i="8" s="1"/>
  <c r="G187" i="8"/>
  <c r="H187" i="8"/>
  <c r="E189" i="8"/>
  <c r="F189" i="8" s="1"/>
  <c r="D194" i="8"/>
  <c r="E197" i="8"/>
  <c r="F197" i="8" s="1"/>
  <c r="D202" i="8"/>
  <c r="E212" i="8"/>
  <c r="F212" i="8" s="1"/>
  <c r="C214" i="8"/>
  <c r="H216" i="8"/>
  <c r="D226" i="8"/>
  <c r="C234" i="8"/>
  <c r="E234" i="8"/>
  <c r="F234" i="8" s="1"/>
  <c r="C239" i="8"/>
  <c r="E239" i="8"/>
  <c r="F239" i="8" s="1"/>
  <c r="D239" i="8"/>
  <c r="H241" i="8"/>
  <c r="G241" i="8"/>
  <c r="H246" i="8"/>
  <c r="G246" i="8"/>
  <c r="C265" i="8"/>
  <c r="E265" i="8"/>
  <c r="F265" i="8" s="1"/>
  <c r="D265" i="8"/>
  <c r="C268" i="8"/>
  <c r="E268" i="8"/>
  <c r="F268" i="8" s="1"/>
  <c r="C274" i="8"/>
  <c r="E274" i="8"/>
  <c r="F274" i="8" s="1"/>
  <c r="D274" i="8"/>
  <c r="C279" i="8"/>
  <c r="E279" i="8"/>
  <c r="F279" i="8" s="1"/>
  <c r="D287" i="8"/>
  <c r="E176" i="8"/>
  <c r="F176" i="8" s="1"/>
  <c r="D181" i="8"/>
  <c r="D191" i="8"/>
  <c r="D199" i="8"/>
  <c r="D207" i="8"/>
  <c r="H208" i="8"/>
  <c r="C215" i="8"/>
  <c r="D215" i="8"/>
  <c r="D234" i="8"/>
  <c r="C242" i="8"/>
  <c r="E242" i="8"/>
  <c r="F242" i="8" s="1"/>
  <c r="C247" i="8"/>
  <c r="E247" i="8"/>
  <c r="F247" i="8" s="1"/>
  <c r="D247" i="8"/>
  <c r="C255" i="8"/>
  <c r="E255" i="8"/>
  <c r="F255" i="8" s="1"/>
  <c r="D255" i="8"/>
  <c r="C259" i="8"/>
  <c r="E259" i="8"/>
  <c r="F259" i="8" s="1"/>
  <c r="D279" i="8"/>
  <c r="C331" i="8"/>
  <c r="E331" i="8"/>
  <c r="F331" i="8" s="1"/>
  <c r="D331" i="8"/>
  <c r="C179" i="8"/>
  <c r="E222" i="8"/>
  <c r="F222" i="8" s="1"/>
  <c r="D222" i="8"/>
  <c r="C250" i="8"/>
  <c r="E250" i="8"/>
  <c r="F250" i="8" s="1"/>
  <c r="H262" i="8"/>
  <c r="G262" i="8"/>
  <c r="C320" i="8"/>
  <c r="E320" i="8"/>
  <c r="F320" i="8" s="1"/>
  <c r="D320" i="8"/>
  <c r="G196" i="8"/>
  <c r="G228" i="8"/>
  <c r="G261" i="8"/>
  <c r="D328" i="8"/>
  <c r="D336" i="8"/>
  <c r="D300" i="8"/>
  <c r="E328" i="8"/>
  <c r="F328" i="8" s="1"/>
  <c r="D333" i="8"/>
  <c r="E336" i="8"/>
  <c r="F336" i="8" s="1"/>
  <c r="D230" i="8"/>
  <c r="D238" i="8"/>
  <c r="D246" i="8"/>
  <c r="D254" i="8"/>
  <c r="D263" i="8"/>
  <c r="D273" i="8"/>
  <c r="D283" i="8"/>
  <c r="D294" i="8"/>
  <c r="D302" i="8"/>
  <c r="D310" i="8"/>
  <c r="D319" i="8"/>
  <c r="D327" i="8"/>
  <c r="D335" i="8"/>
  <c r="K23" i="6"/>
  <c r="K97" i="6"/>
  <c r="J65" i="6"/>
  <c r="K59" i="6"/>
  <c r="K67" i="6"/>
  <c r="K93" i="6"/>
  <c r="J33" i="6"/>
  <c r="K63" i="6"/>
  <c r="K39" i="6"/>
  <c r="K116" i="6"/>
  <c r="K32" i="6"/>
  <c r="K27" i="6"/>
  <c r="K72" i="6"/>
  <c r="J50" i="6"/>
  <c r="J74" i="6"/>
  <c r="J57" i="6"/>
  <c r="K43" i="6"/>
  <c r="K56" i="6"/>
  <c r="K71" i="6"/>
  <c r="K92" i="6"/>
  <c r="J66" i="6"/>
  <c r="K47" i="6"/>
  <c r="J73" i="6"/>
  <c r="K55" i="6"/>
  <c r="J91" i="6"/>
  <c r="K120" i="6"/>
  <c r="K40" i="6"/>
  <c r="J18" i="6"/>
  <c r="C67" i="6"/>
  <c r="B169" i="8" s="1"/>
  <c r="K64" i="6"/>
  <c r="K117" i="6"/>
  <c r="J90" i="6"/>
  <c r="K17" i="6"/>
  <c r="K36" i="6"/>
  <c r="K25" i="6"/>
  <c r="K33" i="6"/>
  <c r="J43" i="6"/>
  <c r="J51" i="6"/>
  <c r="J19" i="6"/>
  <c r="J24" i="6"/>
  <c r="J20" i="6"/>
  <c r="J28" i="6"/>
  <c r="K41" i="6"/>
  <c r="K49" i="6"/>
  <c r="K57" i="6"/>
  <c r="K65" i="6"/>
  <c r="K73" i="6"/>
  <c r="K81" i="6"/>
  <c r="K90" i="6"/>
  <c r="K99" i="6"/>
  <c r="K110" i="6"/>
  <c r="C65" i="6"/>
  <c r="B167" i="8" s="1"/>
  <c r="C53" i="6"/>
  <c r="B155" i="8" s="1"/>
  <c r="J59" i="6"/>
  <c r="J67" i="6"/>
  <c r="J75" i="6"/>
  <c r="J83" i="6"/>
  <c r="J92" i="6"/>
  <c r="J102" i="6"/>
  <c r="J112" i="6"/>
  <c r="C61" i="6"/>
  <c r="B163" i="8" s="1"/>
  <c r="J35" i="6"/>
  <c r="J40" i="6"/>
  <c r="J48" i="6"/>
  <c r="J56" i="6"/>
  <c r="J64" i="6"/>
  <c r="J72" i="6"/>
  <c r="J80" i="6"/>
  <c r="J88" i="6"/>
  <c r="J98" i="6"/>
  <c r="J109" i="6"/>
  <c r="C49" i="6"/>
  <c r="B151" i="8" s="1"/>
  <c r="J27" i="6"/>
  <c r="J32" i="6"/>
  <c r="J44" i="6"/>
  <c r="J52" i="6"/>
  <c r="J60" i="6"/>
  <c r="J68" i="6"/>
  <c r="J76" i="6"/>
  <c r="J84" i="6"/>
  <c r="J93" i="6"/>
  <c r="J103" i="6"/>
  <c r="J113" i="6"/>
  <c r="C69" i="6"/>
  <c r="B171" i="8" s="1"/>
  <c r="C57" i="6"/>
  <c r="B159" i="8" s="1"/>
  <c r="AR7" i="5"/>
  <c r="F7" i="5"/>
  <c r="AJ7" i="5"/>
  <c r="BB7" i="5"/>
  <c r="CW7" i="5"/>
  <c r="EG7" i="5"/>
  <c r="T7" i="5"/>
  <c r="AV7" i="5"/>
  <c r="BP7" i="5"/>
  <c r="CM7" i="5"/>
  <c r="EI7" i="5"/>
  <c r="AN10" i="5"/>
  <c r="BK10" i="5"/>
  <c r="CK10" i="5"/>
  <c r="DQ10" i="5"/>
  <c r="CD11" i="5"/>
  <c r="EF13" i="5"/>
  <c r="DX13" i="5"/>
  <c r="DO13" i="5"/>
  <c r="DF13" i="5"/>
  <c r="CU13" i="5"/>
  <c r="CL13" i="5"/>
  <c r="CC13" i="5"/>
  <c r="BU13" i="5"/>
  <c r="BM13" i="5"/>
  <c r="BE13" i="5"/>
  <c r="AW13" i="5"/>
  <c r="AO13" i="5"/>
  <c r="AG13" i="5"/>
  <c r="Y13" i="5"/>
  <c r="Q13" i="5"/>
  <c r="F13" i="5"/>
  <c r="EE13" i="5"/>
  <c r="DV13" i="5"/>
  <c r="DK13" i="5"/>
  <c r="CZ13" i="5"/>
  <c r="CO13" i="5"/>
  <c r="CE13" i="5"/>
  <c r="BV13" i="5"/>
  <c r="BL13" i="5"/>
  <c r="BC13" i="5"/>
  <c r="AT13" i="5"/>
  <c r="AK13" i="5"/>
  <c r="AB13" i="5"/>
  <c r="S13" i="5"/>
  <c r="G13" i="5"/>
  <c r="EG13" i="5"/>
  <c r="DW13" i="5"/>
  <c r="DL13" i="5"/>
  <c r="DB13" i="5"/>
  <c r="CQ13" i="5"/>
  <c r="CF13" i="5"/>
  <c r="BW13" i="5"/>
  <c r="BN13" i="5"/>
  <c r="BD13" i="5"/>
  <c r="AU13" i="5"/>
  <c r="AL13" i="5"/>
  <c r="AC13" i="5"/>
  <c r="T13" i="5"/>
  <c r="H13" i="5"/>
  <c r="AH13" i="5"/>
  <c r="BG13" i="5"/>
  <c r="DU13" i="5"/>
  <c r="CK14" i="5"/>
  <c r="BK16" i="5"/>
  <c r="F3" i="5"/>
  <c r="Q3" i="5"/>
  <c r="Y3" i="5"/>
  <c r="AG3" i="5"/>
  <c r="AO3" i="5"/>
  <c r="AW3" i="5"/>
  <c r="BE3" i="5"/>
  <c r="BM3" i="5"/>
  <c r="BU3" i="5"/>
  <c r="CC3" i="5"/>
  <c r="CL3" i="5"/>
  <c r="CU3" i="5"/>
  <c r="DF3" i="5"/>
  <c r="DO3" i="5"/>
  <c r="DX3" i="5"/>
  <c r="EF3" i="5"/>
  <c r="F4" i="5"/>
  <c r="Q4" i="5"/>
  <c r="Y4" i="5"/>
  <c r="AG4" i="5"/>
  <c r="AO4" i="5"/>
  <c r="AW4" i="5"/>
  <c r="BE4" i="5"/>
  <c r="BM4" i="5"/>
  <c r="BU4" i="5"/>
  <c r="CC4" i="5"/>
  <c r="CL4" i="5"/>
  <c r="CU4" i="5"/>
  <c r="DF4" i="5"/>
  <c r="DO4" i="5"/>
  <c r="DX4" i="5"/>
  <c r="EF4" i="5"/>
  <c r="F5" i="5"/>
  <c r="Q5" i="5"/>
  <c r="Y5" i="5"/>
  <c r="AG5" i="5"/>
  <c r="AO5" i="5"/>
  <c r="AW5" i="5"/>
  <c r="BE5" i="5"/>
  <c r="BM5" i="5"/>
  <c r="BU5" i="5"/>
  <c r="CC5" i="5"/>
  <c r="CL5" i="5"/>
  <c r="CU5" i="5"/>
  <c r="DF5" i="5"/>
  <c r="DO5" i="5"/>
  <c r="DX5" i="5"/>
  <c r="EF5" i="5"/>
  <c r="F6" i="5"/>
  <c r="Q6" i="5"/>
  <c r="Y6" i="5"/>
  <c r="AG6" i="5"/>
  <c r="AO6" i="5"/>
  <c r="AW6" i="5"/>
  <c r="BE6" i="5"/>
  <c r="BM6" i="5"/>
  <c r="BU6" i="5"/>
  <c r="CC6" i="5"/>
  <c r="CL6" i="5"/>
  <c r="CU6" i="5"/>
  <c r="DF6" i="5"/>
  <c r="DQ6" i="5"/>
  <c r="DZ6" i="5"/>
  <c r="J7" i="5"/>
  <c r="V7" i="5"/>
  <c r="AF7" i="5"/>
  <c r="AO7" i="5"/>
  <c r="AX7" i="5"/>
  <c r="BH7" i="5"/>
  <c r="BR7" i="5"/>
  <c r="CD7" i="5"/>
  <c r="CO7" i="5"/>
  <c r="DB7" i="5"/>
  <c r="DQ7" i="5"/>
  <c r="EA7" i="5"/>
  <c r="EK7" i="5"/>
  <c r="R10" i="5"/>
  <c r="AE10" i="5"/>
  <c r="AQ10" i="5"/>
  <c r="BB10" i="5"/>
  <c r="BP10" i="5"/>
  <c r="CA10" i="5"/>
  <c r="CN10" i="5"/>
  <c r="DE10" i="5"/>
  <c r="DS10" i="5"/>
  <c r="ED10" i="5"/>
  <c r="J11" i="5"/>
  <c r="X11" i="5"/>
  <c r="AJ11" i="5"/>
  <c r="AX11" i="5"/>
  <c r="BI11" i="5"/>
  <c r="BT11" i="5"/>
  <c r="CH11" i="5"/>
  <c r="CW11" i="5"/>
  <c r="DJ11" i="5"/>
  <c r="DZ11" i="5"/>
  <c r="EK11" i="5"/>
  <c r="R12" i="5"/>
  <c r="AE12" i="5"/>
  <c r="AQ12" i="5"/>
  <c r="BB12" i="5"/>
  <c r="BP12" i="5"/>
  <c r="CA12" i="5"/>
  <c r="CN12" i="5"/>
  <c r="DE12" i="5"/>
  <c r="DS12" i="5"/>
  <c r="ED12" i="5"/>
  <c r="J13" i="5"/>
  <c r="X13" i="5"/>
  <c r="AJ13" i="5"/>
  <c r="AX13" i="5"/>
  <c r="BI13" i="5"/>
  <c r="BT13" i="5"/>
  <c r="CH13" i="5"/>
  <c r="CW13" i="5"/>
  <c r="DJ13" i="5"/>
  <c r="DZ13" i="5"/>
  <c r="EK13" i="5"/>
  <c r="R14" i="5"/>
  <c r="AE14" i="5"/>
  <c r="AQ14" i="5"/>
  <c r="BB14" i="5"/>
  <c r="BP14" i="5"/>
  <c r="CA14" i="5"/>
  <c r="CN14" i="5"/>
  <c r="DE14" i="5"/>
  <c r="DS14" i="5"/>
  <c r="ED14" i="5"/>
  <c r="J15" i="5"/>
  <c r="X15" i="5"/>
  <c r="AJ15" i="5"/>
  <c r="AX15" i="5"/>
  <c r="BI15" i="5"/>
  <c r="BT15" i="5"/>
  <c r="CH15" i="5"/>
  <c r="CW15" i="5"/>
  <c r="DJ15" i="5"/>
  <c r="DZ15" i="5"/>
  <c r="EK15" i="5"/>
  <c r="R16" i="5"/>
  <c r="AE16" i="5"/>
  <c r="AQ16" i="5"/>
  <c r="BB16" i="5"/>
  <c r="BP16" i="5"/>
  <c r="CA16" i="5"/>
  <c r="CO16" i="5"/>
  <c r="DG16" i="5"/>
  <c r="DW16" i="5"/>
  <c r="EJ16" i="5"/>
  <c r="R18" i="5"/>
  <c r="AL18" i="5"/>
  <c r="BA18" i="5"/>
  <c r="BN18" i="5"/>
  <c r="CH18" i="5"/>
  <c r="DB18" i="5"/>
  <c r="DT18" i="5"/>
  <c r="K7" i="5"/>
  <c r="X7" i="5"/>
  <c r="AG7" i="5"/>
  <c r="AP7" i="5"/>
  <c r="AY7" i="5"/>
  <c r="BI7" i="5"/>
  <c r="BU7" i="5"/>
  <c r="CE7" i="5"/>
  <c r="CQ7" i="5"/>
  <c r="DF7" i="5"/>
  <c r="DR7" i="5"/>
  <c r="EB7" i="5"/>
  <c r="U10" i="5"/>
  <c r="AF10" i="5"/>
  <c r="AR10" i="5"/>
  <c r="BF10" i="5"/>
  <c r="BQ10" i="5"/>
  <c r="CB10" i="5"/>
  <c r="CR10" i="5"/>
  <c r="DG10" i="5"/>
  <c r="DT10" i="5"/>
  <c r="U12" i="5"/>
  <c r="AF12" i="5"/>
  <c r="AR12" i="5"/>
  <c r="BF12" i="5"/>
  <c r="BQ12" i="5"/>
  <c r="CB12" i="5"/>
  <c r="CR12" i="5"/>
  <c r="DG12" i="5"/>
  <c r="DT12" i="5"/>
  <c r="U14" i="5"/>
  <c r="AF14" i="5"/>
  <c r="AR14" i="5"/>
  <c r="BF14" i="5"/>
  <c r="BQ14" i="5"/>
  <c r="CB14" i="5"/>
  <c r="CR14" i="5"/>
  <c r="DG14" i="5"/>
  <c r="DT14" i="5"/>
  <c r="Z15" i="5"/>
  <c r="AM15" i="5"/>
  <c r="AY15" i="5"/>
  <c r="BJ15" i="5"/>
  <c r="BX15" i="5"/>
  <c r="CI15" i="5"/>
  <c r="CX15" i="5"/>
  <c r="DM15" i="5"/>
  <c r="EA15" i="5"/>
  <c r="EL15" i="5"/>
  <c r="U16" i="5"/>
  <c r="AF16" i="5"/>
  <c r="AR16" i="5"/>
  <c r="BF16" i="5"/>
  <c r="BQ16" i="5"/>
  <c r="CB16" i="5"/>
  <c r="CS16" i="5"/>
  <c r="DJ16" i="5"/>
  <c r="U18" i="5"/>
  <c r="AM18" i="5"/>
  <c r="BB18" i="5"/>
  <c r="BR18" i="5"/>
  <c r="CI18" i="5"/>
  <c r="DD18" i="5"/>
  <c r="DU18" i="5"/>
  <c r="P7" i="5"/>
  <c r="Y7" i="5"/>
  <c r="AH7" i="5"/>
  <c r="AQ7" i="5"/>
  <c r="AZ7" i="5"/>
  <c r="BJ7" i="5"/>
  <c r="BV7" i="5"/>
  <c r="CF7" i="5"/>
  <c r="CR7" i="5"/>
  <c r="DG7" i="5"/>
  <c r="DS7" i="5"/>
  <c r="EF10" i="5"/>
  <c r="DX10" i="5"/>
  <c r="DO10" i="5"/>
  <c r="DF10" i="5"/>
  <c r="CU10" i="5"/>
  <c r="CL10" i="5"/>
  <c r="CC10" i="5"/>
  <c r="BU10" i="5"/>
  <c r="BM10" i="5"/>
  <c r="BE10" i="5"/>
  <c r="AW10" i="5"/>
  <c r="AO10" i="5"/>
  <c r="AG10" i="5"/>
  <c r="Y10" i="5"/>
  <c r="Q10" i="5"/>
  <c r="F10" i="5"/>
  <c r="EE10" i="5"/>
  <c r="DV10" i="5"/>
  <c r="DK10" i="5"/>
  <c r="CZ10" i="5"/>
  <c r="CO10" i="5"/>
  <c r="CE10" i="5"/>
  <c r="BV10" i="5"/>
  <c r="BL10" i="5"/>
  <c r="BC10" i="5"/>
  <c r="AT10" i="5"/>
  <c r="AK10" i="5"/>
  <c r="AB10" i="5"/>
  <c r="S10" i="5"/>
  <c r="G10" i="5"/>
  <c r="EG10" i="5"/>
  <c r="DW10" i="5"/>
  <c r="DL10" i="5"/>
  <c r="DB10" i="5"/>
  <c r="CQ10" i="5"/>
  <c r="CF10" i="5"/>
  <c r="BW10" i="5"/>
  <c r="BN10" i="5"/>
  <c r="BD10" i="5"/>
  <c r="AU10" i="5"/>
  <c r="AL10" i="5"/>
  <c r="AC10" i="5"/>
  <c r="T10" i="5"/>
  <c r="H10" i="5"/>
  <c r="V10" i="5"/>
  <c r="AH10" i="5"/>
  <c r="AS10" i="5"/>
  <c r="BG10" i="5"/>
  <c r="BR10" i="5"/>
  <c r="CD10" i="5"/>
  <c r="CS10" i="5"/>
  <c r="DH10" i="5"/>
  <c r="DU10" i="5"/>
  <c r="EI10" i="5"/>
  <c r="EF12" i="5"/>
  <c r="DX12" i="5"/>
  <c r="DO12" i="5"/>
  <c r="DF12" i="5"/>
  <c r="CU12" i="5"/>
  <c r="CL12" i="5"/>
  <c r="CC12" i="5"/>
  <c r="BU12" i="5"/>
  <c r="BM12" i="5"/>
  <c r="BE12" i="5"/>
  <c r="AW12" i="5"/>
  <c r="AO12" i="5"/>
  <c r="AG12" i="5"/>
  <c r="Y12" i="5"/>
  <c r="Q12" i="5"/>
  <c r="F12" i="5"/>
  <c r="EE12" i="5"/>
  <c r="DV12" i="5"/>
  <c r="DK12" i="5"/>
  <c r="CZ12" i="5"/>
  <c r="CO12" i="5"/>
  <c r="CE12" i="5"/>
  <c r="BV12" i="5"/>
  <c r="BL12" i="5"/>
  <c r="BC12" i="5"/>
  <c r="AT12" i="5"/>
  <c r="AK12" i="5"/>
  <c r="AB12" i="5"/>
  <c r="S12" i="5"/>
  <c r="G12" i="5"/>
  <c r="EG12" i="5"/>
  <c r="DW12" i="5"/>
  <c r="DL12" i="5"/>
  <c r="DB12" i="5"/>
  <c r="CQ12" i="5"/>
  <c r="CF12" i="5"/>
  <c r="BW12" i="5"/>
  <c r="BN12" i="5"/>
  <c r="BD12" i="5"/>
  <c r="AU12" i="5"/>
  <c r="AL12" i="5"/>
  <c r="AC12" i="5"/>
  <c r="T12" i="5"/>
  <c r="H12" i="5"/>
  <c r="V12" i="5"/>
  <c r="AH12" i="5"/>
  <c r="AS12" i="5"/>
  <c r="BG12" i="5"/>
  <c r="BR12" i="5"/>
  <c r="CD12" i="5"/>
  <c r="CS12" i="5"/>
  <c r="DH12" i="5"/>
  <c r="DU12" i="5"/>
  <c r="EI12" i="5"/>
  <c r="EF14" i="5"/>
  <c r="DX14" i="5"/>
  <c r="DO14" i="5"/>
  <c r="DF14" i="5"/>
  <c r="CU14" i="5"/>
  <c r="CL14" i="5"/>
  <c r="CC14" i="5"/>
  <c r="BU14" i="5"/>
  <c r="BM14" i="5"/>
  <c r="BE14" i="5"/>
  <c r="AW14" i="5"/>
  <c r="AO14" i="5"/>
  <c r="AG14" i="5"/>
  <c r="Y14" i="5"/>
  <c r="Q14" i="5"/>
  <c r="F14" i="5"/>
  <c r="EE14" i="5"/>
  <c r="DV14" i="5"/>
  <c r="DK14" i="5"/>
  <c r="CZ14" i="5"/>
  <c r="CO14" i="5"/>
  <c r="CE14" i="5"/>
  <c r="BV14" i="5"/>
  <c r="BL14" i="5"/>
  <c r="BC14" i="5"/>
  <c r="AT14" i="5"/>
  <c r="AK14" i="5"/>
  <c r="AB14" i="5"/>
  <c r="S14" i="5"/>
  <c r="G14" i="5"/>
  <c r="EG14" i="5"/>
  <c r="DW14" i="5"/>
  <c r="DL14" i="5"/>
  <c r="DB14" i="5"/>
  <c r="CQ14" i="5"/>
  <c r="CF14" i="5"/>
  <c r="BW14" i="5"/>
  <c r="BN14" i="5"/>
  <c r="BD14" i="5"/>
  <c r="AU14" i="5"/>
  <c r="AL14" i="5"/>
  <c r="AC14" i="5"/>
  <c r="T14" i="5"/>
  <c r="H14" i="5"/>
  <c r="V14" i="5"/>
  <c r="AH14" i="5"/>
  <c r="AS14" i="5"/>
  <c r="BG14" i="5"/>
  <c r="BR14" i="5"/>
  <c r="CD14" i="5"/>
  <c r="CS14" i="5"/>
  <c r="DH14" i="5"/>
  <c r="DU14" i="5"/>
  <c r="EI14" i="5"/>
  <c r="EH16" i="5"/>
  <c r="DZ16" i="5"/>
  <c r="DR16" i="5"/>
  <c r="DH16" i="5"/>
  <c r="CX16" i="5"/>
  <c r="CN16" i="5"/>
  <c r="EL16" i="5"/>
  <c r="EC16" i="5"/>
  <c r="DT16" i="5"/>
  <c r="DI16" i="5"/>
  <c r="CW16" i="5"/>
  <c r="CL16" i="5"/>
  <c r="CC16" i="5"/>
  <c r="BU16" i="5"/>
  <c r="BM16" i="5"/>
  <c r="BE16" i="5"/>
  <c r="AW16" i="5"/>
  <c r="AO16" i="5"/>
  <c r="AG16" i="5"/>
  <c r="Y16" i="5"/>
  <c r="Q16" i="5"/>
  <c r="F16" i="5"/>
  <c r="EK16" i="5"/>
  <c r="EA16" i="5"/>
  <c r="DO16" i="5"/>
  <c r="DD16" i="5"/>
  <c r="CQ16" i="5"/>
  <c r="CE16" i="5"/>
  <c r="BV16" i="5"/>
  <c r="BL16" i="5"/>
  <c r="BC16" i="5"/>
  <c r="AT16" i="5"/>
  <c r="AK16" i="5"/>
  <c r="AB16" i="5"/>
  <c r="S16" i="5"/>
  <c r="G16" i="5"/>
  <c r="EB16" i="5"/>
  <c r="DQ16" i="5"/>
  <c r="DE16" i="5"/>
  <c r="CR16" i="5"/>
  <c r="CF16" i="5"/>
  <c r="BW16" i="5"/>
  <c r="BN16" i="5"/>
  <c r="BD16" i="5"/>
  <c r="AU16" i="5"/>
  <c r="AL16" i="5"/>
  <c r="AC16" i="5"/>
  <c r="T16" i="5"/>
  <c r="H16" i="5"/>
  <c r="V16" i="5"/>
  <c r="AH16" i="5"/>
  <c r="AS16" i="5"/>
  <c r="BG16" i="5"/>
  <c r="BR16" i="5"/>
  <c r="CD16" i="5"/>
  <c r="CT16" i="5"/>
  <c r="DK16" i="5"/>
  <c r="DY16" i="5"/>
  <c r="X18" i="5"/>
  <c r="AN18" i="5"/>
  <c r="BC18" i="5"/>
  <c r="BU18" i="5"/>
  <c r="CK18" i="5"/>
  <c r="DE18" i="5"/>
  <c r="EG18" i="5"/>
  <c r="EH18" i="5"/>
  <c r="DZ18" i="5"/>
  <c r="EK18" i="5"/>
  <c r="EA18" i="5"/>
  <c r="DR18" i="5"/>
  <c r="DH18" i="5"/>
  <c r="CX18" i="5"/>
  <c r="CN18" i="5"/>
  <c r="CE18" i="5"/>
  <c r="BW18" i="5"/>
  <c r="BO18" i="5"/>
  <c r="BG18" i="5"/>
  <c r="AY18" i="5"/>
  <c r="AQ18" i="5"/>
  <c r="AI18" i="5"/>
  <c r="AA18" i="5"/>
  <c r="S18" i="5"/>
  <c r="H18" i="5"/>
  <c r="EL18" i="5"/>
  <c r="EB18" i="5"/>
  <c r="DS18" i="5"/>
  <c r="DI18" i="5"/>
  <c r="CY18" i="5"/>
  <c r="CO18" i="5"/>
  <c r="CF18" i="5"/>
  <c r="BX18" i="5"/>
  <c r="BP18" i="5"/>
  <c r="BH18" i="5"/>
  <c r="AZ18" i="5"/>
  <c r="AR18" i="5"/>
  <c r="AJ18" i="5"/>
  <c r="AB18" i="5"/>
  <c r="T18" i="5"/>
  <c r="I18" i="5"/>
  <c r="DX18" i="5"/>
  <c r="DL18" i="5"/>
  <c r="CZ18" i="5"/>
  <c r="CL18" i="5"/>
  <c r="CA18" i="5"/>
  <c r="BQ18" i="5"/>
  <c r="BE18" i="5"/>
  <c r="AU18" i="5"/>
  <c r="AK18" i="5"/>
  <c r="Y18" i="5"/>
  <c r="L18" i="5"/>
  <c r="EJ18" i="5"/>
  <c r="DV18" i="5"/>
  <c r="DG18" i="5"/>
  <c r="CS18" i="5"/>
  <c r="CD18" i="5"/>
  <c r="BS18" i="5"/>
  <c r="BF18" i="5"/>
  <c r="AT18" i="5"/>
  <c r="AG18" i="5"/>
  <c r="V18" i="5"/>
  <c r="F18" i="5"/>
  <c r="DW18" i="5"/>
  <c r="DJ18" i="5"/>
  <c r="CT18" i="5"/>
  <c r="CG18" i="5"/>
  <c r="BT18" i="5"/>
  <c r="BI18" i="5"/>
  <c r="AV18" i="5"/>
  <c r="AH18" i="5"/>
  <c r="W18" i="5"/>
  <c r="G18" i="5"/>
  <c r="Z18" i="5"/>
  <c r="AO18" i="5"/>
  <c r="BD18" i="5"/>
  <c r="BV18" i="5"/>
  <c r="CM18" i="5"/>
  <c r="DF18" i="5"/>
  <c r="EC18" i="5"/>
  <c r="EL7" i="5"/>
  <c r="ED7" i="5"/>
  <c r="DV7" i="5"/>
  <c r="DL7" i="5"/>
  <c r="DD7" i="5"/>
  <c r="CS7" i="5"/>
  <c r="CI7" i="5"/>
  <c r="CA7" i="5"/>
  <c r="BS7" i="5"/>
  <c r="BK7" i="5"/>
  <c r="BC7" i="5"/>
  <c r="AU7" i="5"/>
  <c r="AM7" i="5"/>
  <c r="AE7" i="5"/>
  <c r="W7" i="5"/>
  <c r="L7" i="5"/>
  <c r="EE7" i="5"/>
  <c r="DW7" i="5"/>
  <c r="DM7" i="5"/>
  <c r="DE7" i="5"/>
  <c r="CT7" i="5"/>
  <c r="CK7" i="5"/>
  <c r="CB7" i="5"/>
  <c r="BT7" i="5"/>
  <c r="BL7" i="5"/>
  <c r="BD7" i="5"/>
  <c r="BM7" i="5"/>
  <c r="DH7" i="5"/>
  <c r="BN7" i="5"/>
  <c r="Q7" i="5"/>
  <c r="BA7" i="5"/>
  <c r="CG7" i="5"/>
  <c r="EF7" i="5"/>
  <c r="AA7" i="5"/>
  <c r="CH7" i="5"/>
  <c r="DU7" i="5"/>
  <c r="G7" i="5"/>
  <c r="S7" i="5"/>
  <c r="AB7" i="5"/>
  <c r="AK7" i="5"/>
  <c r="AT7" i="5"/>
  <c r="BE7" i="5"/>
  <c r="BO7" i="5"/>
  <c r="BY7" i="5"/>
  <c r="CL7" i="5"/>
  <c r="CX7" i="5"/>
  <c r="DJ7" i="5"/>
  <c r="DX7" i="5"/>
  <c r="EH7" i="5"/>
  <c r="K10" i="5"/>
  <c r="Z10" i="5"/>
  <c r="AM10" i="5"/>
  <c r="AY10" i="5"/>
  <c r="BJ10" i="5"/>
  <c r="BX10" i="5"/>
  <c r="CI10" i="5"/>
  <c r="CX10" i="5"/>
  <c r="DM10" i="5"/>
  <c r="EA10" i="5"/>
  <c r="EL10" i="5"/>
  <c r="AF11" i="5"/>
  <c r="AR11" i="5"/>
  <c r="BF11" i="5"/>
  <c r="BQ11" i="5"/>
  <c r="CB11" i="5"/>
  <c r="CR11" i="5"/>
  <c r="DG11" i="5"/>
  <c r="DT11" i="5"/>
  <c r="K12" i="5"/>
  <c r="Z12" i="5"/>
  <c r="AM12" i="5"/>
  <c r="AY12" i="5"/>
  <c r="BJ12" i="5"/>
  <c r="BX12" i="5"/>
  <c r="CI12" i="5"/>
  <c r="CX12" i="5"/>
  <c r="DM12" i="5"/>
  <c r="EA12" i="5"/>
  <c r="EL12" i="5"/>
  <c r="U13" i="5"/>
  <c r="AF13" i="5"/>
  <c r="AR13" i="5"/>
  <c r="BF13" i="5"/>
  <c r="BQ13" i="5"/>
  <c r="CB13" i="5"/>
  <c r="CR13" i="5"/>
  <c r="DG13" i="5"/>
  <c r="DT13" i="5"/>
  <c r="EH13" i="5"/>
  <c r="K14" i="5"/>
  <c r="Z14" i="5"/>
  <c r="AM14" i="5"/>
  <c r="AY14" i="5"/>
  <c r="BJ14" i="5"/>
  <c r="BX14" i="5"/>
  <c r="CI14" i="5"/>
  <c r="CX14" i="5"/>
  <c r="DM14" i="5"/>
  <c r="EA14" i="5"/>
  <c r="EL14" i="5"/>
  <c r="U15" i="5"/>
  <c r="AF15" i="5"/>
  <c r="AR15" i="5"/>
  <c r="BF15" i="5"/>
  <c r="BQ15" i="5"/>
  <c r="CB15" i="5"/>
  <c r="CR15" i="5"/>
  <c r="DG15" i="5"/>
  <c r="DT15" i="5"/>
  <c r="K16" i="5"/>
  <c r="Z16" i="5"/>
  <c r="AM16" i="5"/>
  <c r="AY16" i="5"/>
  <c r="BJ16" i="5"/>
  <c r="BX16" i="5"/>
  <c r="CI16" i="5"/>
  <c r="CZ16" i="5"/>
  <c r="DS16" i="5"/>
  <c r="EF16" i="5"/>
  <c r="K18" i="5"/>
  <c r="AD18" i="5"/>
  <c r="AS18" i="5"/>
  <c r="BK18" i="5"/>
  <c r="BZ18" i="5"/>
  <c r="CR18" i="5"/>
  <c r="DM18" i="5"/>
  <c r="EE18" i="5"/>
  <c r="AI7" i="5"/>
  <c r="BW7" i="5"/>
  <c r="CU7" i="5"/>
  <c r="DT7" i="5"/>
  <c r="AC7" i="5"/>
  <c r="BZ7" i="5"/>
  <c r="DK7" i="5"/>
  <c r="EF11" i="5"/>
  <c r="DX11" i="5"/>
  <c r="DO11" i="5"/>
  <c r="DF11" i="5"/>
  <c r="CU11" i="5"/>
  <c r="CL11" i="5"/>
  <c r="CC11" i="5"/>
  <c r="BU11" i="5"/>
  <c r="BM11" i="5"/>
  <c r="BE11" i="5"/>
  <c r="AW11" i="5"/>
  <c r="AO11" i="5"/>
  <c r="AG11" i="5"/>
  <c r="Y11" i="5"/>
  <c r="Q11" i="5"/>
  <c r="F11" i="5"/>
  <c r="EE11" i="5"/>
  <c r="DV11" i="5"/>
  <c r="DK11" i="5"/>
  <c r="CZ11" i="5"/>
  <c r="CO11" i="5"/>
  <c r="CE11" i="5"/>
  <c r="BV11" i="5"/>
  <c r="BL11" i="5"/>
  <c r="BC11" i="5"/>
  <c r="AT11" i="5"/>
  <c r="AK11" i="5"/>
  <c r="AB11" i="5"/>
  <c r="S11" i="5"/>
  <c r="G11" i="5"/>
  <c r="EG11" i="5"/>
  <c r="DW11" i="5"/>
  <c r="DL11" i="5"/>
  <c r="DB11" i="5"/>
  <c r="CQ11" i="5"/>
  <c r="CF11" i="5"/>
  <c r="BW11" i="5"/>
  <c r="BN11" i="5"/>
  <c r="BD11" i="5"/>
  <c r="AU11" i="5"/>
  <c r="AL11" i="5"/>
  <c r="AC11" i="5"/>
  <c r="T11" i="5"/>
  <c r="H11" i="5"/>
  <c r="BR11" i="5"/>
  <c r="EI11" i="5"/>
  <c r="AZ12" i="5"/>
  <c r="DQ12" i="5"/>
  <c r="CD13" i="5"/>
  <c r="L14" i="5"/>
  <c r="BK14" i="5"/>
  <c r="EF15" i="5"/>
  <c r="DX15" i="5"/>
  <c r="DO15" i="5"/>
  <c r="DF15" i="5"/>
  <c r="CU15" i="5"/>
  <c r="CL15" i="5"/>
  <c r="CC15" i="5"/>
  <c r="BU15" i="5"/>
  <c r="BM15" i="5"/>
  <c r="BE15" i="5"/>
  <c r="AW15" i="5"/>
  <c r="AO15" i="5"/>
  <c r="AG15" i="5"/>
  <c r="Y15" i="5"/>
  <c r="Q15" i="5"/>
  <c r="F15" i="5"/>
  <c r="EE15" i="5"/>
  <c r="DV15" i="5"/>
  <c r="DK15" i="5"/>
  <c r="CZ15" i="5"/>
  <c r="CO15" i="5"/>
  <c r="CE15" i="5"/>
  <c r="BV15" i="5"/>
  <c r="BL15" i="5"/>
  <c r="BC15" i="5"/>
  <c r="AT15" i="5"/>
  <c r="AK15" i="5"/>
  <c r="AB15" i="5"/>
  <c r="S15" i="5"/>
  <c r="G15" i="5"/>
  <c r="EG15" i="5"/>
  <c r="DW15" i="5"/>
  <c r="DL15" i="5"/>
  <c r="DB15" i="5"/>
  <c r="CQ15" i="5"/>
  <c r="CF15" i="5"/>
  <c r="BW15" i="5"/>
  <c r="BN15" i="5"/>
  <c r="BD15" i="5"/>
  <c r="AU15" i="5"/>
  <c r="AL15" i="5"/>
  <c r="AC15" i="5"/>
  <c r="T15" i="5"/>
  <c r="H15" i="5"/>
  <c r="V15" i="5"/>
  <c r="AH15" i="5"/>
  <c r="AS15" i="5"/>
  <c r="BG15" i="5"/>
  <c r="BR15" i="5"/>
  <c r="CD15" i="5"/>
  <c r="CS15" i="5"/>
  <c r="DH15" i="5"/>
  <c r="DU15" i="5"/>
  <c r="EI15" i="5"/>
  <c r="L16" i="5"/>
  <c r="AA16" i="5"/>
  <c r="AN16" i="5"/>
  <c r="AZ16" i="5"/>
  <c r="BY16" i="5"/>
  <c r="CK16" i="5"/>
  <c r="DB16" i="5"/>
  <c r="DU16" i="5"/>
  <c r="P18" i="5"/>
  <c r="AE18" i="5"/>
  <c r="AW18" i="5"/>
  <c r="BL18" i="5"/>
  <c r="CB18" i="5"/>
  <c r="CU18" i="5"/>
  <c r="DO18" i="5"/>
  <c r="EF18" i="5"/>
  <c r="Z7" i="5"/>
  <c r="R7" i="5"/>
  <c r="AS7" i="5"/>
  <c r="BX7" i="5"/>
  <c r="DI7" i="5"/>
  <c r="H7" i="5"/>
  <c r="AL7" i="5"/>
  <c r="BF7" i="5"/>
  <c r="CY7" i="5"/>
  <c r="DY7" i="5"/>
  <c r="L10" i="5"/>
  <c r="AA10" i="5"/>
  <c r="AZ10" i="5"/>
  <c r="BY10" i="5"/>
  <c r="CY10" i="5"/>
  <c r="EB10" i="5"/>
  <c r="V11" i="5"/>
  <c r="AH11" i="5"/>
  <c r="AS11" i="5"/>
  <c r="BG11" i="5"/>
  <c r="CS11" i="5"/>
  <c r="DH11" i="5"/>
  <c r="DU11" i="5"/>
  <c r="L12" i="5"/>
  <c r="AA12" i="5"/>
  <c r="AN12" i="5"/>
  <c r="BK12" i="5"/>
  <c r="BY12" i="5"/>
  <c r="CK12" i="5"/>
  <c r="CY12" i="5"/>
  <c r="EB12" i="5"/>
  <c r="V13" i="5"/>
  <c r="AS13" i="5"/>
  <c r="BR13" i="5"/>
  <c r="CS13" i="5"/>
  <c r="DH13" i="5"/>
  <c r="EI13" i="5"/>
  <c r="AA14" i="5"/>
  <c r="AN14" i="5"/>
  <c r="AZ14" i="5"/>
  <c r="BY14" i="5"/>
  <c r="CY14" i="5"/>
  <c r="DQ14" i="5"/>
  <c r="EB14" i="5"/>
  <c r="EG16" i="5"/>
  <c r="P3" i="5"/>
  <c r="X3" i="5"/>
  <c r="AF3" i="5"/>
  <c r="AN3" i="5"/>
  <c r="AV3" i="5"/>
  <c r="BD3" i="5"/>
  <c r="BL3" i="5"/>
  <c r="BT3" i="5"/>
  <c r="CB3" i="5"/>
  <c r="CK3" i="5"/>
  <c r="CT3" i="5"/>
  <c r="DE3" i="5"/>
  <c r="DM3" i="5"/>
  <c r="DW3" i="5"/>
  <c r="P4" i="5"/>
  <c r="X4" i="5"/>
  <c r="AF4" i="5"/>
  <c r="AN4" i="5"/>
  <c r="AV4" i="5"/>
  <c r="BD4" i="5"/>
  <c r="BL4" i="5"/>
  <c r="BT4" i="5"/>
  <c r="CB4" i="5"/>
  <c r="CK4" i="5"/>
  <c r="CT4" i="5"/>
  <c r="DE4" i="5"/>
  <c r="DM4" i="5"/>
  <c r="DW4" i="5"/>
  <c r="P5" i="5"/>
  <c r="X5" i="5"/>
  <c r="AF5" i="5"/>
  <c r="AN5" i="5"/>
  <c r="AV5" i="5"/>
  <c r="BD5" i="5"/>
  <c r="BL5" i="5"/>
  <c r="BT5" i="5"/>
  <c r="CB5" i="5"/>
  <c r="CK5" i="5"/>
  <c r="CT5" i="5"/>
  <c r="DE5" i="5"/>
  <c r="DM5" i="5"/>
  <c r="DW5" i="5"/>
  <c r="EL6" i="5"/>
  <c r="ED6" i="5"/>
  <c r="DV6" i="5"/>
  <c r="DL6" i="5"/>
  <c r="P6" i="5"/>
  <c r="X6" i="5"/>
  <c r="AF6" i="5"/>
  <c r="AN6" i="5"/>
  <c r="AV6" i="5"/>
  <c r="BD6" i="5"/>
  <c r="BL6" i="5"/>
  <c r="BT6" i="5"/>
  <c r="CB6" i="5"/>
  <c r="CK6" i="5"/>
  <c r="CT6" i="5"/>
  <c r="DE6" i="5"/>
  <c r="DO6" i="5"/>
  <c r="DY6" i="5"/>
  <c r="EH6" i="5"/>
  <c r="I7" i="5"/>
  <c r="U7" i="5"/>
  <c r="AD7" i="5"/>
  <c r="AN7" i="5"/>
  <c r="AW7" i="5"/>
  <c r="BG7" i="5"/>
  <c r="BQ7" i="5"/>
  <c r="CC7" i="5"/>
  <c r="CN7" i="5"/>
  <c r="CZ7" i="5"/>
  <c r="DO7" i="5"/>
  <c r="DZ7" i="5"/>
  <c r="EJ7" i="5"/>
  <c r="P10" i="5"/>
  <c r="AD10" i="5"/>
  <c r="AP10" i="5"/>
  <c r="BA10" i="5"/>
  <c r="BO10" i="5"/>
  <c r="BZ10" i="5"/>
  <c r="CM10" i="5"/>
  <c r="DD10" i="5"/>
  <c r="DR10" i="5"/>
  <c r="EC10" i="5"/>
  <c r="I11" i="5"/>
  <c r="W11" i="5"/>
  <c r="AI11" i="5"/>
  <c r="AV11" i="5"/>
  <c r="BH11" i="5"/>
  <c r="BS11" i="5"/>
  <c r="CG11" i="5"/>
  <c r="CT11" i="5"/>
  <c r="DI11" i="5"/>
  <c r="DY11" i="5"/>
  <c r="EJ11" i="5"/>
  <c r="P12" i="5"/>
  <c r="AD12" i="5"/>
  <c r="AP12" i="5"/>
  <c r="BA12" i="5"/>
  <c r="BO12" i="5"/>
  <c r="BZ12" i="5"/>
  <c r="CM12" i="5"/>
  <c r="DD12" i="5"/>
  <c r="DR12" i="5"/>
  <c r="EC12" i="5"/>
  <c r="I13" i="5"/>
  <c r="W13" i="5"/>
  <c r="AI13" i="5"/>
  <c r="AV13" i="5"/>
  <c r="BH13" i="5"/>
  <c r="BS13" i="5"/>
  <c r="CG13" i="5"/>
  <c r="CT13" i="5"/>
  <c r="DI13" i="5"/>
  <c r="DY13" i="5"/>
  <c r="EJ13" i="5"/>
  <c r="P14" i="5"/>
  <c r="AD14" i="5"/>
  <c r="AP14" i="5"/>
  <c r="BA14" i="5"/>
  <c r="BO14" i="5"/>
  <c r="BZ14" i="5"/>
  <c r="CM14" i="5"/>
  <c r="DD14" i="5"/>
  <c r="DR14" i="5"/>
  <c r="EC14" i="5"/>
  <c r="I15" i="5"/>
  <c r="W15" i="5"/>
  <c r="AI15" i="5"/>
  <c r="AV15" i="5"/>
  <c r="BH15" i="5"/>
  <c r="BS15" i="5"/>
  <c r="CG15" i="5"/>
  <c r="CT15" i="5"/>
  <c r="DI15" i="5"/>
  <c r="DY15" i="5"/>
  <c r="EJ15" i="5"/>
  <c r="P16" i="5"/>
  <c r="AD16" i="5"/>
  <c r="AP16" i="5"/>
  <c r="BA16" i="5"/>
  <c r="BO16" i="5"/>
  <c r="BZ16" i="5"/>
  <c r="CM16" i="5"/>
  <c r="DF16" i="5"/>
  <c r="DV16" i="5"/>
  <c r="EI16" i="5"/>
  <c r="Q18" i="5"/>
  <c r="AF18" i="5"/>
  <c r="AX18" i="5"/>
  <c r="BM18" i="5"/>
  <c r="CC18" i="5"/>
  <c r="CW18" i="5"/>
  <c r="DQ18" i="5"/>
  <c r="EI18" i="5"/>
  <c r="P8" i="5"/>
  <c r="X8" i="5"/>
  <c r="AF8" i="5"/>
  <c r="AN8" i="5"/>
  <c r="AV8" i="5"/>
  <c r="BD8" i="5"/>
  <c r="BL8" i="5"/>
  <c r="BT8" i="5"/>
  <c r="CB8" i="5"/>
  <c r="CK8" i="5"/>
  <c r="CT8" i="5"/>
  <c r="DE8" i="5"/>
  <c r="DM8" i="5"/>
  <c r="DW8" i="5"/>
  <c r="EE8" i="5"/>
  <c r="EF9" i="5"/>
  <c r="DX9" i="5"/>
  <c r="P9" i="5"/>
  <c r="X9" i="5"/>
  <c r="AF9" i="5"/>
  <c r="AN9" i="5"/>
  <c r="AV9" i="5"/>
  <c r="BD9" i="5"/>
  <c r="BL9" i="5"/>
  <c r="BT9" i="5"/>
  <c r="CB9" i="5"/>
  <c r="CK9" i="5"/>
  <c r="CT9" i="5"/>
  <c r="DE9" i="5"/>
  <c r="DM9" i="5"/>
  <c r="DW9" i="5"/>
  <c r="EG9" i="5"/>
  <c r="EH17" i="5"/>
  <c r="DZ17" i="5"/>
  <c r="DR17" i="5"/>
  <c r="DH17" i="5"/>
  <c r="CX17" i="5"/>
  <c r="CN17" i="5"/>
  <c r="CE17" i="5"/>
  <c r="BW17" i="5"/>
  <c r="BO17" i="5"/>
  <c r="BG17" i="5"/>
  <c r="AY17" i="5"/>
  <c r="AQ17" i="5"/>
  <c r="AI17" i="5"/>
  <c r="AA17" i="5"/>
  <c r="S17" i="5"/>
  <c r="H17" i="5"/>
  <c r="EI17" i="5"/>
  <c r="EA17" i="5"/>
  <c r="DS17" i="5"/>
  <c r="DI17" i="5"/>
  <c r="CY17" i="5"/>
  <c r="CO17" i="5"/>
  <c r="CF17" i="5"/>
  <c r="BX17" i="5"/>
  <c r="BP17" i="5"/>
  <c r="BH17" i="5"/>
  <c r="AZ17" i="5"/>
  <c r="AR17" i="5"/>
  <c r="AJ17" i="5"/>
  <c r="AB17" i="5"/>
  <c r="EJ17" i="5"/>
  <c r="DX17" i="5"/>
  <c r="DL17" i="5"/>
  <c r="CZ17" i="5"/>
  <c r="CL17" i="5"/>
  <c r="CA17" i="5"/>
  <c r="BQ17" i="5"/>
  <c r="BE17" i="5"/>
  <c r="AU17" i="5"/>
  <c r="AK17" i="5"/>
  <c r="Y17" i="5"/>
  <c r="P17" i="5"/>
  <c r="R17" i="5"/>
  <c r="AD17" i="5"/>
  <c r="AO17" i="5"/>
  <c r="BB17" i="5"/>
  <c r="BM17" i="5"/>
  <c r="BZ17" i="5"/>
  <c r="CM17" i="5"/>
  <c r="DD17" i="5"/>
  <c r="DQ17" i="5"/>
  <c r="ED17" i="5"/>
  <c r="L8" i="5"/>
  <c r="W8" i="5"/>
  <c r="AE8" i="5"/>
  <c r="AM8" i="5"/>
  <c r="AU8" i="5"/>
  <c r="BC8" i="5"/>
  <c r="BK8" i="5"/>
  <c r="BS8" i="5"/>
  <c r="CA8" i="5"/>
  <c r="CI8" i="5"/>
  <c r="CS8" i="5"/>
  <c r="DD8" i="5"/>
  <c r="DL8" i="5"/>
  <c r="DV8" i="5"/>
  <c r="ED8" i="5"/>
  <c r="L9" i="5"/>
  <c r="W9" i="5"/>
  <c r="AE9" i="5"/>
  <c r="AM9" i="5"/>
  <c r="AU9" i="5"/>
  <c r="BC9" i="5"/>
  <c r="BK9" i="5"/>
  <c r="BS9" i="5"/>
  <c r="CA9" i="5"/>
  <c r="CI9" i="5"/>
  <c r="CS9" i="5"/>
  <c r="DD9" i="5"/>
  <c r="DL9" i="5"/>
  <c r="DV9" i="5"/>
  <c r="EE9" i="5"/>
  <c r="Q17" i="5"/>
  <c r="AC17" i="5"/>
  <c r="AN17" i="5"/>
  <c r="BA17" i="5"/>
  <c r="BL17" i="5"/>
  <c r="BY17" i="5"/>
  <c r="CK17" i="5"/>
  <c r="DB17" i="5"/>
  <c r="DO17" i="5"/>
  <c r="EC17" i="5"/>
  <c r="EG19" i="5"/>
  <c r="DY19" i="5"/>
  <c r="DQ19" i="5"/>
  <c r="DG19" i="5"/>
  <c r="CW19" i="5"/>
  <c r="CM19" i="5"/>
  <c r="CD19" i="5"/>
  <c r="BV19" i="5"/>
  <c r="BN19" i="5"/>
  <c r="BF19" i="5"/>
  <c r="AX19" i="5"/>
  <c r="AP19" i="5"/>
  <c r="AH19" i="5"/>
  <c r="Z19" i="5"/>
  <c r="R19" i="5"/>
  <c r="G19" i="5"/>
  <c r="EH19" i="5"/>
  <c r="DZ19" i="5"/>
  <c r="DR19" i="5"/>
  <c r="DH19" i="5"/>
  <c r="CX19" i="5"/>
  <c r="CN19" i="5"/>
  <c r="CE19" i="5"/>
  <c r="BW19" i="5"/>
  <c r="BO19" i="5"/>
  <c r="BG19" i="5"/>
  <c r="AY19" i="5"/>
  <c r="AQ19" i="5"/>
  <c r="AI19" i="5"/>
  <c r="AA19" i="5"/>
  <c r="S19" i="5"/>
  <c r="H19" i="5"/>
  <c r="EK19" i="5"/>
  <c r="EA19" i="5"/>
  <c r="DM19" i="5"/>
  <c r="DB19" i="5"/>
  <c r="CO19" i="5"/>
  <c r="CB19" i="5"/>
  <c r="BR19" i="5"/>
  <c r="BH19" i="5"/>
  <c r="AV19" i="5"/>
  <c r="AL19" i="5"/>
  <c r="AB19" i="5"/>
  <c r="P19" i="5"/>
  <c r="EL19" i="5"/>
  <c r="EB19" i="5"/>
  <c r="DO19" i="5"/>
  <c r="DD19" i="5"/>
  <c r="CQ19" i="5"/>
  <c r="CC19" i="5"/>
  <c r="BS19" i="5"/>
  <c r="BI19" i="5"/>
  <c r="AW19" i="5"/>
  <c r="AM19" i="5"/>
  <c r="AC19" i="5"/>
  <c r="Q19" i="5"/>
  <c r="V19" i="5"/>
  <c r="AJ19" i="5"/>
  <c r="AZ19" i="5"/>
  <c r="BL19" i="5"/>
  <c r="BZ19" i="5"/>
  <c r="CR19" i="5"/>
  <c r="DI19" i="5"/>
  <c r="DW19" i="5"/>
  <c r="EG20" i="5"/>
  <c r="DY20" i="5"/>
  <c r="DQ20" i="5"/>
  <c r="DG20" i="5"/>
  <c r="CW20" i="5"/>
  <c r="CM20" i="5"/>
  <c r="CD20" i="5"/>
  <c r="BV20" i="5"/>
  <c r="BN20" i="5"/>
  <c r="BF20" i="5"/>
  <c r="AX20" i="5"/>
  <c r="AP20" i="5"/>
  <c r="AH20" i="5"/>
  <c r="Z20" i="5"/>
  <c r="R20" i="5"/>
  <c r="G20" i="5"/>
  <c r="EH20" i="5"/>
  <c r="DZ20" i="5"/>
  <c r="DR20" i="5"/>
  <c r="DH20" i="5"/>
  <c r="CX20" i="5"/>
  <c r="CN20" i="5"/>
  <c r="CE20" i="5"/>
  <c r="BW20" i="5"/>
  <c r="BO20" i="5"/>
  <c r="BG20" i="5"/>
  <c r="AY20" i="5"/>
  <c r="AQ20" i="5"/>
  <c r="AI20" i="5"/>
  <c r="AA20" i="5"/>
  <c r="S20" i="5"/>
  <c r="H20" i="5"/>
  <c r="EK20" i="5"/>
  <c r="EA20" i="5"/>
  <c r="DM20" i="5"/>
  <c r="DB20" i="5"/>
  <c r="CO20" i="5"/>
  <c r="CB20" i="5"/>
  <c r="BR20" i="5"/>
  <c r="BH20" i="5"/>
  <c r="AV20" i="5"/>
  <c r="AL20" i="5"/>
  <c r="AB20" i="5"/>
  <c r="P20" i="5"/>
  <c r="EL20" i="5"/>
  <c r="EB20" i="5"/>
  <c r="DO20" i="5"/>
  <c r="DD20" i="5"/>
  <c r="CQ20" i="5"/>
  <c r="CC20" i="5"/>
  <c r="BS20" i="5"/>
  <c r="BI20" i="5"/>
  <c r="AW20" i="5"/>
  <c r="AM20" i="5"/>
  <c r="AC20" i="5"/>
  <c r="Q20" i="5"/>
  <c r="V20" i="5"/>
  <c r="AJ20" i="5"/>
  <c r="AZ20" i="5"/>
  <c r="BL20" i="5"/>
  <c r="BZ20" i="5"/>
  <c r="CR20" i="5"/>
  <c r="DI20" i="5"/>
  <c r="DW20" i="5"/>
  <c r="EG21" i="5"/>
  <c r="DY21" i="5"/>
  <c r="DQ21" i="5"/>
  <c r="DG21" i="5"/>
  <c r="CW21" i="5"/>
  <c r="CM21" i="5"/>
  <c r="CD21" i="5"/>
  <c r="BV21" i="5"/>
  <c r="BN21" i="5"/>
  <c r="BF21" i="5"/>
  <c r="AX21" i="5"/>
  <c r="AP21" i="5"/>
  <c r="AH21" i="5"/>
  <c r="Z21" i="5"/>
  <c r="R21" i="5"/>
  <c r="G21" i="5"/>
  <c r="EH21" i="5"/>
  <c r="DZ21" i="5"/>
  <c r="DR21" i="5"/>
  <c r="DH21" i="5"/>
  <c r="CX21" i="5"/>
  <c r="CN21" i="5"/>
  <c r="CE21" i="5"/>
  <c r="BW21" i="5"/>
  <c r="BO21" i="5"/>
  <c r="BG21" i="5"/>
  <c r="AY21" i="5"/>
  <c r="AQ21" i="5"/>
  <c r="AI21" i="5"/>
  <c r="AA21" i="5"/>
  <c r="S21" i="5"/>
  <c r="H21" i="5"/>
  <c r="EK21" i="5"/>
  <c r="EA21" i="5"/>
  <c r="DM21" i="5"/>
  <c r="DB21" i="5"/>
  <c r="CO21" i="5"/>
  <c r="CB21" i="5"/>
  <c r="BR21" i="5"/>
  <c r="BH21" i="5"/>
  <c r="AV21" i="5"/>
  <c r="AL21" i="5"/>
  <c r="AB21" i="5"/>
  <c r="P21" i="5"/>
  <c r="EL21" i="5"/>
  <c r="EB21" i="5"/>
  <c r="DO21" i="5"/>
  <c r="DD21" i="5"/>
  <c r="CQ21" i="5"/>
  <c r="CC21" i="5"/>
  <c r="BS21" i="5"/>
  <c r="BI21" i="5"/>
  <c r="AW21" i="5"/>
  <c r="AM21" i="5"/>
  <c r="AC21" i="5"/>
  <c r="Q21" i="5"/>
  <c r="V21" i="5"/>
  <c r="AJ21" i="5"/>
  <c r="AZ21" i="5"/>
  <c r="BL21" i="5"/>
  <c r="BZ21" i="5"/>
  <c r="CR21" i="5"/>
  <c r="DI21" i="5"/>
  <c r="DW21" i="5"/>
  <c r="EF22" i="5"/>
  <c r="EH22" i="5"/>
  <c r="DY22" i="5"/>
  <c r="DQ22" i="5"/>
  <c r="DG22" i="5"/>
  <c r="CW22" i="5"/>
  <c r="CM22" i="5"/>
  <c r="CD22" i="5"/>
  <c r="BV22" i="5"/>
  <c r="BN22" i="5"/>
  <c r="BF22" i="5"/>
  <c r="AX22" i="5"/>
  <c r="AP22" i="5"/>
  <c r="AH22" i="5"/>
  <c r="Z22" i="5"/>
  <c r="R22" i="5"/>
  <c r="G22" i="5"/>
  <c r="EI22" i="5"/>
  <c r="DZ22" i="5"/>
  <c r="DR22" i="5"/>
  <c r="DH22" i="5"/>
  <c r="CX22" i="5"/>
  <c r="CN22" i="5"/>
  <c r="CE22" i="5"/>
  <c r="BW22" i="5"/>
  <c r="BO22" i="5"/>
  <c r="BG22" i="5"/>
  <c r="AY22" i="5"/>
  <c r="AQ22" i="5"/>
  <c r="AI22" i="5"/>
  <c r="AA22" i="5"/>
  <c r="S22" i="5"/>
  <c r="H22" i="5"/>
  <c r="EL22" i="5"/>
  <c r="EA22" i="5"/>
  <c r="DM22" i="5"/>
  <c r="DB22" i="5"/>
  <c r="CO22" i="5"/>
  <c r="CB22" i="5"/>
  <c r="BR22" i="5"/>
  <c r="BH22" i="5"/>
  <c r="AV22" i="5"/>
  <c r="AL22" i="5"/>
  <c r="AB22" i="5"/>
  <c r="P22" i="5"/>
  <c r="EB22" i="5"/>
  <c r="DO22" i="5"/>
  <c r="DD22" i="5"/>
  <c r="CQ22" i="5"/>
  <c r="CC22" i="5"/>
  <c r="BS22" i="5"/>
  <c r="BI22" i="5"/>
  <c r="AW22" i="5"/>
  <c r="AM22" i="5"/>
  <c r="AC22" i="5"/>
  <c r="Q22" i="5"/>
  <c r="V22" i="5"/>
  <c r="AJ22" i="5"/>
  <c r="AZ22" i="5"/>
  <c r="BL22" i="5"/>
  <c r="BZ22" i="5"/>
  <c r="CR22" i="5"/>
  <c r="DI22" i="5"/>
  <c r="DW22" i="5"/>
  <c r="K37" i="6"/>
  <c r="J37" i="6"/>
  <c r="K46" i="6"/>
  <c r="J46" i="6"/>
  <c r="K54" i="6"/>
  <c r="J54" i="6"/>
  <c r="K29" i="6"/>
  <c r="J29" i="6"/>
  <c r="K38" i="6"/>
  <c r="J38" i="6"/>
  <c r="K21" i="6"/>
  <c r="J21" i="6"/>
  <c r="K30" i="6"/>
  <c r="J30" i="6"/>
  <c r="K22" i="6"/>
  <c r="J22" i="6"/>
  <c r="EF23" i="5"/>
  <c r="DX23" i="5"/>
  <c r="DO23" i="5"/>
  <c r="DF23" i="5"/>
  <c r="CU23" i="5"/>
  <c r="CL23" i="5"/>
  <c r="CC23" i="5"/>
  <c r="BU23" i="5"/>
  <c r="BM23" i="5"/>
  <c r="BE23" i="5"/>
  <c r="AW23" i="5"/>
  <c r="AO23" i="5"/>
  <c r="AG23" i="5"/>
  <c r="Y23" i="5"/>
  <c r="Q23" i="5"/>
  <c r="F23" i="5"/>
  <c r="EE23" i="5"/>
  <c r="DW23" i="5"/>
  <c r="DM23" i="5"/>
  <c r="DE23" i="5"/>
  <c r="CT23" i="5"/>
  <c r="CK23" i="5"/>
  <c r="CB23" i="5"/>
  <c r="BT23" i="5"/>
  <c r="BL23" i="5"/>
  <c r="EJ23" i="5"/>
  <c r="EB23" i="5"/>
  <c r="DT23" i="5"/>
  <c r="DJ23" i="5"/>
  <c r="CZ23" i="5"/>
  <c r="CQ23" i="5"/>
  <c r="CG23" i="5"/>
  <c r="BY23" i="5"/>
  <c r="BQ23" i="5"/>
  <c r="BI23" i="5"/>
  <c r="BA23" i="5"/>
  <c r="AS23" i="5"/>
  <c r="AK23" i="5"/>
  <c r="AC23" i="5"/>
  <c r="U23" i="5"/>
  <c r="J23" i="5"/>
  <c r="EH23" i="5"/>
  <c r="DU23" i="5"/>
  <c r="DG23" i="5"/>
  <c r="CO23" i="5"/>
  <c r="CA23" i="5"/>
  <c r="BO23" i="5"/>
  <c r="BC23" i="5"/>
  <c r="AR23" i="5"/>
  <c r="AH23" i="5"/>
  <c r="W23" i="5"/>
  <c r="I23" i="5"/>
  <c r="EI23" i="5"/>
  <c r="DV23" i="5"/>
  <c r="DH23" i="5"/>
  <c r="CR23" i="5"/>
  <c r="CD23" i="5"/>
  <c r="BP23" i="5"/>
  <c r="BD23" i="5"/>
  <c r="AT23" i="5"/>
  <c r="AI23" i="5"/>
  <c r="X23" i="5"/>
  <c r="K23" i="5"/>
  <c r="V23" i="5"/>
  <c r="AL23" i="5"/>
  <c r="AY23" i="5"/>
  <c r="BN23" i="5"/>
  <c r="CF23" i="5"/>
  <c r="CY23" i="5"/>
  <c r="DS23" i="5"/>
  <c r="EL23" i="5"/>
  <c r="T23" i="5"/>
  <c r="AJ23" i="5"/>
  <c r="AX23" i="5"/>
  <c r="BK23" i="5"/>
  <c r="CE23" i="5"/>
  <c r="CX23" i="5"/>
  <c r="DR23" i="5"/>
  <c r="EK23" i="5"/>
  <c r="B23" i="6"/>
  <c r="K45" i="6"/>
  <c r="J45" i="6"/>
  <c r="K53" i="6"/>
  <c r="J53" i="6"/>
  <c r="K61" i="6"/>
  <c r="J61" i="6"/>
  <c r="K69" i="6"/>
  <c r="J69" i="6"/>
  <c r="K77" i="6"/>
  <c r="J77" i="6"/>
  <c r="K85" i="6"/>
  <c r="J85" i="6"/>
  <c r="K94" i="6"/>
  <c r="J94" i="6"/>
  <c r="K104" i="6"/>
  <c r="J104" i="6"/>
  <c r="K114" i="6"/>
  <c r="J114" i="6"/>
  <c r="I120" i="6"/>
  <c r="B125" i="8" s="1"/>
  <c r="E125" i="8" s="1"/>
  <c r="F125" i="8" s="1"/>
  <c r="K62" i="6"/>
  <c r="J62" i="6"/>
  <c r="K70" i="6"/>
  <c r="J70" i="6"/>
  <c r="K78" i="6"/>
  <c r="J78" i="6"/>
  <c r="K86" i="6"/>
  <c r="J86" i="6"/>
  <c r="K96" i="6"/>
  <c r="J96" i="6"/>
  <c r="K105" i="6"/>
  <c r="J105" i="6"/>
  <c r="J23" i="6"/>
  <c r="J31" i="6"/>
  <c r="J39" i="6"/>
  <c r="J47" i="6"/>
  <c r="J55" i="6"/>
  <c r="J63" i="6"/>
  <c r="J71" i="6"/>
  <c r="J79" i="6"/>
  <c r="J87" i="6"/>
  <c r="J97" i="6"/>
  <c r="J107" i="6"/>
  <c r="D20" i="6" s="1"/>
  <c r="J116" i="6"/>
  <c r="J24" i="5"/>
  <c r="U24" i="5"/>
  <c r="AC24" i="5"/>
  <c r="AK24" i="5"/>
  <c r="AS24" i="5"/>
  <c r="BA24" i="5"/>
  <c r="BI24" i="5"/>
  <c r="BQ24" i="5"/>
  <c r="BY24" i="5"/>
  <c r="CG24" i="5"/>
  <c r="CQ24" i="5"/>
  <c r="CZ24" i="5"/>
  <c r="DJ24" i="5"/>
  <c r="DT24" i="5"/>
  <c r="EB24" i="5"/>
  <c r="EJ24" i="5"/>
  <c r="K18" i="6"/>
  <c r="K26" i="6"/>
  <c r="K34" i="6"/>
  <c r="K42" i="6"/>
  <c r="K50" i="6"/>
  <c r="K58" i="6"/>
  <c r="K66" i="6"/>
  <c r="K74" i="6"/>
  <c r="K82" i="6"/>
  <c r="K91" i="6"/>
  <c r="K100" i="6"/>
  <c r="K111" i="6"/>
  <c r="H121" i="6"/>
  <c r="C52" i="6"/>
  <c r="B154" i="8" s="1"/>
  <c r="E154" i="8" s="1"/>
  <c r="F154" i="8" s="1"/>
  <c r="C56" i="6"/>
  <c r="B158" i="8" s="1"/>
  <c r="E158" i="8" s="1"/>
  <c r="F158" i="8" s="1"/>
  <c r="C60" i="6"/>
  <c r="B162" i="8" s="1"/>
  <c r="E162" i="8" s="1"/>
  <c r="F162" i="8" s="1"/>
  <c r="C64" i="6"/>
  <c r="B166" i="8" s="1"/>
  <c r="E166" i="8" s="1"/>
  <c r="F166" i="8" s="1"/>
  <c r="C68" i="6"/>
  <c r="B170" i="8" s="1"/>
  <c r="E170" i="8" s="1"/>
  <c r="F170" i="8" s="1"/>
  <c r="J117" i="6"/>
  <c r="P24" i="5"/>
  <c r="X24" i="5"/>
  <c r="AF24" i="5"/>
  <c r="AN24" i="5"/>
  <c r="AV24" i="5"/>
  <c r="BD24" i="5"/>
  <c r="BL24" i="5"/>
  <c r="BT24" i="5"/>
  <c r="CB24" i="5"/>
  <c r="CK24" i="5"/>
  <c r="CT24" i="5"/>
  <c r="DE24" i="5"/>
  <c r="DM24" i="5"/>
  <c r="DW24" i="5"/>
  <c r="EE24" i="5"/>
  <c r="J115" i="6"/>
  <c r="F24" i="5"/>
  <c r="Q24" i="5"/>
  <c r="Y24" i="5"/>
  <c r="AG24" i="5"/>
  <c r="AO24" i="5"/>
  <c r="AW24" i="5"/>
  <c r="BE24" i="5"/>
  <c r="BM24" i="5"/>
  <c r="BU24" i="5"/>
  <c r="CC24" i="5"/>
  <c r="CL24" i="5"/>
  <c r="CU24" i="5"/>
  <c r="DF24" i="5"/>
  <c r="DO24" i="5"/>
  <c r="DX24" i="5"/>
  <c r="J118" i="6"/>
  <c r="C50" i="6"/>
  <c r="B152" i="8" s="1"/>
  <c r="E152" i="8" s="1"/>
  <c r="F152" i="8" s="1"/>
  <c r="C54" i="6"/>
  <c r="B156" i="8" s="1"/>
  <c r="E156" i="8" s="1"/>
  <c r="F156" i="8" s="1"/>
  <c r="C58" i="6"/>
  <c r="B160" i="8" s="1"/>
  <c r="E160" i="8" s="1"/>
  <c r="F160" i="8" s="1"/>
  <c r="C62" i="6"/>
  <c r="B164" i="8" s="1"/>
  <c r="E164" i="8" s="1"/>
  <c r="F164" i="8" s="1"/>
  <c r="C66" i="6"/>
  <c r="B168" i="8" s="1"/>
  <c r="E168" i="8" s="1"/>
  <c r="F168" i="8" s="1"/>
  <c r="C70" i="6"/>
  <c r="B172" i="8" s="1"/>
  <c r="E172" i="8" s="1"/>
  <c r="F172" i="8" s="1"/>
  <c r="C51" i="6"/>
  <c r="B153" i="8" s="1"/>
  <c r="C55" i="6"/>
  <c r="B157" i="8" s="1"/>
  <c r="C59" i="6"/>
  <c r="B161" i="8" s="1"/>
  <c r="C63" i="6"/>
  <c r="B165" i="8" s="1"/>
  <c r="G240" i="8" l="1"/>
  <c r="E205" i="8"/>
  <c r="F205" i="8" s="1"/>
  <c r="D205" i="8"/>
  <c r="C245" i="8"/>
  <c r="G283" i="8"/>
  <c r="G205" i="8"/>
  <c r="H254" i="8"/>
  <c r="H219" i="8"/>
  <c r="E245" i="8"/>
  <c r="F245" i="8" s="1"/>
  <c r="H266" i="8"/>
  <c r="E284" i="8"/>
  <c r="F284" i="8" s="1"/>
  <c r="E200" i="8"/>
  <c r="F200" i="8" s="1"/>
  <c r="G189" i="8"/>
  <c r="D189" i="8"/>
  <c r="E221" i="8"/>
  <c r="F221" i="8" s="1"/>
  <c r="D221" i="8"/>
  <c r="E210" i="8"/>
  <c r="F210" i="8" s="1"/>
  <c r="H232" i="8"/>
  <c r="D210" i="8"/>
  <c r="H289" i="8"/>
  <c r="H283" i="8"/>
  <c r="E186" i="8"/>
  <c r="F186" i="8" s="1"/>
  <c r="C186" i="8"/>
  <c r="I46" i="6"/>
  <c r="B51" i="8" s="1"/>
  <c r="B9" i="8"/>
  <c r="G286" i="8"/>
  <c r="D160" i="8"/>
  <c r="D125" i="8"/>
  <c r="G285" i="8"/>
  <c r="C237" i="8"/>
  <c r="E237" i="8"/>
  <c r="F237" i="8" s="1"/>
  <c r="D237" i="8"/>
  <c r="C244" i="8"/>
  <c r="E244" i="8"/>
  <c r="F244" i="8" s="1"/>
  <c r="D244" i="8"/>
  <c r="C272" i="8"/>
  <c r="E272" i="8"/>
  <c r="F272" i="8" s="1"/>
  <c r="D272" i="8"/>
  <c r="C203" i="8"/>
  <c r="E203" i="8"/>
  <c r="F203" i="8" s="1"/>
  <c r="D203" i="8"/>
  <c r="E217" i="8"/>
  <c r="F217" i="8" s="1"/>
  <c r="C217" i="8"/>
  <c r="D217" i="8"/>
  <c r="E249" i="8"/>
  <c r="F249" i="8" s="1"/>
  <c r="C249" i="8"/>
  <c r="D249" i="8"/>
  <c r="E159" i="8"/>
  <c r="F159" i="8" s="1"/>
  <c r="D159" i="8"/>
  <c r="D163" i="8"/>
  <c r="E163" i="8"/>
  <c r="F163" i="8" s="1"/>
  <c r="D155" i="8"/>
  <c r="E155" i="8"/>
  <c r="F155" i="8" s="1"/>
  <c r="E169" i="8"/>
  <c r="F169" i="8" s="1"/>
  <c r="D169" i="8"/>
  <c r="D172" i="8"/>
  <c r="D156" i="8"/>
  <c r="C229" i="8"/>
  <c r="E229" i="8"/>
  <c r="F229" i="8" s="1"/>
  <c r="D229" i="8"/>
  <c r="D251" i="8"/>
  <c r="C251" i="8"/>
  <c r="E251" i="8"/>
  <c r="F251" i="8" s="1"/>
  <c r="D227" i="8"/>
  <c r="C227" i="8"/>
  <c r="E227" i="8"/>
  <c r="F227" i="8" s="1"/>
  <c r="D171" i="8"/>
  <c r="E171" i="8"/>
  <c r="F171" i="8" s="1"/>
  <c r="E167" i="8"/>
  <c r="F167" i="8" s="1"/>
  <c r="D167" i="8"/>
  <c r="D170" i="8"/>
  <c r="D154" i="8"/>
  <c r="C252" i="8"/>
  <c r="E252" i="8"/>
  <c r="F252" i="8" s="1"/>
  <c r="D252" i="8"/>
  <c r="C220" i="8"/>
  <c r="D220" i="8"/>
  <c r="E220" i="8"/>
  <c r="F220" i="8" s="1"/>
  <c r="C195" i="8"/>
  <c r="E195" i="8"/>
  <c r="F195" i="8" s="1"/>
  <c r="D195" i="8"/>
  <c r="E257" i="8"/>
  <c r="F257" i="8" s="1"/>
  <c r="C257" i="8"/>
  <c r="D257" i="8"/>
  <c r="G266" i="8"/>
  <c r="H285" i="8"/>
  <c r="D186" i="8"/>
  <c r="D197" i="8"/>
  <c r="D168" i="8"/>
  <c r="D152" i="8"/>
  <c r="D253" i="8"/>
  <c r="G200" i="8"/>
  <c r="C281" i="8"/>
  <c r="E281" i="8"/>
  <c r="F281" i="8" s="1"/>
  <c r="D281" i="8"/>
  <c r="D280" i="8"/>
  <c r="C280" i="8"/>
  <c r="E280" i="8"/>
  <c r="F280" i="8" s="1"/>
  <c r="C256" i="8"/>
  <c r="E256" i="8"/>
  <c r="F256" i="8" s="1"/>
  <c r="D256" i="8"/>
  <c r="D158" i="8"/>
  <c r="E165" i="8"/>
  <c r="F165" i="8" s="1"/>
  <c r="D165" i="8"/>
  <c r="C22" i="6"/>
  <c r="B17" i="8" s="1"/>
  <c r="B8" i="8"/>
  <c r="E161" i="8"/>
  <c r="F161" i="8" s="1"/>
  <c r="D161" i="8"/>
  <c r="E157" i="8"/>
  <c r="F157" i="8" s="1"/>
  <c r="D157" i="8"/>
  <c r="D166" i="8"/>
  <c r="G225" i="8"/>
  <c r="E253" i="8"/>
  <c r="F253" i="8" s="1"/>
  <c r="C248" i="8"/>
  <c r="E248" i="8"/>
  <c r="F248" i="8" s="1"/>
  <c r="D248" i="8"/>
  <c r="C204" i="8"/>
  <c r="E204" i="8"/>
  <c r="F204" i="8" s="1"/>
  <c r="D204" i="8"/>
  <c r="E278" i="8"/>
  <c r="F278" i="8" s="1"/>
  <c r="C278" i="8"/>
  <c r="D278" i="8"/>
  <c r="E194" i="8"/>
  <c r="F194" i="8" s="1"/>
  <c r="C194" i="8"/>
  <c r="C182" i="8"/>
  <c r="D164" i="8"/>
  <c r="G197" i="8"/>
  <c r="E218" i="8"/>
  <c r="F218" i="8" s="1"/>
  <c r="D218" i="8"/>
  <c r="C218" i="8"/>
  <c r="G224" i="8"/>
  <c r="C213" i="8"/>
  <c r="E213" i="8"/>
  <c r="F213" i="8" s="1"/>
  <c r="D213" i="8"/>
  <c r="C271" i="8"/>
  <c r="D271" i="8"/>
  <c r="E271" i="8"/>
  <c r="F271" i="8" s="1"/>
  <c r="C269" i="8"/>
  <c r="E269" i="8"/>
  <c r="F269" i="8" s="1"/>
  <c r="D269" i="8"/>
  <c r="E153" i="8"/>
  <c r="F153" i="8" s="1"/>
  <c r="D153" i="8"/>
  <c r="E151" i="8"/>
  <c r="F151" i="8" s="1"/>
  <c r="D151" i="8"/>
  <c r="D162" i="8"/>
  <c r="C282" i="8"/>
  <c r="D282" i="8"/>
  <c r="E282" i="8"/>
  <c r="F282" i="8" s="1"/>
  <c r="C188" i="8"/>
  <c r="E188" i="8"/>
  <c r="F188" i="8" s="1"/>
  <c r="D188" i="8"/>
  <c r="D211" i="8"/>
  <c r="C211" i="8"/>
  <c r="E211" i="8"/>
  <c r="F211" i="8" s="1"/>
  <c r="E193" i="8"/>
  <c r="F193" i="8" s="1"/>
  <c r="D193" i="8"/>
  <c r="C193" i="8"/>
  <c r="E267" i="8"/>
  <c r="F267" i="8" s="1"/>
  <c r="C267" i="8"/>
  <c r="D267" i="8"/>
  <c r="C276" i="8"/>
  <c r="E276" i="8"/>
  <c r="F276" i="8" s="1"/>
  <c r="D276" i="8"/>
  <c r="G255" i="8"/>
  <c r="H255" i="8"/>
  <c r="G199" i="8"/>
  <c r="H199" i="8"/>
  <c r="H226" i="8"/>
  <c r="G226" i="8"/>
  <c r="G191" i="8"/>
  <c r="H191" i="8"/>
  <c r="H206" i="8"/>
  <c r="G206" i="8"/>
  <c r="H279" i="8"/>
  <c r="G279" i="8"/>
  <c r="G265" i="8"/>
  <c r="H265" i="8"/>
  <c r="G284" i="8"/>
  <c r="H284" i="8"/>
  <c r="H198" i="8"/>
  <c r="G198" i="8"/>
  <c r="H214" i="8"/>
  <c r="G214" i="8"/>
  <c r="G223" i="8"/>
  <c r="H223" i="8"/>
  <c r="H190" i="8"/>
  <c r="G190" i="8"/>
  <c r="H250" i="8"/>
  <c r="G250" i="8"/>
  <c r="H259" i="8"/>
  <c r="H258" i="8" s="1"/>
  <c r="H176" i="8" s="1"/>
  <c r="G259" i="8"/>
  <c r="G258" i="8" s="1"/>
  <c r="G176" i="8" s="1"/>
  <c r="G247" i="8"/>
  <c r="H247" i="8"/>
  <c r="G215" i="8"/>
  <c r="H215" i="8"/>
  <c r="G274" i="8"/>
  <c r="H274" i="8"/>
  <c r="G239" i="8"/>
  <c r="H239" i="8"/>
  <c r="H253" i="8"/>
  <c r="G253" i="8"/>
  <c r="H242" i="8"/>
  <c r="G242" i="8"/>
  <c r="H268" i="8"/>
  <c r="G268" i="8"/>
  <c r="H234" i="8"/>
  <c r="G234" i="8"/>
  <c r="H287" i="8"/>
  <c r="G287" i="8"/>
  <c r="G231" i="8"/>
  <c r="H231" i="8"/>
  <c r="G207" i="8"/>
  <c r="H207" i="8"/>
  <c r="H245" i="8"/>
  <c r="G245" i="8"/>
  <c r="E17" i="6"/>
  <c r="I31" i="6"/>
  <c r="B36" i="8" s="1"/>
  <c r="I84" i="6"/>
  <c r="B89" i="8" s="1"/>
  <c r="I76" i="6"/>
  <c r="B81" i="8" s="1"/>
  <c r="I107" i="6"/>
  <c r="B112" i="8" s="1"/>
  <c r="I45" i="6"/>
  <c r="B50" i="8" s="1"/>
  <c r="C33" i="6"/>
  <c r="B135" i="8" s="1"/>
  <c r="I66" i="6"/>
  <c r="B71" i="8" s="1"/>
  <c r="C39" i="6"/>
  <c r="B141" i="8" s="1"/>
  <c r="D17" i="6"/>
  <c r="I67" i="6"/>
  <c r="B72" i="8" s="1"/>
  <c r="I71" i="6"/>
  <c r="B76" i="8" s="1"/>
  <c r="I109" i="6"/>
  <c r="B114" i="8" s="1"/>
  <c r="I59" i="6"/>
  <c r="B64" i="8" s="1"/>
  <c r="I105" i="6"/>
  <c r="B110" i="8" s="1"/>
  <c r="I98" i="6"/>
  <c r="B103" i="8" s="1"/>
  <c r="I114" i="6"/>
  <c r="B119" i="8" s="1"/>
  <c r="C37" i="6"/>
  <c r="B139" i="8" s="1"/>
  <c r="C32" i="6"/>
  <c r="B134" i="8" s="1"/>
  <c r="C20" i="6"/>
  <c r="B15" i="8" s="1"/>
  <c r="I91" i="6"/>
  <c r="B96" i="8" s="1"/>
  <c r="I70" i="6"/>
  <c r="B75" i="8" s="1"/>
  <c r="C43" i="6"/>
  <c r="B145" i="8" s="1"/>
  <c r="I32" i="6"/>
  <c r="B37" i="8" s="1"/>
  <c r="I30" i="6"/>
  <c r="B35" i="8" s="1"/>
  <c r="D16" i="6"/>
  <c r="C16" i="6"/>
  <c r="B11" i="8" s="1"/>
  <c r="I79" i="6"/>
  <c r="B84" i="8" s="1"/>
  <c r="E16" i="6"/>
  <c r="I116" i="6"/>
  <c r="B121" i="8" s="1"/>
  <c r="I39" i="6"/>
  <c r="B44" i="8" s="1"/>
  <c r="I111" i="6"/>
  <c r="B116" i="8" s="1"/>
  <c r="I86" i="6"/>
  <c r="B91" i="8" s="1"/>
  <c r="D21" i="6"/>
  <c r="I94" i="6"/>
  <c r="B99" i="8" s="1"/>
  <c r="I69" i="6"/>
  <c r="B74" i="8" s="1"/>
  <c r="I93" i="6"/>
  <c r="B98" i="8" s="1"/>
  <c r="C34" i="6"/>
  <c r="B136" i="8" s="1"/>
  <c r="I24" i="6"/>
  <c r="B29" i="8" s="1"/>
  <c r="I34" i="6"/>
  <c r="B39" i="8" s="1"/>
  <c r="I43" i="6"/>
  <c r="B48" i="8" s="1"/>
  <c r="I63" i="6"/>
  <c r="B68" i="8" s="1"/>
  <c r="I82" i="6"/>
  <c r="B87" i="8" s="1"/>
  <c r="D19" i="6"/>
  <c r="I85" i="6"/>
  <c r="B90" i="8" s="1"/>
  <c r="I61" i="6"/>
  <c r="B66" i="8" s="1"/>
  <c r="I68" i="6"/>
  <c r="B73" i="8" s="1"/>
  <c r="I88" i="6"/>
  <c r="B93" i="8" s="1"/>
  <c r="C44" i="6"/>
  <c r="B146" i="8" s="1"/>
  <c r="I22" i="6"/>
  <c r="B27" i="8" s="1"/>
  <c r="I29" i="6"/>
  <c r="B34" i="8" s="1"/>
  <c r="I37" i="6"/>
  <c r="B42" i="8" s="1"/>
  <c r="I35" i="6"/>
  <c r="B40" i="8" s="1"/>
  <c r="I97" i="6"/>
  <c r="B102" i="8" s="1"/>
  <c r="I100" i="6"/>
  <c r="B105" i="8" s="1"/>
  <c r="E19" i="6"/>
  <c r="C18" i="6"/>
  <c r="B13" i="8" s="1"/>
  <c r="I44" i="6"/>
  <c r="B49" i="8" s="1"/>
  <c r="I80" i="6"/>
  <c r="B85" i="8" s="1"/>
  <c r="I21" i="6"/>
  <c r="B26" i="8" s="1"/>
  <c r="I115" i="6"/>
  <c r="B120" i="8" s="1"/>
  <c r="E21" i="6"/>
  <c r="I27" i="6"/>
  <c r="B32" i="8" s="1"/>
  <c r="C45" i="6"/>
  <c r="B147" i="8" s="1"/>
  <c r="D18" i="6"/>
  <c r="C40" i="6"/>
  <c r="B142" i="8" s="1"/>
  <c r="I104" i="6"/>
  <c r="B109" i="8" s="1"/>
  <c r="C47" i="6"/>
  <c r="B149" i="8" s="1"/>
  <c r="I28" i="6"/>
  <c r="B33" i="8" s="1"/>
  <c r="I72" i="6"/>
  <c r="B77" i="8" s="1"/>
  <c r="C36" i="6"/>
  <c r="B138" i="8" s="1"/>
  <c r="I19" i="6"/>
  <c r="B24" i="8" s="1"/>
  <c r="I47" i="6"/>
  <c r="B52" i="8" s="1"/>
  <c r="C31" i="6"/>
  <c r="B133" i="8" s="1"/>
  <c r="I74" i="6"/>
  <c r="B79" i="8" s="1"/>
  <c r="C27" i="6"/>
  <c r="B129" i="8" s="1"/>
  <c r="I53" i="6"/>
  <c r="B58" i="8" s="1"/>
  <c r="C29" i="6"/>
  <c r="B131" i="8" s="1"/>
  <c r="I20" i="6"/>
  <c r="B25" i="8" s="1"/>
  <c r="I48" i="6"/>
  <c r="B53" i="8" s="1"/>
  <c r="I18" i="6"/>
  <c r="B23" i="8" s="1"/>
  <c r="I110" i="6"/>
  <c r="B115" i="8" s="1"/>
  <c r="I99" i="6"/>
  <c r="B104" i="8" s="1"/>
  <c r="I90" i="6"/>
  <c r="B95" i="8" s="1"/>
  <c r="I81" i="6"/>
  <c r="B86" i="8" s="1"/>
  <c r="I73" i="6"/>
  <c r="B78" i="8" s="1"/>
  <c r="I65" i="6"/>
  <c r="B70" i="8" s="1"/>
  <c r="I57" i="6"/>
  <c r="B62" i="8" s="1"/>
  <c r="I49" i="6"/>
  <c r="B54" i="8" s="1"/>
  <c r="I41" i="6"/>
  <c r="B46" i="8" s="1"/>
  <c r="I33" i="6"/>
  <c r="B38" i="8" s="1"/>
  <c r="I25" i="6"/>
  <c r="B30" i="8" s="1"/>
  <c r="I102" i="6"/>
  <c r="B107" i="8" s="1"/>
  <c r="I92" i="6"/>
  <c r="B97" i="8" s="1"/>
  <c r="I83" i="6"/>
  <c r="B88" i="8" s="1"/>
  <c r="I75" i="6"/>
  <c r="B80" i="8" s="1"/>
  <c r="I17" i="6"/>
  <c r="B22" i="8" s="1"/>
  <c r="C30" i="6"/>
  <c r="B132" i="8" s="1"/>
  <c r="C38" i="6"/>
  <c r="B140" i="8" s="1"/>
  <c r="C46" i="6"/>
  <c r="B148" i="8" s="1"/>
  <c r="C28" i="6"/>
  <c r="B130" i="8" s="1"/>
  <c r="I51" i="6"/>
  <c r="B56" i="8" s="1"/>
  <c r="C41" i="6"/>
  <c r="B143" i="8" s="1"/>
  <c r="I96" i="6"/>
  <c r="B101" i="8" s="1"/>
  <c r="I78" i="6"/>
  <c r="B83" i="8" s="1"/>
  <c r="I62" i="6"/>
  <c r="B67" i="8" s="1"/>
  <c r="I118" i="6"/>
  <c r="B123" i="8" s="1"/>
  <c r="I103" i="6"/>
  <c r="B108" i="8" s="1"/>
  <c r="I36" i="6"/>
  <c r="B41" i="8" s="1"/>
  <c r="I40" i="6"/>
  <c r="B45" i="8" s="1"/>
  <c r="I50" i="6"/>
  <c r="B55" i="8" s="1"/>
  <c r="E18" i="6"/>
  <c r="I38" i="6"/>
  <c r="B43" i="8" s="1"/>
  <c r="I58" i="6"/>
  <c r="B63" i="8" s="1"/>
  <c r="I42" i="6"/>
  <c r="B47" i="8" s="1"/>
  <c r="I112" i="6"/>
  <c r="B117" i="8" s="1"/>
  <c r="C42" i="6"/>
  <c r="B144" i="8" s="1"/>
  <c r="I87" i="6"/>
  <c r="B92" i="8" s="1"/>
  <c r="I55" i="6"/>
  <c r="B60" i="8" s="1"/>
  <c r="I23" i="6"/>
  <c r="B28" i="8" s="1"/>
  <c r="C19" i="6"/>
  <c r="B14" i="8" s="1"/>
  <c r="C35" i="6"/>
  <c r="B137" i="8" s="1"/>
  <c r="C17" i="6"/>
  <c r="B12" i="8" s="1"/>
  <c r="I60" i="6"/>
  <c r="B65" i="8" s="1"/>
  <c r="I64" i="6"/>
  <c r="B69" i="8" s="1"/>
  <c r="C21" i="6"/>
  <c r="B16" i="8" s="1"/>
  <c r="I54" i="6"/>
  <c r="B59" i="8" s="1"/>
  <c r="I77" i="6"/>
  <c r="B82" i="8" s="1"/>
  <c r="C26" i="6"/>
  <c r="B128" i="8" s="1"/>
  <c r="I113" i="6"/>
  <c r="B118" i="8" s="1"/>
  <c r="I52" i="6"/>
  <c r="B57" i="8" s="1"/>
  <c r="I117" i="6"/>
  <c r="B122" i="8" s="1"/>
  <c r="I56" i="6"/>
  <c r="B61" i="8" s="1"/>
  <c r="I26" i="6"/>
  <c r="B31" i="8" s="1"/>
  <c r="E57" i="8" l="1"/>
  <c r="F57" i="8" s="1"/>
  <c r="D57" i="8"/>
  <c r="E79" i="8"/>
  <c r="F79" i="8" s="1"/>
  <c r="D79" i="8"/>
  <c r="D11" i="8"/>
  <c r="E11" i="8"/>
  <c r="F11" i="8" s="1"/>
  <c r="E132" i="8"/>
  <c r="F132" i="8" s="1"/>
  <c r="D132" i="8"/>
  <c r="D49" i="8"/>
  <c r="E49" i="8"/>
  <c r="F49" i="8" s="1"/>
  <c r="E83" i="8"/>
  <c r="F83" i="8" s="1"/>
  <c r="D83" i="8"/>
  <c r="E48" i="8"/>
  <c r="F48" i="8" s="1"/>
  <c r="D48" i="8"/>
  <c r="D82" i="8"/>
  <c r="E82" i="8"/>
  <c r="F82" i="8" s="1"/>
  <c r="D80" i="8"/>
  <c r="E80" i="8"/>
  <c r="F80" i="8" s="1"/>
  <c r="E93" i="8"/>
  <c r="F93" i="8" s="1"/>
  <c r="D93" i="8"/>
  <c r="E60" i="8"/>
  <c r="F60" i="8" s="1"/>
  <c r="D60" i="8"/>
  <c r="D31" i="8"/>
  <c r="E31" i="8"/>
  <c r="F31" i="8" s="1"/>
  <c r="E92" i="8"/>
  <c r="F92" i="8" s="1"/>
  <c r="D92" i="8"/>
  <c r="D56" i="8"/>
  <c r="E56" i="8"/>
  <c r="F56" i="8" s="1"/>
  <c r="E122" i="8"/>
  <c r="F122" i="8" s="1"/>
  <c r="D122" i="8"/>
  <c r="E65" i="8"/>
  <c r="F65" i="8" s="1"/>
  <c r="D65" i="8"/>
  <c r="E117" i="8"/>
  <c r="F117" i="8" s="1"/>
  <c r="D117" i="8"/>
  <c r="E108" i="8"/>
  <c r="F108" i="8" s="1"/>
  <c r="D108" i="8"/>
  <c r="E148" i="8"/>
  <c r="F148" i="8" s="1"/>
  <c r="D148" i="8"/>
  <c r="E30" i="8"/>
  <c r="F30" i="8" s="1"/>
  <c r="D30" i="8"/>
  <c r="E95" i="8"/>
  <c r="F95" i="8" s="1"/>
  <c r="D95" i="8"/>
  <c r="E129" i="8"/>
  <c r="F129" i="8" s="1"/>
  <c r="D129" i="8"/>
  <c r="E149" i="8"/>
  <c r="F149" i="8" s="1"/>
  <c r="D149" i="8"/>
  <c r="E26" i="8"/>
  <c r="F26" i="8" s="1"/>
  <c r="D26" i="8"/>
  <c r="E42" i="8"/>
  <c r="F42" i="8" s="1"/>
  <c r="D42" i="8"/>
  <c r="D74" i="8"/>
  <c r="E74" i="8"/>
  <c r="F74" i="8" s="1"/>
  <c r="E84" i="8"/>
  <c r="F84" i="8" s="1"/>
  <c r="D84" i="8"/>
  <c r="D15" i="8"/>
  <c r="E15" i="8"/>
  <c r="F15" i="8" s="1"/>
  <c r="E76" i="8"/>
  <c r="F76" i="8" s="1"/>
  <c r="D76" i="8"/>
  <c r="E81" i="8"/>
  <c r="F81" i="8" s="1"/>
  <c r="D81" i="8"/>
  <c r="H193" i="8"/>
  <c r="G193" i="8"/>
  <c r="H188" i="8"/>
  <c r="G188" i="8"/>
  <c r="H204" i="8"/>
  <c r="G204" i="8"/>
  <c r="H281" i="8"/>
  <c r="G281" i="8"/>
  <c r="E104" i="8"/>
  <c r="F104" i="8" s="1"/>
  <c r="D104" i="8"/>
  <c r="D99" i="8"/>
  <c r="E99" i="8"/>
  <c r="F99" i="8" s="1"/>
  <c r="E72" i="8"/>
  <c r="F72" i="8" s="1"/>
  <c r="D72" i="8"/>
  <c r="E89" i="8"/>
  <c r="F89" i="8" s="1"/>
  <c r="D89" i="8"/>
  <c r="H213" i="8"/>
  <c r="G213" i="8"/>
  <c r="H194" i="8"/>
  <c r="G194" i="8"/>
  <c r="H220" i="8"/>
  <c r="G220" i="8"/>
  <c r="H272" i="8"/>
  <c r="G272" i="8"/>
  <c r="E140" i="8"/>
  <c r="F140" i="8" s="1"/>
  <c r="D140" i="8"/>
  <c r="E63" i="8"/>
  <c r="F63" i="8" s="1"/>
  <c r="D63" i="8"/>
  <c r="E139" i="8"/>
  <c r="F139" i="8" s="1"/>
  <c r="D139" i="8"/>
  <c r="H256" i="8"/>
  <c r="G256" i="8"/>
  <c r="G257" i="8"/>
  <c r="H257" i="8"/>
  <c r="H217" i="8"/>
  <c r="G217" i="8"/>
  <c r="E123" i="8"/>
  <c r="F123" i="8" s="1"/>
  <c r="D123" i="8"/>
  <c r="E85" i="8"/>
  <c r="F85" i="8" s="1"/>
  <c r="D85" i="8"/>
  <c r="E118" i="8"/>
  <c r="F118" i="8" s="1"/>
  <c r="D118" i="8"/>
  <c r="E115" i="8"/>
  <c r="F115" i="8" s="1"/>
  <c r="D115" i="8"/>
  <c r="E68" i="8"/>
  <c r="F68" i="8" s="1"/>
  <c r="D68" i="8"/>
  <c r="D43" i="8"/>
  <c r="E43" i="8"/>
  <c r="F43" i="8" s="1"/>
  <c r="E13" i="8"/>
  <c r="F13" i="8" s="1"/>
  <c r="D13" i="8"/>
  <c r="E141" i="8"/>
  <c r="F141" i="8" s="1"/>
  <c r="D141" i="8"/>
  <c r="H282" i="8"/>
  <c r="G282" i="8"/>
  <c r="G269" i="8"/>
  <c r="H269" i="8"/>
  <c r="H218" i="8"/>
  <c r="G218" i="8"/>
  <c r="H248" i="8"/>
  <c r="G248" i="8"/>
  <c r="H229" i="8"/>
  <c r="G229" i="8"/>
  <c r="D47" i="8"/>
  <c r="E47" i="8"/>
  <c r="F47" i="8" s="1"/>
  <c r="E34" i="8"/>
  <c r="F34" i="8" s="1"/>
  <c r="D34" i="8"/>
  <c r="E137" i="8"/>
  <c r="F137" i="8" s="1"/>
  <c r="D137" i="8"/>
  <c r="E133" i="8"/>
  <c r="F133" i="8" s="1"/>
  <c r="D133" i="8"/>
  <c r="D54" i="8"/>
  <c r="E54" i="8"/>
  <c r="F54" i="8" s="1"/>
  <c r="D119" i="8"/>
  <c r="E119" i="8"/>
  <c r="F119" i="8" s="1"/>
  <c r="E147" i="8"/>
  <c r="F147" i="8" s="1"/>
  <c r="D147" i="8"/>
  <c r="H278" i="8"/>
  <c r="G278" i="8"/>
  <c r="B18" i="8"/>
  <c r="D17" i="8"/>
  <c r="E17" i="8"/>
  <c r="F17" i="8" s="1"/>
  <c r="G280" i="8"/>
  <c r="H280" i="8"/>
  <c r="H252" i="8"/>
  <c r="G252" i="8"/>
  <c r="G227" i="8"/>
  <c r="H227" i="8"/>
  <c r="H244" i="8"/>
  <c r="G244" i="8"/>
  <c r="B347" i="8"/>
  <c r="B341" i="8"/>
  <c r="B344" i="8"/>
  <c r="B349" i="8"/>
  <c r="B352" i="8"/>
  <c r="B348" i="8"/>
  <c r="B340" i="8"/>
  <c r="B339" i="8"/>
  <c r="E38" i="8"/>
  <c r="F38" i="8" s="1"/>
  <c r="D38" i="8"/>
  <c r="E87" i="8"/>
  <c r="F87" i="8" s="1"/>
  <c r="D87" i="8"/>
  <c r="E46" i="8"/>
  <c r="F46" i="8" s="1"/>
  <c r="D46" i="8"/>
  <c r="E128" i="8"/>
  <c r="F128" i="8" s="1"/>
  <c r="D128" i="8"/>
  <c r="E23" i="8"/>
  <c r="F23" i="8" s="1"/>
  <c r="D23" i="8"/>
  <c r="E91" i="8"/>
  <c r="F91" i="8" s="1"/>
  <c r="D91" i="8"/>
  <c r="E62" i="8"/>
  <c r="F62" i="8" s="1"/>
  <c r="D62" i="8"/>
  <c r="E37" i="8"/>
  <c r="F37" i="8" s="1"/>
  <c r="D37" i="8"/>
  <c r="H276" i="8"/>
  <c r="H275" i="8" s="1"/>
  <c r="H179" i="8" s="1"/>
  <c r="G276" i="8"/>
  <c r="G275" i="8" s="1"/>
  <c r="G179" i="8" s="1"/>
  <c r="E59" i="8"/>
  <c r="F59" i="8" s="1"/>
  <c r="D59" i="8"/>
  <c r="E55" i="8"/>
  <c r="F55" i="8" s="1"/>
  <c r="D55" i="8"/>
  <c r="E143" i="8"/>
  <c r="F143" i="8" s="1"/>
  <c r="D143" i="8"/>
  <c r="E88" i="8"/>
  <c r="F88" i="8" s="1"/>
  <c r="D88" i="8"/>
  <c r="E70" i="8"/>
  <c r="F70" i="8" s="1"/>
  <c r="D70" i="8"/>
  <c r="E25" i="8"/>
  <c r="F25" i="8" s="1"/>
  <c r="D25" i="8"/>
  <c r="D138" i="8"/>
  <c r="E138" i="8"/>
  <c r="F138" i="8" s="1"/>
  <c r="E32" i="8"/>
  <c r="F32" i="8" s="1"/>
  <c r="D32" i="8"/>
  <c r="E105" i="8"/>
  <c r="F105" i="8" s="1"/>
  <c r="D105" i="8"/>
  <c r="E73" i="8"/>
  <c r="F73" i="8" s="1"/>
  <c r="D73" i="8"/>
  <c r="E29" i="8"/>
  <c r="F29" i="8" s="1"/>
  <c r="D29" i="8"/>
  <c r="E44" i="8"/>
  <c r="F44" i="8" s="1"/>
  <c r="D44" i="8"/>
  <c r="E145" i="8"/>
  <c r="F145" i="8" s="1"/>
  <c r="D145" i="8"/>
  <c r="E110" i="8"/>
  <c r="F110" i="8" s="1"/>
  <c r="D110" i="8"/>
  <c r="E135" i="8"/>
  <c r="F135" i="8" s="1"/>
  <c r="D135" i="8"/>
  <c r="E51" i="8"/>
  <c r="F51" i="8" s="1"/>
  <c r="D51" i="8"/>
  <c r="D27" i="8"/>
  <c r="E27" i="8"/>
  <c r="F27" i="8" s="1"/>
  <c r="E14" i="8"/>
  <c r="F14" i="8" s="1"/>
  <c r="D14" i="8"/>
  <c r="E52" i="8"/>
  <c r="F52" i="8" s="1"/>
  <c r="D52" i="8"/>
  <c r="E35" i="8"/>
  <c r="F35" i="8" s="1"/>
  <c r="D35" i="8"/>
  <c r="E28" i="8"/>
  <c r="F28" i="8" s="1"/>
  <c r="D28" i="8"/>
  <c r="D24" i="8"/>
  <c r="E24" i="8"/>
  <c r="F24" i="8" s="1"/>
  <c r="E116" i="8"/>
  <c r="F116" i="8" s="1"/>
  <c r="D116" i="8"/>
  <c r="E71" i="8"/>
  <c r="F71" i="8" s="1"/>
  <c r="D71" i="8"/>
  <c r="D45" i="8"/>
  <c r="E45" i="8"/>
  <c r="F45" i="8" s="1"/>
  <c r="D78" i="8"/>
  <c r="E78" i="8"/>
  <c r="F78" i="8" s="1"/>
  <c r="E131" i="8"/>
  <c r="F131" i="8" s="1"/>
  <c r="D131" i="8"/>
  <c r="E77" i="8"/>
  <c r="F77" i="8" s="1"/>
  <c r="D77" i="8"/>
  <c r="E102" i="8"/>
  <c r="F102" i="8" s="1"/>
  <c r="D102" i="8"/>
  <c r="D66" i="8"/>
  <c r="E66" i="8"/>
  <c r="F66" i="8" s="1"/>
  <c r="E136" i="8"/>
  <c r="F136" i="8" s="1"/>
  <c r="D136" i="8"/>
  <c r="E121" i="8"/>
  <c r="F121" i="8" s="1"/>
  <c r="D121" i="8"/>
  <c r="E75" i="8"/>
  <c r="F75" i="8" s="1"/>
  <c r="D75" i="8"/>
  <c r="D64" i="8"/>
  <c r="E64" i="8"/>
  <c r="F64" i="8" s="1"/>
  <c r="E50" i="8"/>
  <c r="F50" i="8" s="1"/>
  <c r="D50" i="8"/>
  <c r="G267" i="8"/>
  <c r="G264" i="8" s="1"/>
  <c r="G177" i="8" s="1"/>
  <c r="H267" i="8"/>
  <c r="H264" i="8" s="1"/>
  <c r="H177" i="8" s="1"/>
  <c r="H271" i="8"/>
  <c r="G271" i="8"/>
  <c r="G270" i="8" s="1"/>
  <c r="G178" i="8" s="1"/>
  <c r="G195" i="8"/>
  <c r="H195" i="8"/>
  <c r="G203" i="8"/>
  <c r="H203" i="8"/>
  <c r="H186" i="8"/>
  <c r="G186" i="8"/>
  <c r="E12" i="8"/>
  <c r="F12" i="8" s="1"/>
  <c r="D12" i="8"/>
  <c r="D109" i="8"/>
  <c r="E109" i="8"/>
  <c r="F109" i="8" s="1"/>
  <c r="E134" i="8"/>
  <c r="F134" i="8" s="1"/>
  <c r="D134" i="8"/>
  <c r="E67" i="8"/>
  <c r="F67" i="8" s="1"/>
  <c r="D67" i="8"/>
  <c r="E142" i="8"/>
  <c r="F142" i="8" s="1"/>
  <c r="D142" i="8"/>
  <c r="E36" i="8"/>
  <c r="F36" i="8" s="1"/>
  <c r="D36" i="8"/>
  <c r="E22" i="8"/>
  <c r="F22" i="8" s="1"/>
  <c r="D22" i="8"/>
  <c r="D146" i="8"/>
  <c r="E146" i="8"/>
  <c r="F146" i="8" s="1"/>
  <c r="E101" i="8"/>
  <c r="F101" i="8" s="1"/>
  <c r="D101" i="8"/>
  <c r="E53" i="8"/>
  <c r="F53" i="8" s="1"/>
  <c r="D53" i="8"/>
  <c r="E39" i="8"/>
  <c r="F39" i="8" s="1"/>
  <c r="D39" i="8"/>
  <c r="E103" i="8"/>
  <c r="F103" i="8" s="1"/>
  <c r="D103" i="8"/>
  <c r="H211" i="8"/>
  <c r="G211" i="8"/>
  <c r="E16" i="8"/>
  <c r="F16" i="8" s="1"/>
  <c r="D16" i="8"/>
  <c r="E97" i="8"/>
  <c r="F97" i="8" s="1"/>
  <c r="D97" i="8"/>
  <c r="E61" i="8"/>
  <c r="F61" i="8" s="1"/>
  <c r="D61" i="8"/>
  <c r="E69" i="8"/>
  <c r="F69" i="8" s="1"/>
  <c r="D69" i="8"/>
  <c r="E144" i="8"/>
  <c r="F144" i="8" s="1"/>
  <c r="D144" i="8"/>
  <c r="E41" i="8"/>
  <c r="F41" i="8" s="1"/>
  <c r="D41" i="8"/>
  <c r="D130" i="8"/>
  <c r="E130" i="8"/>
  <c r="F130" i="8" s="1"/>
  <c r="E107" i="8"/>
  <c r="F107" i="8" s="1"/>
  <c r="D107" i="8"/>
  <c r="E86" i="8"/>
  <c r="F86" i="8" s="1"/>
  <c r="D86" i="8"/>
  <c r="E58" i="8"/>
  <c r="F58" i="8" s="1"/>
  <c r="D58" i="8"/>
  <c r="D33" i="8"/>
  <c r="E33" i="8"/>
  <c r="F33" i="8" s="1"/>
  <c r="E120" i="8"/>
  <c r="F120" i="8" s="1"/>
  <c r="D120" i="8"/>
  <c r="E40" i="8"/>
  <c r="F40" i="8" s="1"/>
  <c r="D40" i="8"/>
  <c r="D90" i="8"/>
  <c r="E90" i="8"/>
  <c r="F90" i="8" s="1"/>
  <c r="E98" i="8"/>
  <c r="F98" i="8" s="1"/>
  <c r="D98" i="8"/>
  <c r="E96" i="8"/>
  <c r="F96" i="8" s="1"/>
  <c r="D96" i="8"/>
  <c r="E114" i="8"/>
  <c r="F114" i="8" s="1"/>
  <c r="D114" i="8"/>
  <c r="E112" i="8"/>
  <c r="F112" i="8" s="1"/>
  <c r="D112" i="8"/>
  <c r="G251" i="8"/>
  <c r="H251" i="8"/>
  <c r="H249" i="8"/>
  <c r="G249" i="8"/>
  <c r="H237" i="8"/>
  <c r="G237" i="8"/>
  <c r="C23" i="6"/>
  <c r="I121" i="6"/>
  <c r="H270" i="8" l="1"/>
  <c r="H178" i="8" s="1"/>
  <c r="H185" i="8"/>
  <c r="H175" i="8" s="1"/>
  <c r="G277" i="8"/>
  <c r="G180" i="8" s="1"/>
  <c r="G185" i="8"/>
  <c r="G175" i="8" s="1"/>
  <c r="H277" i="8"/>
  <c r="H180" i="8" s="1"/>
  <c r="B346" i="8"/>
  <c r="B338" i="8"/>
</calcChain>
</file>

<file path=xl/sharedStrings.xml><?xml version="1.0" encoding="utf-8"?>
<sst xmlns="http://schemas.openxmlformats.org/spreadsheetml/2006/main" count="9626" uniqueCount="490">
  <si>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</si>
  <si>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</si>
  <si>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</si>
  <si>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</si>
  <si>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</si>
  <si>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</si>
  <si>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</si>
  <si>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</si>
  <si>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</si>
  <si>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</si>
  <si>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</si>
  <si>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</si>
  <si>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</si>
  <si>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</si>
  <si>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</si>
  <si>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</si>
  <si>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</si>
  <si>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</si>
  <si>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</si>
  <si>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</si>
  <si>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</si>
  <si>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</si>
  <si>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</si>
  <si>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</si>
  <si>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</si>
  <si>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</si>
  <si>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</si>
  <si>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</si>
  <si>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</si>
  <si>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</si>
  <si>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</si>
  <si>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</si>
  <si>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</si>
  <si>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</si>
  <si>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</si>
  <si>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</si>
  <si>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GOPR6977.JPG</t>
  </si>
  <si>
    <t>SP</t>
  </si>
  <si>
    <t>OB</t>
  </si>
  <si>
    <t>GONIO</t>
  </si>
  <si>
    <t>HC</t>
  </si>
  <si>
    <t>TWB</t>
  </si>
  <si>
    <t>PACF</t>
  </si>
  <si>
    <t>ACT</t>
  </si>
  <si>
    <t>AA</t>
  </si>
  <si>
    <t>ACB</t>
  </si>
  <si>
    <t>GOPR6978.JPG</t>
  </si>
  <si>
    <t>PORE</t>
  </si>
  <si>
    <t>CA</t>
  </si>
  <si>
    <t>OT</t>
  </si>
  <si>
    <t>GORG</t>
  </si>
  <si>
    <t>GOPR6979.JPG</t>
  </si>
  <si>
    <t>MER</t>
  </si>
  <si>
    <t>STY</t>
  </si>
  <si>
    <t>DC</t>
  </si>
  <si>
    <t>BUB</t>
  </si>
  <si>
    <t>PEC</t>
  </si>
  <si>
    <t>GOPR6980.JPG</t>
  </si>
  <si>
    <t>ISO</t>
  </si>
  <si>
    <t>PORM</t>
  </si>
  <si>
    <t>CE</t>
  </si>
  <si>
    <t>CB</t>
  </si>
  <si>
    <t>LEPS</t>
  </si>
  <si>
    <t>GOPR6981.JPG</t>
  </si>
  <si>
    <t>CF</t>
  </si>
  <si>
    <t>GOPR6982.JPG</t>
  </si>
  <si>
    <t>MONTB</t>
  </si>
  <si>
    <t>ECHY</t>
  </si>
  <si>
    <t>COE</t>
  </si>
  <si>
    <t>MYC</t>
  </si>
  <si>
    <t>SYM</t>
  </si>
  <si>
    <t>CAU</t>
  </si>
  <si>
    <t>GOPR6983.JPG</t>
  </si>
  <si>
    <t>SER</t>
  </si>
  <si>
    <t>DIS</t>
  </si>
  <si>
    <t>GOPR6984.JPG</t>
  </si>
  <si>
    <t>GOPR6985.JPG</t>
  </si>
  <si>
    <t>SC</t>
  </si>
  <si>
    <t>GONIA</t>
  </si>
  <si>
    <t>GOPR6986.JPG</t>
  </si>
  <si>
    <t>PACE</t>
  </si>
  <si>
    <t>GOPR6987.JPG</t>
  </si>
  <si>
    <t>GOPR6988.JPG</t>
  </si>
  <si>
    <t>GOPR6989.JPG</t>
  </si>
  <si>
    <t>ECHI</t>
  </si>
  <si>
    <t>GOPR6990.JPG</t>
  </si>
  <si>
    <t>TURB</t>
  </si>
  <si>
    <t>PORB</t>
  </si>
  <si>
    <t>POC</t>
  </si>
  <si>
    <t>GOPR6991.JPG</t>
  </si>
  <si>
    <t>CM</t>
  </si>
  <si>
    <t>GOPR6992.JPG</t>
  </si>
  <si>
    <t>CMR</t>
  </si>
  <si>
    <t>ACR</t>
  </si>
  <si>
    <t>GOPR6993.JPG</t>
  </si>
  <si>
    <t>ACC</t>
  </si>
  <si>
    <t>GOPR6994.JPG</t>
  </si>
  <si>
    <t>OXY</t>
  </si>
  <si>
    <t>GOPR6995.JPG</t>
  </si>
  <si>
    <t>PLAT</t>
  </si>
  <si>
    <t>PAV</t>
  </si>
  <si>
    <t>DCA</t>
  </si>
  <si>
    <t>GOPR6996.JPG</t>
  </si>
  <si>
    <t>GOPR6997.JPG</t>
  </si>
  <si>
    <t>GOPR6998.JPG</t>
  </si>
  <si>
    <t>R</t>
  </si>
  <si>
    <t>AB</t>
  </si>
  <si>
    <t>Major Categories (% of photo excluding TWS)</t>
  </si>
  <si>
    <t>coral</t>
  </si>
  <si>
    <t>algae assemblage</t>
  </si>
  <si>
    <t>abiotic</t>
  </si>
  <si>
    <t>macroalgae</t>
  </si>
  <si>
    <t>MA</t>
  </si>
  <si>
    <t>halimeda</t>
  </si>
  <si>
    <t>HA</t>
  </si>
  <si>
    <t>other biota</t>
  </si>
  <si>
    <t>Tape, Shadow, Blocks, IND</t>
  </si>
  <si>
    <t>Number of points classified in image</t>
  </si>
  <si>
    <t>Sub-Categories (% of photo excluding TWS)</t>
  </si>
  <si>
    <t>Acanthastrea (ACAN)</t>
  </si>
  <si>
    <t>ACAN</t>
  </si>
  <si>
    <t>Acropora branching (ACB)</t>
  </si>
  <si>
    <t>Acropora corymbose (ACC)</t>
  </si>
  <si>
    <t>Acropora digitate (ACD)</t>
  </si>
  <si>
    <t>ACD</t>
  </si>
  <si>
    <t>Acropora hispidose (ACH)</t>
  </si>
  <si>
    <t>ACH</t>
  </si>
  <si>
    <t>Acropora plate (ACT)</t>
  </si>
  <si>
    <t>Acropora robusta group (ACR)</t>
  </si>
  <si>
    <t>Astreopora (AST)</t>
  </si>
  <si>
    <t>AST</t>
  </si>
  <si>
    <t>Attached fungiids (AF)</t>
  </si>
  <si>
    <t>AF</t>
  </si>
  <si>
    <t>Bleached coral (BLEC)</t>
  </si>
  <si>
    <t>BLEC</t>
  </si>
  <si>
    <t>Caulastrea (CAU)</t>
  </si>
  <si>
    <t>Coeloseris (COE)</t>
  </si>
  <si>
    <t>Coscinarea (COS)</t>
  </si>
  <si>
    <t>COS</t>
  </si>
  <si>
    <t>Cyphastrea (CYP)</t>
  </si>
  <si>
    <t>CYP</t>
  </si>
  <si>
    <t>Diploastrea heliopora (DIP)</t>
  </si>
  <si>
    <t>DIP</t>
  </si>
  <si>
    <t>Echinophyllia (ECHY)</t>
  </si>
  <si>
    <t>Echinopora (ECHI)</t>
  </si>
  <si>
    <t>Euphyllia (EUP)</t>
  </si>
  <si>
    <t>EUP</t>
  </si>
  <si>
    <t>Favia (FAV)</t>
  </si>
  <si>
    <t>FAV</t>
  </si>
  <si>
    <t>Favites (FVI)</t>
  </si>
  <si>
    <t>FVI</t>
  </si>
  <si>
    <t>Fungia (CMR)</t>
  </si>
  <si>
    <t>Galaxea (GAL)</t>
  </si>
  <si>
    <t>GAL</t>
  </si>
  <si>
    <t>Goniastrea (GONIA)</t>
  </si>
  <si>
    <t>Goniopora (GONIO)</t>
  </si>
  <si>
    <t>Heliopora (HEL)</t>
  </si>
  <si>
    <t>HEL</t>
  </si>
  <si>
    <t>Hydnophora (HYD)</t>
  </si>
  <si>
    <t>HYD</t>
  </si>
  <si>
    <t>Isopora (ISO)</t>
  </si>
  <si>
    <t>Leptoria (LEPA)</t>
  </si>
  <si>
    <t>LEPA</t>
  </si>
  <si>
    <t>Leptoseris (LEPS)</t>
  </si>
  <si>
    <t>Lobophyllia (LOB)</t>
  </si>
  <si>
    <t>LOB</t>
  </si>
  <si>
    <t>Merulina (MER)</t>
  </si>
  <si>
    <t>Millepora (MILL)</t>
  </si>
  <si>
    <t>MILL</t>
  </si>
  <si>
    <t>Montastrea (MON)</t>
  </si>
  <si>
    <t>MON</t>
  </si>
  <si>
    <t>Montipora branching (MONTB)</t>
  </si>
  <si>
    <t>Montipora encrusting (MONTE)</t>
  </si>
  <si>
    <t>MONTE</t>
  </si>
  <si>
    <t>Montipora foliose (MONTF)</t>
  </si>
  <si>
    <t>MONTF</t>
  </si>
  <si>
    <t>Mycedium (MYC)</t>
  </si>
  <si>
    <t>Other branching corals (CB)</t>
  </si>
  <si>
    <t>Other bubble corals (BUB)</t>
  </si>
  <si>
    <t>Other encrusting corals (CE)</t>
  </si>
  <si>
    <t>Other foliose corals (CF)</t>
  </si>
  <si>
    <t>Other free living fungiids (FOT)</t>
  </si>
  <si>
    <t>FOT</t>
  </si>
  <si>
    <t>Other massive corals (CM)</t>
  </si>
  <si>
    <t>Oulastrea (OULA)</t>
  </si>
  <si>
    <t>OULA</t>
  </si>
  <si>
    <t>Oulophyllia (OULO)</t>
  </si>
  <si>
    <t>OULO</t>
  </si>
  <si>
    <t>Oxypora (OXY)</t>
  </si>
  <si>
    <t>Pachyseris encrusting (PACE)</t>
  </si>
  <si>
    <t>Pachyseris foliose (PACF)</t>
  </si>
  <si>
    <t>Pavona (PAV)</t>
  </si>
  <si>
    <t>Pectinia (PEC)</t>
  </si>
  <si>
    <t>Platygyra (PLAT)</t>
  </si>
  <si>
    <t>Pocillopora (POC)</t>
  </si>
  <si>
    <t>Porites branching (PORB)</t>
  </si>
  <si>
    <t>Porites encrusting (PORE)</t>
  </si>
  <si>
    <t>Porites massive (PORM)</t>
  </si>
  <si>
    <t>Seriatopora (SER)</t>
  </si>
  <si>
    <t>Stylophora (STY)</t>
  </si>
  <si>
    <t>Symphyllia (SYM)</t>
  </si>
  <si>
    <t>Tubipora musica (TUBI)</t>
  </si>
  <si>
    <t>TUBI</t>
  </si>
  <si>
    <t>Turbinaria (TURB)</t>
  </si>
  <si>
    <t>ZAcroporidae (ZACRF)</t>
  </si>
  <si>
    <t>ZACRF</t>
  </si>
  <si>
    <t>ZAgariciidae (ZAGARF)</t>
  </si>
  <si>
    <t>ZAGARF</t>
  </si>
  <si>
    <t>ZAgathiphylliidae (ZAGATF)</t>
  </si>
  <si>
    <t>ZAGATF</t>
  </si>
  <si>
    <t>ZDendrophylliidae (ZDENF)</t>
  </si>
  <si>
    <t>ZDENF</t>
  </si>
  <si>
    <t>ZEuphyllidae (ZEUPF)</t>
  </si>
  <si>
    <t>ZEUPF</t>
  </si>
  <si>
    <t>ZFaviidae (ZFAVF)</t>
  </si>
  <si>
    <t>ZFAVF</t>
  </si>
  <si>
    <t>ZFungiidae (ZCMRF)</t>
  </si>
  <si>
    <t>ZCMRF</t>
  </si>
  <si>
    <t>ZMussidae (ZMUSF)</t>
  </si>
  <si>
    <t>ZMUSF</t>
  </si>
  <si>
    <t>ZNon-scleractinian corals (ZNSC)</t>
  </si>
  <si>
    <t>ZNSC</t>
  </si>
  <si>
    <t>ZOther corals (ZOC)</t>
  </si>
  <si>
    <t>ZOC</t>
  </si>
  <si>
    <t>ZPocilloporidae (ZPOCF)</t>
  </si>
  <si>
    <t>ZPOCF</t>
  </si>
  <si>
    <t>ZPoritidae (ZPORF)</t>
  </si>
  <si>
    <t>ZPORF</t>
  </si>
  <si>
    <t>Algal assemblage (AA)</t>
  </si>
  <si>
    <t>Crustose Coralline algae (CA)</t>
  </si>
  <si>
    <t>Dead Coral (DC)</t>
  </si>
  <si>
    <t>Dead coral with algae (DCA)</t>
  </si>
  <si>
    <t>Disease (DIS)</t>
  </si>
  <si>
    <t>Gravel (GRV)</t>
  </si>
  <si>
    <t>GRV</t>
  </si>
  <si>
    <t>Rubble (R)</t>
  </si>
  <si>
    <t>Sand (S)</t>
  </si>
  <si>
    <t>S</t>
  </si>
  <si>
    <t>Sedimentary rock (RCK)</t>
  </si>
  <si>
    <t>RCK</t>
  </si>
  <si>
    <t>Silt (SI)</t>
  </si>
  <si>
    <t>SI</t>
  </si>
  <si>
    <t>Codium (COD)</t>
  </si>
  <si>
    <t>COD</t>
  </si>
  <si>
    <t>Kappaphycus (KAPP)</t>
  </si>
  <si>
    <t>KAPP</t>
  </si>
  <si>
    <t>Macroalgae (MA)</t>
  </si>
  <si>
    <t>Sargassum (SARG)</t>
  </si>
  <si>
    <t>SARG</t>
  </si>
  <si>
    <t>Halimeda (HA)</t>
  </si>
  <si>
    <t>Acanthaster (COTS)</t>
  </si>
  <si>
    <t>COTS</t>
  </si>
  <si>
    <t>Corallimorpharian (COR)</t>
  </si>
  <si>
    <t>COR</t>
  </si>
  <si>
    <t>Diadema (DIA)</t>
  </si>
  <si>
    <t>DIA</t>
  </si>
  <si>
    <t>Gorgonian (GORG)</t>
  </si>
  <si>
    <t>Isis (ISIS)</t>
  </si>
  <si>
    <t>ISIS</t>
  </si>
  <si>
    <t>Other invertebrates (OT)</t>
  </si>
  <si>
    <t>Seagrass (SG)</t>
  </si>
  <si>
    <t>SG</t>
  </si>
  <si>
    <t>Soft coral (SC)</t>
  </si>
  <si>
    <t>Sponge (SP)</t>
  </si>
  <si>
    <t>Zoanthid (ZO)</t>
  </si>
  <si>
    <t>ZO</t>
  </si>
  <si>
    <t>Tape, Shadow, Blocks, IND (TWB)</t>
  </si>
  <si>
    <t>NOTES (% of image)</t>
  </si>
  <si>
    <t>Corallimorpharian</t>
  </si>
  <si>
    <t>Acanthaster</t>
  </si>
  <si>
    <t>Diadema</t>
  </si>
  <si>
    <t>Gorgonian</t>
  </si>
  <si>
    <t>Isis</t>
  </si>
  <si>
    <t>Disease</t>
  </si>
  <si>
    <t>Bleached coral</t>
  </si>
  <si>
    <t>Codium</t>
  </si>
  <si>
    <t>Kappaphycus</t>
  </si>
  <si>
    <t>Sargassum</t>
  </si>
  <si>
    <t>ZAcroporidae</t>
  </si>
  <si>
    <t>ZAgariciidae</t>
  </si>
  <si>
    <t>ZAgathiphylliidae</t>
  </si>
  <si>
    <t>ZFungiidae</t>
  </si>
  <si>
    <t>ZDendrophylliidae</t>
  </si>
  <si>
    <t>ZEuphyllidae</t>
  </si>
  <si>
    <t>ZFaviidae</t>
  </si>
  <si>
    <t>ZMussidae</t>
  </si>
  <si>
    <t>ZNon-scleractinian corals</t>
  </si>
  <si>
    <t>ZOther corals</t>
  </si>
  <si>
    <t>ZPocilloporidae</t>
  </si>
  <si>
    <t>ZPoritidae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</si>
  <si>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</si>
  <si>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</si>
  <si>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</si>
  <si>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</si>
  <si>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</si>
  <si>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</si>
  <si>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</si>
  <si>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</si>
  <si>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</si>
  <si>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</si>
  <si>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C:\CPCe_41_inst\NACRE_SHINE_40.txt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</si>
  <si>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</si>
  <si>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</si>
  <si>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</si>
  <si>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</si>
  <si>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</si>
  <si>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</si>
  <si>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</si>
  <si>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</si>
  <si>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</si>
  <si>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</si>
  <si>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</si>
  <si>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</si>
  <si>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</si>
  <si>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</si>
  <si>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</si>
  <si>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</si>
  <si>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</si>
  <si>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</si>
  <si>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</si>
  <si>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</si>
  <si>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</si>
  <si>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</si>
  <si>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</si>
  <si>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</si>
  <si>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</si>
  <si>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</si>
  <si>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</si>
  <si>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</si>
  <si>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</si>
  <si>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</si>
  <si>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</si>
  <si>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</si>
  <si>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</si>
  <si>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</si>
  <si>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</si>
  <si>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</si>
  <si>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</si>
  <si>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</si>
  <si>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</si>
  <si>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</si>
  <si>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</si>
  <si>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</si>
  <si>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</si>
  <si>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</si>
  <si>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</si>
  <si>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</si>
  <si>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</si>
  <si>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(HC)</t>
  </si>
  <si>
    <t>ALGAE ASSEMBLAGE (AA)</t>
  </si>
  <si>
    <t>ABIOTIC (AB)</t>
  </si>
  <si>
    <t>MACROALGAE (MA)</t>
  </si>
  <si>
    <t>HALIMEDA (HA)</t>
  </si>
  <si>
    <t>OTHER BIOTA (OB)</t>
  </si>
  <si>
    <t>TAPE, SHADOW, BLOCKS, IND (TWB)</t>
  </si>
  <si>
    <t>TOTALS</t>
  </si>
  <si>
    <t>NOTES (% of transect)</t>
  </si>
  <si>
    <t>NOTES (% of coral)</t>
  </si>
  <si>
    <t>C:\CPCe_41_inst\Corals Data\Sorted\Siete Picados\Transect 4\GOPR6977.JPG</t>
  </si>
  <si>
    <t>C:\CPCe_41_inst\Corals Data\Sorted\Siete Picados\Transect 4\GOPR6977.cpc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</si>
  <si>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</si>
  <si>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</si>
  <si>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</si>
  <si>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</si>
  <si>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</si>
  <si>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</si>
  <si>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</si>
  <si>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</si>
  <si>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</si>
  <si>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</si>
  <si>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</si>
  <si>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</si>
  <si>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</si>
  <si>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</si>
  <si>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</si>
  <si>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</si>
  <si>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</si>
  <si>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</si>
  <si>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</si>
  <si>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</si>
  <si>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Sponge</t>
  </si>
  <si>
    <t>Goniopora</t>
  </si>
  <si>
    <t>Pachyseris foliose</t>
  </si>
  <si>
    <t>Acropora plate</t>
  </si>
  <si>
    <t>Algal assemblage</t>
  </si>
  <si>
    <t>Acropora branching</t>
  </si>
  <si>
    <t>C:\CPCe_41_inst\Corals Data\Sorted\Siete Picados\Transect 4\GOPR6978.JPG</t>
  </si>
  <si>
    <t>C:\CPCe_41_inst\Corals Data\Sorted\Siete Picados\Transect 4\GOPR6978.cpc</t>
  </si>
  <si>
    <t>Porites encrusting</t>
  </si>
  <si>
    <t>Crustose Coralline algae</t>
  </si>
  <si>
    <t>Other invertebrates</t>
  </si>
  <si>
    <t>C:\CPCe_41_inst\Corals Data\Sorted\Siete Picados\Transect 4\GOPR6979.JPG</t>
  </si>
  <si>
    <t>C:\CPCe_41_inst\Corals Data\Sorted\Siete Picados\Transect 4\GOPR6979.cpc</t>
  </si>
  <si>
    <t>Merulina</t>
  </si>
  <si>
    <t>Stylophora</t>
  </si>
  <si>
    <t>Dead Coral</t>
  </si>
  <si>
    <t>Other bubble corals</t>
  </si>
  <si>
    <t>Pectinia</t>
  </si>
  <si>
    <t>C:\CPCe_41_inst\Corals Data\Sorted\Siete Picados\Transect 4\GOPR6980.JPG</t>
  </si>
  <si>
    <t>C:\CPCe_41_inst\Corals Data\Sorted\Siete Picados\Transect 4\GOPR6980.cpc</t>
  </si>
  <si>
    <t>Isopora</t>
  </si>
  <si>
    <t>Porites massive</t>
  </si>
  <si>
    <t>Other encrusting corals</t>
  </si>
  <si>
    <t>Other branching corals</t>
  </si>
  <si>
    <t>Leptoseris</t>
  </si>
  <si>
    <t>C:\CPCe_41_inst\Corals Data\Sorted\Siete Picados\Transect 4\GOPR6981.JPG</t>
  </si>
  <si>
    <t>C:\CPCe_41_inst\Corals Data\Sorted\Siete Picados\Transect 4\GOPR6981.cpc</t>
  </si>
  <si>
    <t>Other foliose corals</t>
  </si>
  <si>
    <t>C:\CPCe_41_inst\Corals Data\Sorted\Siete Picados\Transect 4\GOPR6982.JPG</t>
  </si>
  <si>
    <t>C:\CPCe_41_inst\Corals Data\Sorted\Siete Picados\Transect 4\GOPR6982.cpc</t>
  </si>
  <si>
    <t>Montipora branching</t>
  </si>
  <si>
    <t>Echinophyllia</t>
  </si>
  <si>
    <t>Coeloseris</t>
  </si>
  <si>
    <t>Mycedium</t>
  </si>
  <si>
    <t>Symphyllia</t>
  </si>
  <si>
    <t>Caulastrea</t>
  </si>
  <si>
    <t>C:\CPCe_41_inst\Corals Data\Sorted\Siete Picados\Transect 4\GOPR6983.JPG</t>
  </si>
  <si>
    <t>C:\CPCe_41_inst\Corals Data\Sorted\Siete Picados\Transect 4\GOPR6983.cpc</t>
  </si>
  <si>
    <t>Seriatopora</t>
  </si>
  <si>
    <t>C:\CPCe_41_inst\Corals Data\Sorted\Siete Picados\Transect 4\GOPR6984.JPG</t>
  </si>
  <si>
    <t>C:\CPCe_41_inst\Corals Data\Sorted\Siete Picados\Transect 4\GOPR6984.cpc</t>
  </si>
  <si>
    <t>C:\CPCe_41_inst\Corals Data\Sorted\Siete Picados\Transect 4\GOPR6985.JPG</t>
  </si>
  <si>
    <t>C:\CPCe_41_inst\Corals Data\Sorted\Siete Picados\Transect 4\GOPR6985.cpc</t>
  </si>
  <si>
    <t>Soft coral</t>
  </si>
  <si>
    <t>Goniastrea</t>
  </si>
  <si>
    <t>C:\CPCe_41_inst\Corals Data\Sorted\Siete Picados\Transect 4\GOPR6986.JPG</t>
  </si>
  <si>
    <t>C:\CPCe_41_inst\Corals Data\Sorted\Siete Picados\Transect 4\GOPR6986.cpc</t>
  </si>
  <si>
    <t>Pachyseris encrusting</t>
  </si>
  <si>
    <t>C:\CPCe_41_inst\Corals Data\Sorted\Siete Picados\Transect 4\GOPR6987.JPG</t>
  </si>
  <si>
    <t>C:\CPCe_41_inst\Corals Data\Sorted\Siete Picados\Transect 4\GOPR6987.cpc</t>
  </si>
  <si>
    <t>C:\CPCe_41_inst\Corals Data\Sorted\Siete Picados\Transect 4\GOPR6988.JPG</t>
  </si>
  <si>
    <t>C:\CPCe_41_inst\Corals Data\Sorted\Siete Picados\Transect 4\GOPR6988.cpc</t>
  </si>
  <si>
    <t>C:\CPCe_41_inst\Corals Data\Sorted\Siete Picados\Transect 4\GOPR6989.JPG</t>
  </si>
  <si>
    <t>C:\CPCe_41_inst\Corals Data\Sorted\Siete Picados\Transect 4\GOPR6989.cpc</t>
  </si>
  <si>
    <t>Echinopora</t>
  </si>
  <si>
    <t>C:\CPCe_41_inst\Corals Data\Sorted\Siete Picados\Transect 4\GOPR6990.JPG</t>
  </si>
  <si>
    <t>C:\CPCe_41_inst\Corals Data\Sorted\Siete Picados\Transect 4\GOPR6990.cpc</t>
  </si>
  <si>
    <t>Turbinaria</t>
  </si>
  <si>
    <t>Porites branching</t>
  </si>
  <si>
    <t>Pocillopora</t>
  </si>
  <si>
    <t>C:\CPCe_41_inst\Corals Data\Sorted\Siete Picados\Transect 4\GOPR6991.JPG</t>
  </si>
  <si>
    <t>C:\CPCe_41_inst\Corals Data\Sorted\Siete Picados\Transect 4\GOPR6991.cpc</t>
  </si>
  <si>
    <t>Other massive corals</t>
  </si>
  <si>
    <t>C:\CPCe_41_inst\Corals Data\Sorted\Siete Picados\Transect 4\GOPR6992.JPG</t>
  </si>
  <si>
    <t>C:\CPCe_41_inst\Corals Data\Sorted\Siete Picados\Transect 4\GOPR6992.cpc</t>
  </si>
  <si>
    <t>Fungia</t>
  </si>
  <si>
    <t>Acropora robusta group</t>
  </si>
  <si>
    <t>C:\CPCe_41_inst\Corals Data\Sorted\Siete Picados\Transect 4\GOPR6993.JPG</t>
  </si>
  <si>
    <t>C:\CPCe_41_inst\Corals Data\Sorted\Siete Picados\Transect 4\GOPR6993.cpc</t>
  </si>
  <si>
    <t>Acropora corymbose</t>
  </si>
  <si>
    <t>C:\CPCe_41_inst\Corals Data\Sorted\Siete Picados\Transect 4\GOPR6994.JPG</t>
  </si>
  <si>
    <t>C:\CPCe_41_inst\Corals Data\Sorted\Siete Picados\Transect 4\GOPR6994.cpc</t>
  </si>
  <si>
    <t>Oxypora</t>
  </si>
  <si>
    <t>C:\CPCe_41_inst\Corals Data\Sorted\Siete Picados\Transect 4\GOPR6995.JPG</t>
  </si>
  <si>
    <t>C:\CPCe_41_inst\Corals Data\Sorted\Siete Picados\Transect 4\GOPR6995.cpc</t>
  </si>
  <si>
    <t>Platygyra</t>
  </si>
  <si>
    <t>Pavona</t>
  </si>
  <si>
    <t>Dead coral with algae</t>
  </si>
  <si>
    <t>C:\CPCe_41_inst\Corals Data\Sorted\Siete Picados\Transect 4\GOPR6996.JPG</t>
  </si>
  <si>
    <t>C:\CPCe_41_inst\Corals Data\Sorted\Siete Picados\Transect 4\GOPR6996.cpc</t>
  </si>
  <si>
    <t>C:\CPCe_41_inst\Corals Data\Sorted\Siete Picados\Transect 4\GOPR6997.JPG</t>
  </si>
  <si>
    <t>C:\CPCe_41_inst\Corals Data\Sorted\Siete Picados\Transect 4\GOPR6997.cpc</t>
  </si>
  <si>
    <t>C:\CPCe_41_inst\Corals Data\Sorted\Siete Picados\Transect 4\GOPR6998.JPG</t>
  </si>
  <si>
    <t>C:\CPCe_41_inst\Corals Data\Sorted\Siete Picados\Transect 4\GOPR6998.cpc</t>
  </si>
  <si>
    <t>Rubble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</si>
  <si>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</si>
  <si>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</si>
  <si>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</si>
  <si>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</si>
  <si>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</si>
  <si>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</si>
  <si>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</si>
  <si>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</si>
  <si>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</si>
  <si>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</si>
  <si>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</si>
  <si>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</si>
  <si>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</si>
  <si>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</si>
  <si>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</si>
  <si>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</si>
  <si>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</si>
  <si>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</si>
  <si>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</si>
  <si>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</si>
  <si>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</si>
  <si>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</si>
  <si>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C:\CPCe_41_inst\Corals Data\Scored\Siete Picados_T4.xlsx:Data summary</t>
  </si>
  <si>
    <t>C:\CPCe_41_inst\Corals Data\Scored\Siete Picados_T4.xlsx:4</t>
  </si>
  <si>
    <t>S.L.F.Morallo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</si>
</sst>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0" xfId="0" applyFill="1"/>
    <xf numFmtId="2" fontId="0" fillId="15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15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15" borderId="9" xfId="0" applyNumberFormat="1" applyFill="1" applyBorder="1"/>
    <xf numFmtId="2" fontId="0" fillId="0" borderId="9" xfId="0" applyNumberFormat="1" applyBorder="1"/>
    <xf numFmtId="0" fontId="0" fillId="15" borderId="9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15" borderId="0" xfId="0" applyFont="1" applyFill="1"/>
    <xf numFmtId="2" fontId="2" fillId="15" borderId="0" xfId="0" applyNumberFormat="1" applyFont="1" applyFill="1"/>
    <xf numFmtId="1" fontId="2" fillId="0" borderId="0" xfId="0" applyNumberFormat="1" applyFont="1"/>
    <xf numFmtId="1" fontId="2" fillId="15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15" borderId="13" xfId="0" applyFont="1" applyFill="1" applyBorder="1"/>
    <xf numFmtId="0" fontId="2" fillId="0" borderId="13" xfId="0" applyFont="1" applyBorder="1"/>
    <xf numFmtId="0" fontId="3" fillId="15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15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15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DFDFDF"/>
      <rgbColor rgb="00DFDFDF"/>
      <rgbColor rgb="00DFDFDF"/>
      <rgbColor rgb="0000FF00"/>
      <rgbColor rgb="00DFDFDF"/>
      <rgbColor rgb="00DFDFDF"/>
      <rgbColor rgb="00DFDFD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4C97-D48F-42C1-9911-EA4AEC793EAE}">
  <dimension ref="A1:AH222"/>
  <sheetViews>
    <sheetView workbookViewId="0"/>
  </sheetViews>
  <sheetFormatPr defaultRowHeight="14.5" x14ac:dyDescent="0.35"/>
  <cols>
    <col min="1" max="1" width="8.81640625" bestFit="1" customWidth="1"/>
    <col min="2" max="2" width="5.81640625" bestFit="1" customWidth="1"/>
    <col min="3" max="3" width="13.90625" bestFit="1" customWidth="1"/>
    <col min="4" max="4" width="11.08984375" bestFit="1" customWidth="1"/>
    <col min="5" max="5" width="66.26953125" bestFit="1" customWidth="1"/>
    <col min="6" max="6" width="66.08984375" bestFit="1" customWidth="1"/>
  </cols>
  <sheetData>
    <row r="1" spans="1:34" ht="15.5" thickTop="1" thickBot="1" x14ac:dyDescent="0.4">
      <c r="A1" s="31" t="s">
        <v>314</v>
      </c>
      <c r="B1" s="31" t="s">
        <v>26</v>
      </c>
      <c r="C1" s="31" t="s">
        <v>315</v>
      </c>
      <c r="D1" s="31" t="s">
        <v>316</v>
      </c>
      <c r="E1" s="31" t="s">
        <v>317</v>
      </c>
      <c r="F1" s="31" t="s">
        <v>318</v>
      </c>
      <c r="G1" s="31" t="s">
        <v>319</v>
      </c>
      <c r="H1" s="31" t="s">
        <v>320</v>
      </c>
      <c r="I1" s="31" t="s">
        <v>321</v>
      </c>
      <c r="J1" s="31" t="s">
        <v>322</v>
      </c>
      <c r="K1" s="31" t="s">
        <v>323</v>
      </c>
      <c r="L1" s="31" t="s">
        <v>324</v>
      </c>
      <c r="M1" s="31" t="s">
        <v>325</v>
      </c>
      <c r="N1" s="31" t="s">
        <v>326</v>
      </c>
      <c r="O1" s="31" t="s">
        <v>327</v>
      </c>
      <c r="P1" s="31" t="s">
        <v>328</v>
      </c>
      <c r="Q1" s="31" t="s">
        <v>329</v>
      </c>
      <c r="R1" s="31" t="s">
        <v>330</v>
      </c>
      <c r="S1" s="31" t="s">
        <v>331</v>
      </c>
      <c r="T1" s="31" t="s">
        <v>332</v>
      </c>
      <c r="U1" s="31" t="s">
        <v>333</v>
      </c>
      <c r="V1" s="31" t="s">
        <v>334</v>
      </c>
      <c r="W1" s="31" t="s">
        <v>335</v>
      </c>
      <c r="X1" s="31" t="s">
        <v>336</v>
      </c>
      <c r="Y1" s="31" t="s">
        <v>337</v>
      </c>
      <c r="Z1" s="31" t="s">
        <v>338</v>
      </c>
      <c r="AA1" s="31" t="s">
        <v>339</v>
      </c>
      <c r="AB1" s="31" t="s">
        <v>340</v>
      </c>
      <c r="AC1" s="31" t="s">
        <v>341</v>
      </c>
      <c r="AD1" s="31" t="s">
        <v>342</v>
      </c>
      <c r="AE1" s="31" t="s">
        <v>343</v>
      </c>
      <c r="AF1" s="31" t="s">
        <v>344</v>
      </c>
      <c r="AG1" s="31" t="s">
        <v>345</v>
      </c>
      <c r="AH1" s="31" t="s">
        <v>346</v>
      </c>
    </row>
    <row r="2" spans="1:34" ht="15" thickTop="1" x14ac:dyDescent="0.35">
      <c r="A2" s="38" t="s">
        <v>37</v>
      </c>
      <c r="B2" s="35"/>
      <c r="C2" s="49" t="s">
        <v>38</v>
      </c>
      <c r="D2" s="49" t="s">
        <v>360</v>
      </c>
      <c r="E2" s="49" t="s">
        <v>358</v>
      </c>
      <c r="F2" s="49" t="s">
        <v>359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2"/>
    </row>
    <row r="3" spans="1:34" x14ac:dyDescent="0.35">
      <c r="A3" s="41" t="s">
        <v>39</v>
      </c>
      <c r="B3" s="28"/>
      <c r="C3" t="s">
        <v>40</v>
      </c>
      <c r="E3" t="s">
        <v>358</v>
      </c>
      <c r="F3" t="s">
        <v>359</v>
      </c>
      <c r="AH3" s="47"/>
    </row>
    <row r="4" spans="1:34" x14ac:dyDescent="0.35">
      <c r="A4" s="41" t="s">
        <v>41</v>
      </c>
      <c r="B4" s="28"/>
      <c r="C4" t="s">
        <v>41</v>
      </c>
      <c r="E4" t="s">
        <v>358</v>
      </c>
      <c r="F4" t="s">
        <v>359</v>
      </c>
      <c r="AH4" s="47"/>
    </row>
    <row r="5" spans="1:34" x14ac:dyDescent="0.35">
      <c r="A5" s="41" t="s">
        <v>42</v>
      </c>
      <c r="B5" s="28"/>
      <c r="C5" t="s">
        <v>40</v>
      </c>
      <c r="E5" t="s">
        <v>358</v>
      </c>
      <c r="F5" t="s">
        <v>359</v>
      </c>
      <c r="AH5" s="47"/>
    </row>
    <row r="6" spans="1:34" x14ac:dyDescent="0.35">
      <c r="A6" s="41" t="s">
        <v>43</v>
      </c>
      <c r="B6" s="28"/>
      <c r="C6" t="s">
        <v>40</v>
      </c>
      <c r="E6" t="s">
        <v>358</v>
      </c>
      <c r="F6" t="s">
        <v>359</v>
      </c>
      <c r="AH6" s="47"/>
    </row>
    <row r="7" spans="1:34" x14ac:dyDescent="0.35">
      <c r="A7" s="41" t="s">
        <v>41</v>
      </c>
      <c r="B7" s="28"/>
      <c r="C7" t="s">
        <v>41</v>
      </c>
      <c r="E7" t="s">
        <v>358</v>
      </c>
      <c r="F7" t="s">
        <v>359</v>
      </c>
      <c r="AH7" s="47"/>
    </row>
    <row r="8" spans="1:34" x14ac:dyDescent="0.35">
      <c r="A8" s="41" t="s">
        <v>44</v>
      </c>
      <c r="B8" s="28"/>
      <c r="C8" t="s">
        <v>44</v>
      </c>
      <c r="E8" t="s">
        <v>358</v>
      </c>
      <c r="F8" t="s">
        <v>359</v>
      </c>
      <c r="AH8" s="47"/>
    </row>
    <row r="9" spans="1:34" x14ac:dyDescent="0.35">
      <c r="A9" s="41" t="s">
        <v>42</v>
      </c>
      <c r="B9" s="28"/>
      <c r="C9" t="s">
        <v>40</v>
      </c>
      <c r="E9" t="s">
        <v>358</v>
      </c>
      <c r="F9" t="s">
        <v>359</v>
      </c>
      <c r="AH9" s="47"/>
    </row>
    <row r="10" spans="1:34" x14ac:dyDescent="0.35">
      <c r="A10" s="41" t="s">
        <v>45</v>
      </c>
      <c r="B10" s="28"/>
      <c r="C10" t="s">
        <v>40</v>
      </c>
      <c r="E10" t="s">
        <v>358</v>
      </c>
      <c r="F10" t="s">
        <v>359</v>
      </c>
      <c r="AH10" s="47"/>
    </row>
    <row r="11" spans="1:34" ht="15" thickBot="1" x14ac:dyDescent="0.4">
      <c r="A11" s="51" t="s">
        <v>39</v>
      </c>
      <c r="B11" s="50"/>
      <c r="C11" s="36" t="s">
        <v>40</v>
      </c>
      <c r="D11" s="36" t="s">
        <v>361</v>
      </c>
      <c r="E11" s="36" t="s">
        <v>358</v>
      </c>
      <c r="F11" s="36" t="s">
        <v>359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8"/>
    </row>
    <row r="12" spans="1:34" ht="15" thickTop="1" x14ac:dyDescent="0.35">
      <c r="A12" s="38" t="s">
        <v>39</v>
      </c>
      <c r="B12" s="35"/>
      <c r="C12" s="49" t="s">
        <v>40</v>
      </c>
      <c r="D12" s="49" t="s">
        <v>360</v>
      </c>
      <c r="E12" s="49" t="s">
        <v>386</v>
      </c>
      <c r="F12" s="49" t="s">
        <v>387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2"/>
    </row>
    <row r="13" spans="1:34" x14ac:dyDescent="0.35">
      <c r="A13" s="41" t="s">
        <v>44</v>
      </c>
      <c r="B13" s="28"/>
      <c r="C13" t="s">
        <v>44</v>
      </c>
      <c r="E13" t="s">
        <v>386</v>
      </c>
      <c r="F13" t="s">
        <v>387</v>
      </c>
      <c r="AH13" s="47"/>
    </row>
    <row r="14" spans="1:34" x14ac:dyDescent="0.35">
      <c r="A14" s="41" t="s">
        <v>37</v>
      </c>
      <c r="B14" s="28"/>
      <c r="C14" t="s">
        <v>38</v>
      </c>
      <c r="E14" t="s">
        <v>386</v>
      </c>
      <c r="F14" t="s">
        <v>387</v>
      </c>
      <c r="AH14" s="47"/>
    </row>
    <row r="15" spans="1:34" x14ac:dyDescent="0.35">
      <c r="A15" s="41" t="s">
        <v>37</v>
      </c>
      <c r="B15" s="28"/>
      <c r="C15" t="s">
        <v>38</v>
      </c>
      <c r="E15" t="s">
        <v>386</v>
      </c>
      <c r="F15" t="s">
        <v>387</v>
      </c>
      <c r="AH15" s="47"/>
    </row>
    <row r="16" spans="1:34" x14ac:dyDescent="0.35">
      <c r="A16" s="41" t="s">
        <v>39</v>
      </c>
      <c r="B16" s="28"/>
      <c r="C16" t="s">
        <v>40</v>
      </c>
      <c r="E16" t="s">
        <v>386</v>
      </c>
      <c r="F16" t="s">
        <v>387</v>
      </c>
      <c r="AH16" s="47"/>
    </row>
    <row r="17" spans="1:34" x14ac:dyDescent="0.35">
      <c r="A17" s="41" t="s">
        <v>42</v>
      </c>
      <c r="B17" s="28"/>
      <c r="C17" t="s">
        <v>40</v>
      </c>
      <c r="E17" t="s">
        <v>386</v>
      </c>
      <c r="F17" t="s">
        <v>387</v>
      </c>
      <c r="AH17" s="47"/>
    </row>
    <row r="18" spans="1:34" x14ac:dyDescent="0.35">
      <c r="A18" s="41" t="s">
        <v>47</v>
      </c>
      <c r="B18" s="28"/>
      <c r="C18" t="s">
        <v>40</v>
      </c>
      <c r="E18" t="s">
        <v>386</v>
      </c>
      <c r="F18" t="s">
        <v>387</v>
      </c>
      <c r="AH18" s="47"/>
    </row>
    <row r="19" spans="1:34" x14ac:dyDescent="0.35">
      <c r="A19" s="41" t="s">
        <v>48</v>
      </c>
      <c r="B19" s="28"/>
      <c r="C19" t="s">
        <v>44</v>
      </c>
      <c r="E19" t="s">
        <v>386</v>
      </c>
      <c r="F19" t="s">
        <v>387</v>
      </c>
      <c r="AH19" s="47"/>
    </row>
    <row r="20" spans="1:34" x14ac:dyDescent="0.35">
      <c r="A20" s="41" t="s">
        <v>49</v>
      </c>
      <c r="B20" s="28" t="s">
        <v>50</v>
      </c>
      <c r="C20" t="s">
        <v>38</v>
      </c>
      <c r="E20" t="s">
        <v>386</v>
      </c>
      <c r="F20" t="s">
        <v>387</v>
      </c>
      <c r="AH20" s="47"/>
    </row>
    <row r="21" spans="1:34" ht="15" thickBot="1" x14ac:dyDescent="0.4">
      <c r="A21" s="51" t="s">
        <v>39</v>
      </c>
      <c r="B21" s="50"/>
      <c r="C21" s="36" t="s">
        <v>40</v>
      </c>
      <c r="D21" s="36" t="s">
        <v>361</v>
      </c>
      <c r="E21" s="36" t="s">
        <v>386</v>
      </c>
      <c r="F21" s="36" t="s">
        <v>387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48"/>
    </row>
    <row r="22" spans="1:34" ht="15" thickTop="1" x14ac:dyDescent="0.35">
      <c r="A22" s="38" t="s">
        <v>52</v>
      </c>
      <c r="B22" s="35"/>
      <c r="C22" s="49" t="s">
        <v>40</v>
      </c>
      <c r="D22" s="49" t="s">
        <v>360</v>
      </c>
      <c r="E22" s="49" t="s">
        <v>391</v>
      </c>
      <c r="F22" s="49" t="s">
        <v>392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52"/>
    </row>
    <row r="23" spans="1:34" x14ac:dyDescent="0.35">
      <c r="A23" s="41" t="s">
        <v>44</v>
      </c>
      <c r="B23" s="28"/>
      <c r="C23" t="s">
        <v>44</v>
      </c>
      <c r="E23" t="s">
        <v>391</v>
      </c>
      <c r="F23" t="s">
        <v>392</v>
      </c>
      <c r="AH23" s="47"/>
    </row>
    <row r="24" spans="1:34" x14ac:dyDescent="0.35">
      <c r="A24" s="41" t="s">
        <v>48</v>
      </c>
      <c r="B24" s="28"/>
      <c r="C24" t="s">
        <v>44</v>
      </c>
      <c r="E24" t="s">
        <v>391</v>
      </c>
      <c r="F24" t="s">
        <v>392</v>
      </c>
      <c r="AH24" s="47"/>
    </row>
    <row r="25" spans="1:34" x14ac:dyDescent="0.35">
      <c r="A25" s="41" t="s">
        <v>53</v>
      </c>
      <c r="B25" s="28"/>
      <c r="C25" t="s">
        <v>40</v>
      </c>
      <c r="E25" t="s">
        <v>391</v>
      </c>
      <c r="F25" t="s">
        <v>392</v>
      </c>
      <c r="AH25" s="47"/>
    </row>
    <row r="26" spans="1:34" x14ac:dyDescent="0.35">
      <c r="A26" s="41" t="s">
        <v>54</v>
      </c>
      <c r="B26" s="28"/>
      <c r="C26" t="s">
        <v>44</v>
      </c>
      <c r="E26" t="s">
        <v>391</v>
      </c>
      <c r="F26" t="s">
        <v>392</v>
      </c>
      <c r="AH26" s="47"/>
    </row>
    <row r="27" spans="1:34" x14ac:dyDescent="0.35">
      <c r="A27" s="41" t="s">
        <v>55</v>
      </c>
      <c r="B27" s="28"/>
      <c r="C27" t="s">
        <v>40</v>
      </c>
      <c r="E27" t="s">
        <v>391</v>
      </c>
      <c r="F27" t="s">
        <v>392</v>
      </c>
      <c r="AH27" s="47"/>
    </row>
    <row r="28" spans="1:34" x14ac:dyDescent="0.35">
      <c r="A28" s="41" t="s">
        <v>48</v>
      </c>
      <c r="B28" s="28"/>
      <c r="C28" t="s">
        <v>44</v>
      </c>
      <c r="E28" t="s">
        <v>391</v>
      </c>
      <c r="F28" t="s">
        <v>392</v>
      </c>
      <c r="AH28" s="47"/>
    </row>
    <row r="29" spans="1:34" x14ac:dyDescent="0.35">
      <c r="A29" s="41" t="s">
        <v>37</v>
      </c>
      <c r="B29" s="28"/>
      <c r="C29" t="s">
        <v>38</v>
      </c>
      <c r="E29" t="s">
        <v>391</v>
      </c>
      <c r="F29" t="s">
        <v>392</v>
      </c>
      <c r="AH29" s="47"/>
    </row>
    <row r="30" spans="1:34" x14ac:dyDescent="0.35">
      <c r="A30" s="41" t="s">
        <v>56</v>
      </c>
      <c r="B30" s="28"/>
      <c r="C30" t="s">
        <v>40</v>
      </c>
      <c r="E30" t="s">
        <v>391</v>
      </c>
      <c r="F30" t="s">
        <v>392</v>
      </c>
      <c r="AH30" s="47"/>
    </row>
    <row r="31" spans="1:34" ht="15" thickBot="1" x14ac:dyDescent="0.4">
      <c r="A31" s="51" t="s">
        <v>44</v>
      </c>
      <c r="B31" s="50"/>
      <c r="C31" s="36" t="s">
        <v>44</v>
      </c>
      <c r="D31" s="36" t="s">
        <v>361</v>
      </c>
      <c r="E31" s="36" t="s">
        <v>391</v>
      </c>
      <c r="F31" s="36" t="s">
        <v>392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8"/>
    </row>
    <row r="32" spans="1:34" ht="15" thickTop="1" x14ac:dyDescent="0.35">
      <c r="A32" s="38" t="s">
        <v>41</v>
      </c>
      <c r="B32" s="35"/>
      <c r="C32" s="49" t="s">
        <v>41</v>
      </c>
      <c r="D32" s="49" t="s">
        <v>360</v>
      </c>
      <c r="E32" s="49" t="s">
        <v>398</v>
      </c>
      <c r="F32" s="49" t="s">
        <v>399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2"/>
    </row>
    <row r="33" spans="1:34" x14ac:dyDescent="0.35">
      <c r="A33" s="41" t="s">
        <v>39</v>
      </c>
      <c r="B33" s="28"/>
      <c r="C33" t="s">
        <v>40</v>
      </c>
      <c r="E33" t="s">
        <v>398</v>
      </c>
      <c r="F33" t="s">
        <v>399</v>
      </c>
      <c r="AH33" s="47"/>
    </row>
    <row r="34" spans="1:34" x14ac:dyDescent="0.35">
      <c r="A34" s="41" t="s">
        <v>58</v>
      </c>
      <c r="B34" s="28"/>
      <c r="C34" t="s">
        <v>40</v>
      </c>
      <c r="E34" t="s">
        <v>398</v>
      </c>
      <c r="F34" t="s">
        <v>399</v>
      </c>
      <c r="AH34" s="47"/>
    </row>
    <row r="35" spans="1:34" x14ac:dyDescent="0.35">
      <c r="A35" s="41" t="s">
        <v>59</v>
      </c>
      <c r="B35" s="28"/>
      <c r="C35" t="s">
        <v>40</v>
      </c>
      <c r="E35" t="s">
        <v>398</v>
      </c>
      <c r="F35" t="s">
        <v>399</v>
      </c>
      <c r="AH35" s="47"/>
    </row>
    <row r="36" spans="1:34" x14ac:dyDescent="0.35">
      <c r="A36" s="41" t="s">
        <v>60</v>
      </c>
      <c r="B36" s="28"/>
      <c r="C36" t="s">
        <v>40</v>
      </c>
      <c r="E36" t="s">
        <v>398</v>
      </c>
      <c r="F36" t="s">
        <v>399</v>
      </c>
      <c r="AH36" s="47"/>
    </row>
    <row r="37" spans="1:34" x14ac:dyDescent="0.35">
      <c r="A37" s="41" t="s">
        <v>61</v>
      </c>
      <c r="B37" s="28"/>
      <c r="C37" t="s">
        <v>40</v>
      </c>
      <c r="E37" t="s">
        <v>398</v>
      </c>
      <c r="F37" t="s">
        <v>399</v>
      </c>
      <c r="AH37" s="47"/>
    </row>
    <row r="38" spans="1:34" x14ac:dyDescent="0.35">
      <c r="A38" s="41" t="s">
        <v>60</v>
      </c>
      <c r="B38" s="28"/>
      <c r="C38" t="s">
        <v>40</v>
      </c>
      <c r="E38" t="s">
        <v>398</v>
      </c>
      <c r="F38" t="s">
        <v>399</v>
      </c>
      <c r="AH38" s="47"/>
    </row>
    <row r="39" spans="1:34" x14ac:dyDescent="0.35">
      <c r="A39" s="41" t="s">
        <v>62</v>
      </c>
      <c r="B39" s="28"/>
      <c r="C39" t="s">
        <v>40</v>
      </c>
      <c r="E39" t="s">
        <v>398</v>
      </c>
      <c r="F39" t="s">
        <v>399</v>
      </c>
      <c r="AH39" s="47"/>
    </row>
    <row r="40" spans="1:34" x14ac:dyDescent="0.35">
      <c r="A40" s="41" t="s">
        <v>60</v>
      </c>
      <c r="B40" s="28"/>
      <c r="C40" t="s">
        <v>40</v>
      </c>
      <c r="E40" t="s">
        <v>398</v>
      </c>
      <c r="F40" t="s">
        <v>399</v>
      </c>
      <c r="AH40" s="47"/>
    </row>
    <row r="41" spans="1:34" ht="15" thickBot="1" x14ac:dyDescent="0.4">
      <c r="A41" s="51" t="s">
        <v>41</v>
      </c>
      <c r="B41" s="50"/>
      <c r="C41" s="36" t="s">
        <v>41</v>
      </c>
      <c r="D41" s="36" t="s">
        <v>361</v>
      </c>
      <c r="E41" s="36" t="s">
        <v>398</v>
      </c>
      <c r="F41" s="36" t="s">
        <v>399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48"/>
    </row>
    <row r="42" spans="1:34" ht="15" thickTop="1" x14ac:dyDescent="0.35">
      <c r="A42" s="38" t="s">
        <v>37</v>
      </c>
      <c r="B42" s="35"/>
      <c r="C42" s="49" t="s">
        <v>38</v>
      </c>
      <c r="D42" s="49" t="s">
        <v>360</v>
      </c>
      <c r="E42" s="49" t="s">
        <v>405</v>
      </c>
      <c r="F42" s="49" t="s">
        <v>406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52"/>
    </row>
    <row r="43" spans="1:34" x14ac:dyDescent="0.35">
      <c r="A43" s="41" t="s">
        <v>37</v>
      </c>
      <c r="B43" s="28"/>
      <c r="C43" t="s">
        <v>38</v>
      </c>
      <c r="E43" t="s">
        <v>405</v>
      </c>
      <c r="F43" t="s">
        <v>406</v>
      </c>
      <c r="AH43" s="47"/>
    </row>
    <row r="44" spans="1:34" x14ac:dyDescent="0.35">
      <c r="A44" s="41" t="s">
        <v>48</v>
      </c>
      <c r="B44" s="28"/>
      <c r="C44" t="s">
        <v>44</v>
      </c>
      <c r="E44" t="s">
        <v>405</v>
      </c>
      <c r="F44" t="s">
        <v>406</v>
      </c>
      <c r="AH44" s="47"/>
    </row>
    <row r="45" spans="1:34" x14ac:dyDescent="0.35">
      <c r="A45" s="41" t="s">
        <v>64</v>
      </c>
      <c r="B45" s="28"/>
      <c r="C45" t="s">
        <v>40</v>
      </c>
      <c r="E45" t="s">
        <v>405</v>
      </c>
      <c r="F45" t="s">
        <v>406</v>
      </c>
      <c r="AH45" s="47"/>
    </row>
    <row r="46" spans="1:34" x14ac:dyDescent="0.35">
      <c r="A46" s="41" t="s">
        <v>44</v>
      </c>
      <c r="B46" s="28"/>
      <c r="C46" t="s">
        <v>44</v>
      </c>
      <c r="E46" t="s">
        <v>405</v>
      </c>
      <c r="F46" t="s">
        <v>406</v>
      </c>
      <c r="AH46" s="47"/>
    </row>
    <row r="47" spans="1:34" x14ac:dyDescent="0.35">
      <c r="A47" s="41" t="s">
        <v>44</v>
      </c>
      <c r="B47" s="28"/>
      <c r="C47" t="s">
        <v>44</v>
      </c>
      <c r="E47" t="s">
        <v>405</v>
      </c>
      <c r="F47" t="s">
        <v>406</v>
      </c>
      <c r="AH47" s="47"/>
    </row>
    <row r="48" spans="1:34" x14ac:dyDescent="0.35">
      <c r="A48" s="41" t="s">
        <v>49</v>
      </c>
      <c r="B48" s="28" t="s">
        <v>50</v>
      </c>
      <c r="C48" t="s">
        <v>38</v>
      </c>
      <c r="E48" t="s">
        <v>405</v>
      </c>
      <c r="F48" t="s">
        <v>406</v>
      </c>
      <c r="AH48" s="47"/>
    </row>
    <row r="49" spans="1:34" x14ac:dyDescent="0.35">
      <c r="A49" s="41" t="s">
        <v>48</v>
      </c>
      <c r="B49" s="28"/>
      <c r="C49" t="s">
        <v>44</v>
      </c>
      <c r="E49" t="s">
        <v>405</v>
      </c>
      <c r="F49" t="s">
        <v>406</v>
      </c>
      <c r="AH49" s="47"/>
    </row>
    <row r="50" spans="1:34" x14ac:dyDescent="0.35">
      <c r="A50" s="41" t="s">
        <v>45</v>
      </c>
      <c r="B50" s="28"/>
      <c r="C50" t="s">
        <v>40</v>
      </c>
      <c r="E50" t="s">
        <v>405</v>
      </c>
      <c r="F50" t="s">
        <v>406</v>
      </c>
      <c r="AH50" s="47"/>
    </row>
    <row r="51" spans="1:34" ht="15" thickBot="1" x14ac:dyDescent="0.4">
      <c r="A51" s="51" t="s">
        <v>44</v>
      </c>
      <c r="B51" s="50"/>
      <c r="C51" s="36" t="s">
        <v>44</v>
      </c>
      <c r="D51" s="36" t="s">
        <v>361</v>
      </c>
      <c r="E51" s="36" t="s">
        <v>405</v>
      </c>
      <c r="F51" s="36" t="s">
        <v>406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48"/>
    </row>
    <row r="52" spans="1:34" ht="15" thickTop="1" x14ac:dyDescent="0.35">
      <c r="A52" s="38" t="s">
        <v>66</v>
      </c>
      <c r="B52" s="35"/>
      <c r="C52" s="49" t="s">
        <v>40</v>
      </c>
      <c r="D52" s="49" t="s">
        <v>360</v>
      </c>
      <c r="E52" s="49" t="s">
        <v>408</v>
      </c>
      <c r="F52" s="49" t="s">
        <v>409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52"/>
    </row>
    <row r="53" spans="1:34" x14ac:dyDescent="0.35">
      <c r="A53" s="41" t="s">
        <v>67</v>
      </c>
      <c r="B53" s="28"/>
      <c r="C53" t="s">
        <v>40</v>
      </c>
      <c r="E53" t="s">
        <v>408</v>
      </c>
      <c r="F53" t="s">
        <v>409</v>
      </c>
      <c r="AH53" s="47"/>
    </row>
    <row r="54" spans="1:34" x14ac:dyDescent="0.35">
      <c r="A54" s="41" t="s">
        <v>68</v>
      </c>
      <c r="B54" s="28"/>
      <c r="C54" t="s">
        <v>40</v>
      </c>
      <c r="E54" t="s">
        <v>408</v>
      </c>
      <c r="F54" t="s">
        <v>409</v>
      </c>
      <c r="AH54" s="47"/>
    </row>
    <row r="55" spans="1:34" x14ac:dyDescent="0.35">
      <c r="A55" s="41" t="s">
        <v>69</v>
      </c>
      <c r="B55" s="28"/>
      <c r="C55" t="s">
        <v>40</v>
      </c>
      <c r="E55" t="s">
        <v>408</v>
      </c>
      <c r="F55" t="s">
        <v>409</v>
      </c>
      <c r="AH55" s="47"/>
    </row>
    <row r="56" spans="1:34" x14ac:dyDescent="0.35">
      <c r="A56" s="41" t="s">
        <v>69</v>
      </c>
      <c r="B56" s="28"/>
      <c r="C56" t="s">
        <v>40</v>
      </c>
      <c r="E56" t="s">
        <v>408</v>
      </c>
      <c r="F56" t="s">
        <v>409</v>
      </c>
      <c r="AH56" s="47"/>
    </row>
    <row r="57" spans="1:34" x14ac:dyDescent="0.35">
      <c r="A57" s="41" t="s">
        <v>70</v>
      </c>
      <c r="B57" s="28"/>
      <c r="C57" t="s">
        <v>40</v>
      </c>
      <c r="E57" t="s">
        <v>408</v>
      </c>
      <c r="F57" t="s">
        <v>409</v>
      </c>
      <c r="AH57" s="47"/>
    </row>
    <row r="58" spans="1:34" x14ac:dyDescent="0.35">
      <c r="A58" s="41" t="s">
        <v>71</v>
      </c>
      <c r="B58" s="28"/>
      <c r="C58" t="s">
        <v>40</v>
      </c>
      <c r="E58" t="s">
        <v>408</v>
      </c>
      <c r="F58" t="s">
        <v>409</v>
      </c>
      <c r="AH58" s="47"/>
    </row>
    <row r="59" spans="1:34" x14ac:dyDescent="0.35">
      <c r="A59" s="41" t="s">
        <v>68</v>
      </c>
      <c r="B59" s="28"/>
      <c r="C59" t="s">
        <v>40</v>
      </c>
      <c r="E59" t="s">
        <v>408</v>
      </c>
      <c r="F59" t="s">
        <v>409</v>
      </c>
      <c r="AH59" s="47"/>
    </row>
    <row r="60" spans="1:34" x14ac:dyDescent="0.35">
      <c r="A60" s="41" t="s">
        <v>41</v>
      </c>
      <c r="B60" s="28"/>
      <c r="C60" t="s">
        <v>41</v>
      </c>
      <c r="E60" t="s">
        <v>408</v>
      </c>
      <c r="F60" t="s">
        <v>409</v>
      </c>
      <c r="AH60" s="47"/>
    </row>
    <row r="61" spans="1:34" ht="15" thickBot="1" x14ac:dyDescent="0.4">
      <c r="A61" s="51" t="s">
        <v>48</v>
      </c>
      <c r="B61" s="50"/>
      <c r="C61" s="36" t="s">
        <v>44</v>
      </c>
      <c r="D61" s="36" t="s">
        <v>361</v>
      </c>
      <c r="E61" s="36" t="s">
        <v>408</v>
      </c>
      <c r="F61" s="36" t="s">
        <v>409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48"/>
    </row>
    <row r="62" spans="1:34" ht="15" thickTop="1" x14ac:dyDescent="0.35">
      <c r="A62" s="38" t="s">
        <v>37</v>
      </c>
      <c r="B62" s="35"/>
      <c r="C62" s="49" t="s">
        <v>38</v>
      </c>
      <c r="D62" s="49" t="s">
        <v>360</v>
      </c>
      <c r="E62" s="49" t="s">
        <v>416</v>
      </c>
      <c r="F62" s="49" t="s">
        <v>417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52"/>
    </row>
    <row r="63" spans="1:34" x14ac:dyDescent="0.35">
      <c r="A63" s="41" t="s">
        <v>73</v>
      </c>
      <c r="B63" s="28"/>
      <c r="C63" t="s">
        <v>40</v>
      </c>
      <c r="E63" t="s">
        <v>416</v>
      </c>
      <c r="F63" t="s">
        <v>417</v>
      </c>
      <c r="AH63" s="47"/>
    </row>
    <row r="64" spans="1:34" x14ac:dyDescent="0.35">
      <c r="A64" s="41" t="s">
        <v>41</v>
      </c>
      <c r="B64" s="28"/>
      <c r="C64" t="s">
        <v>41</v>
      </c>
      <c r="E64" t="s">
        <v>416</v>
      </c>
      <c r="F64" t="s">
        <v>417</v>
      </c>
      <c r="AH64" s="47"/>
    </row>
    <row r="65" spans="1:34" x14ac:dyDescent="0.35">
      <c r="A65" s="41" t="s">
        <v>43</v>
      </c>
      <c r="B65" s="28"/>
      <c r="C65" t="s">
        <v>40</v>
      </c>
      <c r="E65" t="s">
        <v>416</v>
      </c>
      <c r="F65" t="s">
        <v>417</v>
      </c>
      <c r="AH65" s="47"/>
    </row>
    <row r="66" spans="1:34" x14ac:dyDescent="0.35">
      <c r="A66" s="41" t="s">
        <v>43</v>
      </c>
      <c r="B66" s="28"/>
      <c r="C66" t="s">
        <v>40</v>
      </c>
      <c r="E66" t="s">
        <v>416</v>
      </c>
      <c r="F66" t="s">
        <v>417</v>
      </c>
      <c r="AH66" s="47"/>
    </row>
    <row r="67" spans="1:34" x14ac:dyDescent="0.35">
      <c r="A67" s="41" t="s">
        <v>43</v>
      </c>
      <c r="B67" s="28" t="s">
        <v>74</v>
      </c>
      <c r="C67" t="s">
        <v>40</v>
      </c>
      <c r="E67" t="s">
        <v>416</v>
      </c>
      <c r="F67" t="s">
        <v>417</v>
      </c>
      <c r="AH67" s="47"/>
    </row>
    <row r="68" spans="1:34" x14ac:dyDescent="0.35">
      <c r="A68" s="41" t="s">
        <v>41</v>
      </c>
      <c r="B68" s="28"/>
      <c r="C68" t="s">
        <v>41</v>
      </c>
      <c r="E68" t="s">
        <v>416</v>
      </c>
      <c r="F68" t="s">
        <v>417</v>
      </c>
      <c r="AH68" s="47"/>
    </row>
    <row r="69" spans="1:34" x14ac:dyDescent="0.35">
      <c r="A69" s="41" t="s">
        <v>43</v>
      </c>
      <c r="B69" s="28"/>
      <c r="C69" t="s">
        <v>40</v>
      </c>
      <c r="E69" t="s">
        <v>416</v>
      </c>
      <c r="F69" t="s">
        <v>417</v>
      </c>
      <c r="AH69" s="47"/>
    </row>
    <row r="70" spans="1:34" x14ac:dyDescent="0.35">
      <c r="A70" s="41" t="s">
        <v>43</v>
      </c>
      <c r="B70" s="28"/>
      <c r="C70" t="s">
        <v>40</v>
      </c>
      <c r="E70" t="s">
        <v>416</v>
      </c>
      <c r="F70" t="s">
        <v>417</v>
      </c>
      <c r="AH70" s="47"/>
    </row>
    <row r="71" spans="1:34" ht="15" thickBot="1" x14ac:dyDescent="0.4">
      <c r="A71" s="51" t="s">
        <v>43</v>
      </c>
      <c r="B71" s="50"/>
      <c r="C71" s="36" t="s">
        <v>40</v>
      </c>
      <c r="D71" s="36" t="s">
        <v>361</v>
      </c>
      <c r="E71" s="36" t="s">
        <v>416</v>
      </c>
      <c r="F71" s="36" t="s">
        <v>417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48"/>
    </row>
    <row r="72" spans="1:34" ht="15" thickTop="1" x14ac:dyDescent="0.35">
      <c r="A72" s="38" t="s">
        <v>48</v>
      </c>
      <c r="B72" s="35"/>
      <c r="C72" s="49" t="s">
        <v>44</v>
      </c>
      <c r="D72" s="49" t="s">
        <v>360</v>
      </c>
      <c r="E72" s="49" t="s">
        <v>419</v>
      </c>
      <c r="F72" s="49" t="s">
        <v>420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52"/>
    </row>
    <row r="73" spans="1:34" x14ac:dyDescent="0.35">
      <c r="A73" s="41" t="s">
        <v>44</v>
      </c>
      <c r="B73" s="28"/>
      <c r="C73" t="s">
        <v>44</v>
      </c>
      <c r="E73" t="s">
        <v>419</v>
      </c>
      <c r="F73" t="s">
        <v>420</v>
      </c>
      <c r="AH73" s="47"/>
    </row>
    <row r="74" spans="1:34" x14ac:dyDescent="0.35">
      <c r="A74" s="41" t="s">
        <v>44</v>
      </c>
      <c r="B74" s="28"/>
      <c r="C74" t="s">
        <v>44</v>
      </c>
      <c r="E74" t="s">
        <v>419</v>
      </c>
      <c r="F74" t="s">
        <v>420</v>
      </c>
      <c r="AH74" s="47"/>
    </row>
    <row r="75" spans="1:34" x14ac:dyDescent="0.35">
      <c r="A75" s="41" t="s">
        <v>48</v>
      </c>
      <c r="B75" s="28"/>
      <c r="C75" t="s">
        <v>44</v>
      </c>
      <c r="E75" t="s">
        <v>419</v>
      </c>
      <c r="F75" t="s">
        <v>420</v>
      </c>
      <c r="AH75" s="47"/>
    </row>
    <row r="76" spans="1:34" x14ac:dyDescent="0.35">
      <c r="A76" s="41" t="s">
        <v>41</v>
      </c>
      <c r="B76" s="28"/>
      <c r="C76" t="s">
        <v>41</v>
      </c>
      <c r="E76" t="s">
        <v>419</v>
      </c>
      <c r="F76" t="s">
        <v>420</v>
      </c>
      <c r="AH76" s="47"/>
    </row>
    <row r="77" spans="1:34" x14ac:dyDescent="0.35">
      <c r="A77" s="41" t="s">
        <v>44</v>
      </c>
      <c r="B77" s="28"/>
      <c r="C77" t="s">
        <v>44</v>
      </c>
      <c r="E77" t="s">
        <v>419</v>
      </c>
      <c r="F77" t="s">
        <v>420</v>
      </c>
      <c r="AH77" s="47"/>
    </row>
    <row r="78" spans="1:34" x14ac:dyDescent="0.35">
      <c r="A78" s="41" t="s">
        <v>59</v>
      </c>
      <c r="B78" s="28"/>
      <c r="C78" t="s">
        <v>40</v>
      </c>
      <c r="E78" t="s">
        <v>419</v>
      </c>
      <c r="F78" t="s">
        <v>420</v>
      </c>
      <c r="AH78" s="47"/>
    </row>
    <row r="79" spans="1:34" x14ac:dyDescent="0.35">
      <c r="A79" s="41" t="s">
        <v>59</v>
      </c>
      <c r="B79" s="28"/>
      <c r="C79" t="s">
        <v>40</v>
      </c>
      <c r="E79" t="s">
        <v>419</v>
      </c>
      <c r="F79" t="s">
        <v>420</v>
      </c>
      <c r="AH79" s="47"/>
    </row>
    <row r="80" spans="1:34" x14ac:dyDescent="0.35">
      <c r="A80" s="41" t="s">
        <v>43</v>
      </c>
      <c r="B80" s="28"/>
      <c r="C80" t="s">
        <v>40</v>
      </c>
      <c r="E80" t="s">
        <v>419</v>
      </c>
      <c r="F80" t="s">
        <v>420</v>
      </c>
      <c r="AH80" s="47"/>
    </row>
    <row r="81" spans="1:34" ht="15" thickBot="1" x14ac:dyDescent="0.4">
      <c r="A81" s="51" t="s">
        <v>45</v>
      </c>
      <c r="B81" s="50"/>
      <c r="C81" s="36" t="s">
        <v>40</v>
      </c>
      <c r="D81" s="36" t="s">
        <v>361</v>
      </c>
      <c r="E81" s="36" t="s">
        <v>419</v>
      </c>
      <c r="F81" s="36" t="s">
        <v>420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48"/>
    </row>
    <row r="82" spans="1:34" ht="15" thickTop="1" x14ac:dyDescent="0.35">
      <c r="A82" s="38" t="s">
        <v>45</v>
      </c>
      <c r="B82" s="35"/>
      <c r="C82" s="49" t="s">
        <v>40</v>
      </c>
      <c r="D82" s="49" t="s">
        <v>360</v>
      </c>
      <c r="E82" s="49" t="s">
        <v>421</v>
      </c>
      <c r="F82" s="49" t="s">
        <v>422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52"/>
    </row>
    <row r="83" spans="1:34" x14ac:dyDescent="0.35">
      <c r="A83" s="41" t="s">
        <v>77</v>
      </c>
      <c r="B83" s="28"/>
      <c r="C83" t="s">
        <v>38</v>
      </c>
      <c r="E83" t="s">
        <v>421</v>
      </c>
      <c r="F83" t="s">
        <v>422</v>
      </c>
      <c r="AH83" s="47"/>
    </row>
    <row r="84" spans="1:34" x14ac:dyDescent="0.35">
      <c r="A84" s="41" t="s">
        <v>78</v>
      </c>
      <c r="B84" s="28"/>
      <c r="C84" t="s">
        <v>40</v>
      </c>
      <c r="E84" t="s">
        <v>421</v>
      </c>
      <c r="F84" t="s">
        <v>422</v>
      </c>
      <c r="AH84" s="47"/>
    </row>
    <row r="85" spans="1:34" x14ac:dyDescent="0.35">
      <c r="A85" s="41" t="s">
        <v>45</v>
      </c>
      <c r="B85" s="28"/>
      <c r="C85" t="s">
        <v>40</v>
      </c>
      <c r="E85" t="s">
        <v>421</v>
      </c>
      <c r="F85" t="s">
        <v>422</v>
      </c>
      <c r="AH85" s="47"/>
    </row>
    <row r="86" spans="1:34" x14ac:dyDescent="0.35">
      <c r="A86" s="41" t="s">
        <v>45</v>
      </c>
      <c r="B86" s="28"/>
      <c r="C86" t="s">
        <v>40</v>
      </c>
      <c r="E86" t="s">
        <v>421</v>
      </c>
      <c r="F86" t="s">
        <v>422</v>
      </c>
      <c r="AH86" s="47"/>
    </row>
    <row r="87" spans="1:34" x14ac:dyDescent="0.35">
      <c r="A87" s="41" t="s">
        <v>45</v>
      </c>
      <c r="B87" s="28"/>
      <c r="C87" t="s">
        <v>40</v>
      </c>
      <c r="E87" t="s">
        <v>421</v>
      </c>
      <c r="F87" t="s">
        <v>422</v>
      </c>
      <c r="AH87" s="47"/>
    </row>
    <row r="88" spans="1:34" x14ac:dyDescent="0.35">
      <c r="A88" s="41" t="s">
        <v>37</v>
      </c>
      <c r="B88" s="28"/>
      <c r="C88" t="s">
        <v>38</v>
      </c>
      <c r="E88" t="s">
        <v>421</v>
      </c>
      <c r="F88" t="s">
        <v>422</v>
      </c>
      <c r="AH88" s="47"/>
    </row>
    <row r="89" spans="1:34" x14ac:dyDescent="0.35">
      <c r="A89" s="41" t="s">
        <v>48</v>
      </c>
      <c r="B89" s="28"/>
      <c r="C89" t="s">
        <v>44</v>
      </c>
      <c r="E89" t="s">
        <v>421</v>
      </c>
      <c r="F89" t="s">
        <v>422</v>
      </c>
      <c r="AH89" s="47"/>
    </row>
    <row r="90" spans="1:34" x14ac:dyDescent="0.35">
      <c r="A90" s="41" t="s">
        <v>45</v>
      </c>
      <c r="B90" s="28"/>
      <c r="C90" t="s">
        <v>40</v>
      </c>
      <c r="E90" t="s">
        <v>421</v>
      </c>
      <c r="F90" t="s">
        <v>422</v>
      </c>
      <c r="AH90" s="47"/>
    </row>
    <row r="91" spans="1:34" ht="15" thickBot="1" x14ac:dyDescent="0.4">
      <c r="A91" s="51" t="s">
        <v>48</v>
      </c>
      <c r="B91" s="50"/>
      <c r="C91" s="36" t="s">
        <v>44</v>
      </c>
      <c r="D91" s="36" t="s">
        <v>361</v>
      </c>
      <c r="E91" s="36" t="s">
        <v>421</v>
      </c>
      <c r="F91" s="36" t="s">
        <v>422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48"/>
    </row>
    <row r="92" spans="1:34" ht="15" thickTop="1" x14ac:dyDescent="0.35">
      <c r="A92" s="38" t="s">
        <v>45</v>
      </c>
      <c r="B92" s="35"/>
      <c r="C92" s="49" t="s">
        <v>40</v>
      </c>
      <c r="D92" s="49" t="s">
        <v>360</v>
      </c>
      <c r="E92" s="49" t="s">
        <v>425</v>
      </c>
      <c r="F92" s="49" t="s">
        <v>426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52"/>
    </row>
    <row r="93" spans="1:34" x14ac:dyDescent="0.35">
      <c r="A93" s="41" t="s">
        <v>41</v>
      </c>
      <c r="B93" s="28"/>
      <c r="C93" t="s">
        <v>41</v>
      </c>
      <c r="E93" t="s">
        <v>425</v>
      </c>
      <c r="F93" t="s">
        <v>426</v>
      </c>
      <c r="AH93" s="47"/>
    </row>
    <row r="94" spans="1:34" x14ac:dyDescent="0.35">
      <c r="A94" s="41" t="s">
        <v>45</v>
      </c>
      <c r="B94" s="28"/>
      <c r="C94" t="s">
        <v>40</v>
      </c>
      <c r="E94" t="s">
        <v>425</v>
      </c>
      <c r="F94" t="s">
        <v>426</v>
      </c>
      <c r="AH94" s="47"/>
    </row>
    <row r="95" spans="1:34" x14ac:dyDescent="0.35">
      <c r="A95" s="41" t="s">
        <v>41</v>
      </c>
      <c r="B95" s="28"/>
      <c r="C95" t="s">
        <v>41</v>
      </c>
      <c r="E95" t="s">
        <v>425</v>
      </c>
      <c r="F95" t="s">
        <v>426</v>
      </c>
      <c r="AH95" s="47"/>
    </row>
    <row r="96" spans="1:34" x14ac:dyDescent="0.35">
      <c r="A96" s="41" t="s">
        <v>45</v>
      </c>
      <c r="B96" s="28"/>
      <c r="C96" t="s">
        <v>40</v>
      </c>
      <c r="E96" t="s">
        <v>425</v>
      </c>
      <c r="F96" t="s">
        <v>426</v>
      </c>
      <c r="AH96" s="47"/>
    </row>
    <row r="97" spans="1:34" x14ac:dyDescent="0.35">
      <c r="A97" s="41" t="s">
        <v>45</v>
      </c>
      <c r="B97" s="28"/>
      <c r="C97" t="s">
        <v>40</v>
      </c>
      <c r="E97" t="s">
        <v>425</v>
      </c>
      <c r="F97" t="s">
        <v>426</v>
      </c>
      <c r="AH97" s="47"/>
    </row>
    <row r="98" spans="1:34" x14ac:dyDescent="0.35">
      <c r="A98" s="41" t="s">
        <v>45</v>
      </c>
      <c r="B98" s="28"/>
      <c r="C98" t="s">
        <v>40</v>
      </c>
      <c r="E98" t="s">
        <v>425</v>
      </c>
      <c r="F98" t="s">
        <v>426</v>
      </c>
      <c r="AH98" s="47"/>
    </row>
    <row r="99" spans="1:34" x14ac:dyDescent="0.35">
      <c r="A99" s="41" t="s">
        <v>45</v>
      </c>
      <c r="B99" s="28"/>
      <c r="C99" t="s">
        <v>40</v>
      </c>
      <c r="E99" t="s">
        <v>425</v>
      </c>
      <c r="F99" t="s">
        <v>426</v>
      </c>
      <c r="AH99" s="47"/>
    </row>
    <row r="100" spans="1:34" x14ac:dyDescent="0.35">
      <c r="A100" s="41" t="s">
        <v>80</v>
      </c>
      <c r="B100" s="28"/>
      <c r="C100" t="s">
        <v>40</v>
      </c>
      <c r="E100" t="s">
        <v>425</v>
      </c>
      <c r="F100" t="s">
        <v>426</v>
      </c>
      <c r="AH100" s="47"/>
    </row>
    <row r="101" spans="1:34" ht="15" thickBot="1" x14ac:dyDescent="0.4">
      <c r="A101" s="51" t="s">
        <v>45</v>
      </c>
      <c r="B101" s="50"/>
      <c r="C101" s="36" t="s">
        <v>40</v>
      </c>
      <c r="D101" s="36" t="s">
        <v>361</v>
      </c>
      <c r="E101" s="36" t="s">
        <v>425</v>
      </c>
      <c r="F101" s="36" t="s">
        <v>426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48"/>
    </row>
    <row r="102" spans="1:34" ht="15" thickTop="1" x14ac:dyDescent="0.35">
      <c r="A102" s="38" t="s">
        <v>42</v>
      </c>
      <c r="B102" s="35"/>
      <c r="C102" s="49" t="s">
        <v>40</v>
      </c>
      <c r="D102" s="49" t="s">
        <v>360</v>
      </c>
      <c r="E102" s="49" t="s">
        <v>428</v>
      </c>
      <c r="F102" s="49" t="s">
        <v>429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52"/>
    </row>
    <row r="103" spans="1:34" x14ac:dyDescent="0.35">
      <c r="A103" s="41" t="s">
        <v>45</v>
      </c>
      <c r="B103" s="28"/>
      <c r="C103" t="s">
        <v>40</v>
      </c>
      <c r="E103" t="s">
        <v>428</v>
      </c>
      <c r="F103" t="s">
        <v>429</v>
      </c>
      <c r="AH103" s="47"/>
    </row>
    <row r="104" spans="1:34" x14ac:dyDescent="0.35">
      <c r="A104" s="41" t="s">
        <v>45</v>
      </c>
      <c r="B104" s="28"/>
      <c r="C104" t="s">
        <v>40</v>
      </c>
      <c r="E104" t="s">
        <v>428</v>
      </c>
      <c r="F104" t="s">
        <v>429</v>
      </c>
      <c r="AH104" s="47"/>
    </row>
    <row r="105" spans="1:34" x14ac:dyDescent="0.35">
      <c r="A105" s="41" t="s">
        <v>44</v>
      </c>
      <c r="B105" s="28"/>
      <c r="C105" t="s">
        <v>44</v>
      </c>
      <c r="E105" t="s">
        <v>428</v>
      </c>
      <c r="F105" t="s">
        <v>429</v>
      </c>
      <c r="AH105" s="47"/>
    </row>
    <row r="106" spans="1:34" x14ac:dyDescent="0.35">
      <c r="A106" s="41" t="s">
        <v>52</v>
      </c>
      <c r="B106" s="28"/>
      <c r="C106" t="s">
        <v>40</v>
      </c>
      <c r="E106" t="s">
        <v>428</v>
      </c>
      <c r="F106" t="s">
        <v>429</v>
      </c>
      <c r="AH106" s="47"/>
    </row>
    <row r="107" spans="1:34" x14ac:dyDescent="0.35">
      <c r="A107" s="41" t="s">
        <v>45</v>
      </c>
      <c r="B107" s="28"/>
      <c r="C107" t="s">
        <v>40</v>
      </c>
      <c r="E107" t="s">
        <v>428</v>
      </c>
      <c r="F107" t="s">
        <v>429</v>
      </c>
      <c r="AH107" s="47"/>
    </row>
    <row r="108" spans="1:34" x14ac:dyDescent="0.35">
      <c r="A108" s="41" t="s">
        <v>45</v>
      </c>
      <c r="B108" s="28"/>
      <c r="C108" t="s">
        <v>40</v>
      </c>
      <c r="E108" t="s">
        <v>428</v>
      </c>
      <c r="F108" t="s">
        <v>429</v>
      </c>
      <c r="AH108" s="47"/>
    </row>
    <row r="109" spans="1:34" x14ac:dyDescent="0.35">
      <c r="A109" s="41" t="s">
        <v>48</v>
      </c>
      <c r="B109" s="28"/>
      <c r="C109" t="s">
        <v>44</v>
      </c>
      <c r="E109" t="s">
        <v>428</v>
      </c>
      <c r="F109" t="s">
        <v>429</v>
      </c>
      <c r="AH109" s="47"/>
    </row>
    <row r="110" spans="1:34" x14ac:dyDescent="0.35">
      <c r="A110" s="41" t="s">
        <v>44</v>
      </c>
      <c r="B110" s="28"/>
      <c r="C110" t="s">
        <v>44</v>
      </c>
      <c r="E110" t="s">
        <v>428</v>
      </c>
      <c r="F110" t="s">
        <v>429</v>
      </c>
      <c r="AH110" s="47"/>
    </row>
    <row r="111" spans="1:34" ht="15" thickBot="1" x14ac:dyDescent="0.4">
      <c r="A111" s="51" t="s">
        <v>37</v>
      </c>
      <c r="B111" s="50"/>
      <c r="C111" s="36" t="s">
        <v>38</v>
      </c>
      <c r="D111" s="36" t="s">
        <v>361</v>
      </c>
      <c r="E111" s="36" t="s">
        <v>428</v>
      </c>
      <c r="F111" s="36" t="s">
        <v>429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48"/>
    </row>
    <row r="112" spans="1:34" ht="15" thickTop="1" x14ac:dyDescent="0.35">
      <c r="A112" s="38" t="s">
        <v>48</v>
      </c>
      <c r="B112" s="35"/>
      <c r="C112" s="49" t="s">
        <v>44</v>
      </c>
      <c r="D112" s="49" t="s">
        <v>360</v>
      </c>
      <c r="E112" s="49" t="s">
        <v>430</v>
      </c>
      <c r="F112" s="49" t="s">
        <v>431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52"/>
    </row>
    <row r="113" spans="1:34" x14ac:dyDescent="0.35">
      <c r="A113" s="41" t="s">
        <v>52</v>
      </c>
      <c r="B113" s="28"/>
      <c r="C113" t="s">
        <v>40</v>
      </c>
      <c r="E113" t="s">
        <v>430</v>
      </c>
      <c r="F113" t="s">
        <v>431</v>
      </c>
      <c r="AH113" s="47"/>
    </row>
    <row r="114" spans="1:34" x14ac:dyDescent="0.35">
      <c r="A114" s="41" t="s">
        <v>66</v>
      </c>
      <c r="B114" s="28"/>
      <c r="C114" t="s">
        <v>40</v>
      </c>
      <c r="E114" t="s">
        <v>430</v>
      </c>
      <c r="F114" t="s">
        <v>431</v>
      </c>
      <c r="AH114" s="47"/>
    </row>
    <row r="115" spans="1:34" x14ac:dyDescent="0.35">
      <c r="A115" s="41" t="s">
        <v>44</v>
      </c>
      <c r="B115" s="28"/>
      <c r="C115" t="s">
        <v>44</v>
      </c>
      <c r="E115" t="s">
        <v>430</v>
      </c>
      <c r="F115" t="s">
        <v>431</v>
      </c>
      <c r="AH115" s="47"/>
    </row>
    <row r="116" spans="1:34" x14ac:dyDescent="0.35">
      <c r="A116" s="41" t="s">
        <v>56</v>
      </c>
      <c r="B116" s="28"/>
      <c r="C116" t="s">
        <v>40</v>
      </c>
      <c r="E116" t="s">
        <v>430</v>
      </c>
      <c r="F116" t="s">
        <v>431</v>
      </c>
      <c r="AH116" s="47"/>
    </row>
    <row r="117" spans="1:34" x14ac:dyDescent="0.35">
      <c r="A117" s="41" t="s">
        <v>52</v>
      </c>
      <c r="B117" s="28"/>
      <c r="C117" t="s">
        <v>40</v>
      </c>
      <c r="E117" t="s">
        <v>430</v>
      </c>
      <c r="F117" t="s">
        <v>431</v>
      </c>
      <c r="AH117" s="47"/>
    </row>
    <row r="118" spans="1:34" x14ac:dyDescent="0.35">
      <c r="A118" s="41" t="s">
        <v>80</v>
      </c>
      <c r="B118" s="28"/>
      <c r="C118" t="s">
        <v>40</v>
      </c>
      <c r="E118" t="s">
        <v>430</v>
      </c>
      <c r="F118" t="s">
        <v>431</v>
      </c>
      <c r="AH118" s="47"/>
    </row>
    <row r="119" spans="1:34" x14ac:dyDescent="0.35">
      <c r="A119" s="41" t="s">
        <v>67</v>
      </c>
      <c r="B119" s="28"/>
      <c r="C119" t="s">
        <v>40</v>
      </c>
      <c r="E119" t="s">
        <v>430</v>
      </c>
      <c r="F119" t="s">
        <v>431</v>
      </c>
      <c r="AH119" s="47"/>
    </row>
    <row r="120" spans="1:34" x14ac:dyDescent="0.35">
      <c r="A120" s="41" t="s">
        <v>48</v>
      </c>
      <c r="B120" s="28"/>
      <c r="C120" t="s">
        <v>44</v>
      </c>
      <c r="E120" t="s">
        <v>430</v>
      </c>
      <c r="F120" t="s">
        <v>431</v>
      </c>
      <c r="AH120" s="47"/>
    </row>
    <row r="121" spans="1:34" ht="15" thickBot="1" x14ac:dyDescent="0.4">
      <c r="A121" s="51" t="s">
        <v>55</v>
      </c>
      <c r="B121" s="50"/>
      <c r="C121" s="36" t="s">
        <v>40</v>
      </c>
      <c r="D121" s="36" t="s">
        <v>361</v>
      </c>
      <c r="E121" s="36" t="s">
        <v>430</v>
      </c>
      <c r="F121" s="36" t="s">
        <v>431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48"/>
    </row>
    <row r="122" spans="1:34" ht="15" thickTop="1" x14ac:dyDescent="0.35">
      <c r="A122" s="38" t="s">
        <v>37</v>
      </c>
      <c r="B122" s="35"/>
      <c r="C122" s="49" t="s">
        <v>38</v>
      </c>
      <c r="D122" s="49" t="s">
        <v>360</v>
      </c>
      <c r="E122" s="49" t="s">
        <v>432</v>
      </c>
      <c r="F122" s="49" t="s">
        <v>433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52"/>
    </row>
    <row r="123" spans="1:34" x14ac:dyDescent="0.35">
      <c r="A123" s="41" t="s">
        <v>58</v>
      </c>
      <c r="B123" s="28"/>
      <c r="C123" t="s">
        <v>40</v>
      </c>
      <c r="E123" t="s">
        <v>432</v>
      </c>
      <c r="F123" t="s">
        <v>433</v>
      </c>
      <c r="AH123" s="47"/>
    </row>
    <row r="124" spans="1:34" x14ac:dyDescent="0.35">
      <c r="A124" s="41" t="s">
        <v>61</v>
      </c>
      <c r="B124" s="28"/>
      <c r="C124" t="s">
        <v>40</v>
      </c>
      <c r="E124" t="s">
        <v>432</v>
      </c>
      <c r="F124" t="s">
        <v>433</v>
      </c>
      <c r="AH124" s="47"/>
    </row>
    <row r="125" spans="1:34" x14ac:dyDescent="0.35">
      <c r="A125" s="41" t="s">
        <v>48</v>
      </c>
      <c r="B125" s="28"/>
      <c r="C125" t="s">
        <v>44</v>
      </c>
      <c r="E125" t="s">
        <v>432</v>
      </c>
      <c r="F125" t="s">
        <v>433</v>
      </c>
      <c r="AH125" s="47"/>
    </row>
    <row r="126" spans="1:34" x14ac:dyDescent="0.35">
      <c r="A126" s="41" t="s">
        <v>37</v>
      </c>
      <c r="B126" s="28"/>
      <c r="C126" t="s">
        <v>38</v>
      </c>
      <c r="E126" t="s">
        <v>432</v>
      </c>
      <c r="F126" t="s">
        <v>433</v>
      </c>
      <c r="AH126" s="47"/>
    </row>
    <row r="127" spans="1:34" x14ac:dyDescent="0.35">
      <c r="A127" s="41" t="s">
        <v>37</v>
      </c>
      <c r="B127" s="28"/>
      <c r="C127" t="s">
        <v>38</v>
      </c>
      <c r="E127" t="s">
        <v>432</v>
      </c>
      <c r="F127" t="s">
        <v>433</v>
      </c>
      <c r="AH127" s="47"/>
    </row>
    <row r="128" spans="1:34" x14ac:dyDescent="0.35">
      <c r="A128" s="41" t="s">
        <v>41</v>
      </c>
      <c r="B128" s="28"/>
      <c r="C128" t="s">
        <v>41</v>
      </c>
      <c r="E128" t="s">
        <v>432</v>
      </c>
      <c r="F128" t="s">
        <v>433</v>
      </c>
      <c r="AH128" s="47"/>
    </row>
    <row r="129" spans="1:34" x14ac:dyDescent="0.35">
      <c r="A129" s="41" t="s">
        <v>44</v>
      </c>
      <c r="B129" s="28"/>
      <c r="C129" t="s">
        <v>44</v>
      </c>
      <c r="E129" t="s">
        <v>432</v>
      </c>
      <c r="F129" t="s">
        <v>433</v>
      </c>
      <c r="AH129" s="47"/>
    </row>
    <row r="130" spans="1:34" x14ac:dyDescent="0.35">
      <c r="A130" s="41" t="s">
        <v>49</v>
      </c>
      <c r="B130" s="28" t="s">
        <v>50</v>
      </c>
      <c r="C130" t="s">
        <v>38</v>
      </c>
      <c r="E130" t="s">
        <v>432</v>
      </c>
      <c r="F130" t="s">
        <v>433</v>
      </c>
      <c r="AH130" s="47"/>
    </row>
    <row r="131" spans="1:34" ht="15" thickBot="1" x14ac:dyDescent="0.4">
      <c r="A131" s="51" t="s">
        <v>84</v>
      </c>
      <c r="B131" s="50"/>
      <c r="C131" s="36" t="s">
        <v>40</v>
      </c>
      <c r="D131" s="36" t="s">
        <v>361</v>
      </c>
      <c r="E131" s="36" t="s">
        <v>432</v>
      </c>
      <c r="F131" s="36" t="s">
        <v>433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48"/>
    </row>
    <row r="132" spans="1:34" ht="15" thickTop="1" x14ac:dyDescent="0.35">
      <c r="A132" s="38" t="s">
        <v>86</v>
      </c>
      <c r="B132" s="35"/>
      <c r="C132" s="49" t="s">
        <v>40</v>
      </c>
      <c r="D132" s="49" t="s">
        <v>360</v>
      </c>
      <c r="E132" s="49" t="s">
        <v>435</v>
      </c>
      <c r="F132" s="49" t="s">
        <v>436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52"/>
    </row>
    <row r="133" spans="1:34" x14ac:dyDescent="0.35">
      <c r="A133" s="41" t="s">
        <v>87</v>
      </c>
      <c r="B133" s="28"/>
      <c r="C133" t="s">
        <v>40</v>
      </c>
      <c r="E133" t="s">
        <v>435</v>
      </c>
      <c r="F133" t="s">
        <v>436</v>
      </c>
      <c r="AH133" s="47"/>
    </row>
    <row r="134" spans="1:34" x14ac:dyDescent="0.35">
      <c r="A134" s="41" t="s">
        <v>86</v>
      </c>
      <c r="B134" s="28"/>
      <c r="C134" t="s">
        <v>40</v>
      </c>
      <c r="E134" t="s">
        <v>435</v>
      </c>
      <c r="F134" t="s">
        <v>436</v>
      </c>
      <c r="AH134" s="47"/>
    </row>
    <row r="135" spans="1:34" x14ac:dyDescent="0.35">
      <c r="A135" s="41" t="s">
        <v>86</v>
      </c>
      <c r="B135" s="28"/>
      <c r="C135" t="s">
        <v>40</v>
      </c>
      <c r="E135" t="s">
        <v>435</v>
      </c>
      <c r="F135" t="s">
        <v>436</v>
      </c>
      <c r="AH135" s="47"/>
    </row>
    <row r="136" spans="1:34" x14ac:dyDescent="0.35">
      <c r="A136" s="41" t="s">
        <v>86</v>
      </c>
      <c r="B136" s="28"/>
      <c r="C136" t="s">
        <v>40</v>
      </c>
      <c r="E136" t="s">
        <v>435</v>
      </c>
      <c r="F136" t="s">
        <v>436</v>
      </c>
      <c r="AH136" s="47"/>
    </row>
    <row r="137" spans="1:34" x14ac:dyDescent="0.35">
      <c r="A137" s="41" t="s">
        <v>88</v>
      </c>
      <c r="B137" s="28"/>
      <c r="C137" t="s">
        <v>40</v>
      </c>
      <c r="E137" t="s">
        <v>435</v>
      </c>
      <c r="F137" t="s">
        <v>436</v>
      </c>
      <c r="AH137" s="47"/>
    </row>
    <row r="138" spans="1:34" x14ac:dyDescent="0.35">
      <c r="A138" s="41" t="s">
        <v>44</v>
      </c>
      <c r="B138" s="28"/>
      <c r="C138" t="s">
        <v>44</v>
      </c>
      <c r="E138" t="s">
        <v>435</v>
      </c>
      <c r="F138" t="s">
        <v>436</v>
      </c>
      <c r="AH138" s="47"/>
    </row>
    <row r="139" spans="1:34" x14ac:dyDescent="0.35">
      <c r="A139" s="41" t="s">
        <v>86</v>
      </c>
      <c r="B139" s="28"/>
      <c r="C139" t="s">
        <v>40</v>
      </c>
      <c r="E139" t="s">
        <v>435</v>
      </c>
      <c r="F139" t="s">
        <v>436</v>
      </c>
      <c r="AH139" s="47"/>
    </row>
    <row r="140" spans="1:34" x14ac:dyDescent="0.35">
      <c r="A140" s="41" t="s">
        <v>87</v>
      </c>
      <c r="B140" s="28"/>
      <c r="C140" t="s">
        <v>40</v>
      </c>
      <c r="E140" t="s">
        <v>435</v>
      </c>
      <c r="F140" t="s">
        <v>436</v>
      </c>
      <c r="AH140" s="47"/>
    </row>
    <row r="141" spans="1:34" ht="15" thickBot="1" x14ac:dyDescent="0.4">
      <c r="A141" s="51" t="s">
        <v>86</v>
      </c>
      <c r="B141" s="50"/>
      <c r="C141" s="36" t="s">
        <v>40</v>
      </c>
      <c r="D141" s="36" t="s">
        <v>361</v>
      </c>
      <c r="E141" s="36" t="s">
        <v>435</v>
      </c>
      <c r="F141" s="36" t="s">
        <v>436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48"/>
    </row>
    <row r="142" spans="1:34" ht="15" thickTop="1" x14ac:dyDescent="0.35">
      <c r="A142" s="38" t="s">
        <v>90</v>
      </c>
      <c r="B142" s="35"/>
      <c r="C142" s="49" t="s">
        <v>40</v>
      </c>
      <c r="D142" s="49" t="s">
        <v>360</v>
      </c>
      <c r="E142" s="49" t="s">
        <v>440</v>
      </c>
      <c r="F142" s="49" t="s">
        <v>441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52"/>
    </row>
    <row r="143" spans="1:34" x14ac:dyDescent="0.35">
      <c r="A143" s="41" t="s">
        <v>41</v>
      </c>
      <c r="B143" s="28"/>
      <c r="C143" t="s">
        <v>41</v>
      </c>
      <c r="E143" t="s">
        <v>440</v>
      </c>
      <c r="F143" t="s">
        <v>441</v>
      </c>
      <c r="AH143" s="47"/>
    </row>
    <row r="144" spans="1:34" x14ac:dyDescent="0.35">
      <c r="A144" s="41" t="s">
        <v>58</v>
      </c>
      <c r="B144" s="28"/>
      <c r="C144" t="s">
        <v>40</v>
      </c>
      <c r="E144" t="s">
        <v>440</v>
      </c>
      <c r="F144" t="s">
        <v>441</v>
      </c>
      <c r="AH144" s="47"/>
    </row>
    <row r="145" spans="1:34" x14ac:dyDescent="0.35">
      <c r="A145" s="41" t="s">
        <v>44</v>
      </c>
      <c r="B145" s="28"/>
      <c r="C145" t="s">
        <v>44</v>
      </c>
      <c r="E145" t="s">
        <v>440</v>
      </c>
      <c r="F145" t="s">
        <v>441</v>
      </c>
      <c r="AH145" s="47"/>
    </row>
    <row r="146" spans="1:34" x14ac:dyDescent="0.35">
      <c r="A146" s="41" t="s">
        <v>48</v>
      </c>
      <c r="B146" s="28"/>
      <c r="C146" t="s">
        <v>44</v>
      </c>
      <c r="E146" t="s">
        <v>440</v>
      </c>
      <c r="F146" t="s">
        <v>441</v>
      </c>
      <c r="AH146" s="47"/>
    </row>
    <row r="147" spans="1:34" x14ac:dyDescent="0.35">
      <c r="A147" s="41" t="s">
        <v>80</v>
      </c>
      <c r="B147" s="28"/>
      <c r="C147" t="s">
        <v>40</v>
      </c>
      <c r="E147" t="s">
        <v>440</v>
      </c>
      <c r="F147" t="s">
        <v>441</v>
      </c>
      <c r="AH147" s="47"/>
    </row>
    <row r="148" spans="1:34" x14ac:dyDescent="0.35">
      <c r="A148" s="41" t="s">
        <v>47</v>
      </c>
      <c r="B148" s="28"/>
      <c r="C148" t="s">
        <v>40</v>
      </c>
      <c r="E148" t="s">
        <v>440</v>
      </c>
      <c r="F148" t="s">
        <v>441</v>
      </c>
      <c r="AH148" s="47"/>
    </row>
    <row r="149" spans="1:34" x14ac:dyDescent="0.35">
      <c r="A149" s="41" t="s">
        <v>41</v>
      </c>
      <c r="B149" s="28"/>
      <c r="C149" t="s">
        <v>41</v>
      </c>
      <c r="E149" t="s">
        <v>440</v>
      </c>
      <c r="F149" t="s">
        <v>441</v>
      </c>
      <c r="AH149" s="47"/>
    </row>
    <row r="150" spans="1:34" x14ac:dyDescent="0.35">
      <c r="A150" s="41" t="s">
        <v>80</v>
      </c>
      <c r="B150" s="28"/>
      <c r="C150" t="s">
        <v>40</v>
      </c>
      <c r="E150" t="s">
        <v>440</v>
      </c>
      <c r="F150" t="s">
        <v>441</v>
      </c>
      <c r="AH150" s="47"/>
    </row>
    <row r="151" spans="1:34" ht="15" thickBot="1" x14ac:dyDescent="0.4">
      <c r="A151" s="51" t="s">
        <v>44</v>
      </c>
      <c r="B151" s="50"/>
      <c r="C151" s="36" t="s">
        <v>44</v>
      </c>
      <c r="D151" s="36" t="s">
        <v>361</v>
      </c>
      <c r="E151" s="36" t="s">
        <v>440</v>
      </c>
      <c r="F151" s="36" t="s">
        <v>441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48"/>
    </row>
    <row r="152" spans="1:34" ht="15" thickTop="1" x14ac:dyDescent="0.35">
      <c r="A152" s="38" t="s">
        <v>68</v>
      </c>
      <c r="B152" s="35"/>
      <c r="C152" s="49" t="s">
        <v>40</v>
      </c>
      <c r="D152" s="49" t="s">
        <v>360</v>
      </c>
      <c r="E152" s="49" t="s">
        <v>443</v>
      </c>
      <c r="F152" s="49" t="s">
        <v>444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52"/>
    </row>
    <row r="153" spans="1:34" x14ac:dyDescent="0.35">
      <c r="A153" s="41" t="s">
        <v>44</v>
      </c>
      <c r="B153" s="28"/>
      <c r="C153" t="s">
        <v>44</v>
      </c>
      <c r="E153" t="s">
        <v>443</v>
      </c>
      <c r="F153" t="s">
        <v>444</v>
      </c>
      <c r="AH153" s="47"/>
    </row>
    <row r="154" spans="1:34" x14ac:dyDescent="0.35">
      <c r="A154" s="41" t="s">
        <v>86</v>
      </c>
      <c r="B154" s="28"/>
      <c r="C154" t="s">
        <v>40</v>
      </c>
      <c r="E154" t="s">
        <v>443</v>
      </c>
      <c r="F154" t="s">
        <v>444</v>
      </c>
      <c r="AH154" s="47"/>
    </row>
    <row r="155" spans="1:34" x14ac:dyDescent="0.35">
      <c r="A155" s="41" t="s">
        <v>37</v>
      </c>
      <c r="B155" s="28"/>
      <c r="C155" t="s">
        <v>38</v>
      </c>
      <c r="E155" t="s">
        <v>443</v>
      </c>
      <c r="F155" t="s">
        <v>444</v>
      </c>
      <c r="AH155" s="47"/>
    </row>
    <row r="156" spans="1:34" x14ac:dyDescent="0.35">
      <c r="A156" s="41" t="s">
        <v>44</v>
      </c>
      <c r="B156" s="28"/>
      <c r="C156" t="s">
        <v>44</v>
      </c>
      <c r="E156" t="s">
        <v>443</v>
      </c>
      <c r="F156" t="s">
        <v>444</v>
      </c>
      <c r="AH156" s="47"/>
    </row>
    <row r="157" spans="1:34" x14ac:dyDescent="0.35">
      <c r="A157" s="41" t="s">
        <v>92</v>
      </c>
      <c r="B157" s="28"/>
      <c r="C157" t="s">
        <v>40</v>
      </c>
      <c r="E157" t="s">
        <v>443</v>
      </c>
      <c r="F157" t="s">
        <v>444</v>
      </c>
      <c r="AH157" s="47"/>
    </row>
    <row r="158" spans="1:34" x14ac:dyDescent="0.35">
      <c r="A158" s="41" t="s">
        <v>68</v>
      </c>
      <c r="B158" s="28"/>
      <c r="C158" t="s">
        <v>40</v>
      </c>
      <c r="E158" t="s">
        <v>443</v>
      </c>
      <c r="F158" t="s">
        <v>444</v>
      </c>
      <c r="AH158" s="47"/>
    </row>
    <row r="159" spans="1:34" x14ac:dyDescent="0.35">
      <c r="A159" s="41" t="s">
        <v>86</v>
      </c>
      <c r="B159" s="28"/>
      <c r="C159" t="s">
        <v>40</v>
      </c>
      <c r="E159" t="s">
        <v>443</v>
      </c>
      <c r="F159" t="s">
        <v>444</v>
      </c>
      <c r="AH159" s="47"/>
    </row>
    <row r="160" spans="1:34" x14ac:dyDescent="0.35">
      <c r="A160" s="41" t="s">
        <v>93</v>
      </c>
      <c r="B160" s="28"/>
      <c r="C160" t="s">
        <v>40</v>
      </c>
      <c r="E160" t="s">
        <v>443</v>
      </c>
      <c r="F160" t="s">
        <v>444</v>
      </c>
      <c r="AH160" s="47"/>
    </row>
    <row r="161" spans="1:34" ht="15" thickBot="1" x14ac:dyDescent="0.4">
      <c r="A161" s="51" t="s">
        <v>93</v>
      </c>
      <c r="B161" s="50"/>
      <c r="C161" s="36" t="s">
        <v>40</v>
      </c>
      <c r="D161" s="36" t="s">
        <v>361</v>
      </c>
      <c r="E161" s="36" t="s">
        <v>443</v>
      </c>
      <c r="F161" s="36" t="s">
        <v>444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48"/>
    </row>
    <row r="162" spans="1:34" ht="15" thickTop="1" x14ac:dyDescent="0.35">
      <c r="A162" s="38" t="s">
        <v>60</v>
      </c>
      <c r="B162" s="35"/>
      <c r="C162" s="49" t="s">
        <v>40</v>
      </c>
      <c r="D162" s="49" t="s">
        <v>360</v>
      </c>
      <c r="E162" s="49" t="s">
        <v>447</v>
      </c>
      <c r="F162" s="49" t="s">
        <v>448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52"/>
    </row>
    <row r="163" spans="1:34" x14ac:dyDescent="0.35">
      <c r="A163" s="41" t="s">
        <v>43</v>
      </c>
      <c r="B163" s="28"/>
      <c r="C163" t="s">
        <v>40</v>
      </c>
      <c r="E163" t="s">
        <v>447</v>
      </c>
      <c r="F163" t="s">
        <v>448</v>
      </c>
      <c r="AH163" s="47"/>
    </row>
    <row r="164" spans="1:34" x14ac:dyDescent="0.35">
      <c r="A164" s="41" t="s">
        <v>92</v>
      </c>
      <c r="B164" s="28"/>
      <c r="C164" t="s">
        <v>40</v>
      </c>
      <c r="E164" t="s">
        <v>447</v>
      </c>
      <c r="F164" t="s">
        <v>448</v>
      </c>
      <c r="AH164" s="47"/>
    </row>
    <row r="165" spans="1:34" x14ac:dyDescent="0.35">
      <c r="A165" s="41" t="s">
        <v>48</v>
      </c>
      <c r="B165" s="28"/>
      <c r="C165" t="s">
        <v>44</v>
      </c>
      <c r="E165" t="s">
        <v>447</v>
      </c>
      <c r="F165" t="s">
        <v>448</v>
      </c>
      <c r="AH165" s="47"/>
    </row>
    <row r="166" spans="1:34" x14ac:dyDescent="0.35">
      <c r="A166" s="41" t="s">
        <v>48</v>
      </c>
      <c r="B166" s="28"/>
      <c r="C166" t="s">
        <v>44</v>
      </c>
      <c r="E166" t="s">
        <v>447</v>
      </c>
      <c r="F166" t="s">
        <v>448</v>
      </c>
      <c r="AH166" s="47"/>
    </row>
    <row r="167" spans="1:34" x14ac:dyDescent="0.35">
      <c r="A167" s="41" t="s">
        <v>43</v>
      </c>
      <c r="B167" s="28"/>
      <c r="C167" t="s">
        <v>40</v>
      </c>
      <c r="E167" t="s">
        <v>447</v>
      </c>
      <c r="F167" t="s">
        <v>448</v>
      </c>
      <c r="AH167" s="47"/>
    </row>
    <row r="168" spans="1:34" x14ac:dyDescent="0.35">
      <c r="A168" s="41" t="s">
        <v>48</v>
      </c>
      <c r="B168" s="28"/>
      <c r="C168" t="s">
        <v>44</v>
      </c>
      <c r="E168" t="s">
        <v>447</v>
      </c>
      <c r="F168" t="s">
        <v>448</v>
      </c>
      <c r="AH168" s="47"/>
    </row>
    <row r="169" spans="1:34" x14ac:dyDescent="0.35">
      <c r="A169" s="41" t="s">
        <v>43</v>
      </c>
      <c r="B169" s="28"/>
      <c r="C169" t="s">
        <v>40</v>
      </c>
      <c r="E169" t="s">
        <v>447</v>
      </c>
      <c r="F169" t="s">
        <v>448</v>
      </c>
      <c r="AH169" s="47"/>
    </row>
    <row r="170" spans="1:34" x14ac:dyDescent="0.35">
      <c r="A170" s="41" t="s">
        <v>95</v>
      </c>
      <c r="B170" s="28"/>
      <c r="C170" t="s">
        <v>40</v>
      </c>
      <c r="E170" t="s">
        <v>447</v>
      </c>
      <c r="F170" t="s">
        <v>448</v>
      </c>
      <c r="AH170" s="47"/>
    </row>
    <row r="171" spans="1:34" ht="15" thickBot="1" x14ac:dyDescent="0.4">
      <c r="A171" s="51" t="s">
        <v>48</v>
      </c>
      <c r="B171" s="50"/>
      <c r="C171" s="36" t="s">
        <v>44</v>
      </c>
      <c r="D171" s="36" t="s">
        <v>361</v>
      </c>
      <c r="E171" s="36" t="s">
        <v>447</v>
      </c>
      <c r="F171" s="36" t="s">
        <v>448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48"/>
    </row>
    <row r="172" spans="1:34" ht="15" thickTop="1" x14ac:dyDescent="0.35">
      <c r="A172" s="38" t="s">
        <v>37</v>
      </c>
      <c r="B172" s="35"/>
      <c r="C172" s="49" t="s">
        <v>38</v>
      </c>
      <c r="D172" s="49" t="s">
        <v>360</v>
      </c>
      <c r="E172" s="49" t="s">
        <v>450</v>
      </c>
      <c r="F172" s="49" t="s">
        <v>451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52"/>
    </row>
    <row r="173" spans="1:34" x14ac:dyDescent="0.35">
      <c r="A173" s="41" t="s">
        <v>87</v>
      </c>
      <c r="B173" s="28"/>
      <c r="C173" t="s">
        <v>40</v>
      </c>
      <c r="E173" t="s">
        <v>450</v>
      </c>
      <c r="F173" t="s">
        <v>451</v>
      </c>
      <c r="AH173" s="47"/>
    </row>
    <row r="174" spans="1:34" x14ac:dyDescent="0.35">
      <c r="A174" s="41" t="s">
        <v>41</v>
      </c>
      <c r="B174" s="28"/>
      <c r="C174" t="s">
        <v>41</v>
      </c>
      <c r="E174" t="s">
        <v>450</v>
      </c>
      <c r="F174" t="s">
        <v>451</v>
      </c>
      <c r="AH174" s="47"/>
    </row>
    <row r="175" spans="1:34" x14ac:dyDescent="0.35">
      <c r="A175" s="41" t="s">
        <v>43</v>
      </c>
      <c r="B175" s="28"/>
      <c r="C175" t="s">
        <v>40</v>
      </c>
      <c r="E175" t="s">
        <v>450</v>
      </c>
      <c r="F175" t="s">
        <v>451</v>
      </c>
      <c r="AH175" s="47"/>
    </row>
    <row r="176" spans="1:34" x14ac:dyDescent="0.35">
      <c r="A176" s="41" t="s">
        <v>48</v>
      </c>
      <c r="B176" s="28"/>
      <c r="C176" t="s">
        <v>44</v>
      </c>
      <c r="E176" t="s">
        <v>450</v>
      </c>
      <c r="F176" t="s">
        <v>451</v>
      </c>
      <c r="AH176" s="47"/>
    </row>
    <row r="177" spans="1:34" x14ac:dyDescent="0.35">
      <c r="A177" s="41" t="s">
        <v>60</v>
      </c>
      <c r="B177" s="28"/>
      <c r="C177" t="s">
        <v>40</v>
      </c>
      <c r="E177" t="s">
        <v>450</v>
      </c>
      <c r="F177" t="s">
        <v>451</v>
      </c>
      <c r="AH177" s="47"/>
    </row>
    <row r="178" spans="1:34" x14ac:dyDescent="0.35">
      <c r="A178" s="41" t="s">
        <v>92</v>
      </c>
      <c r="B178" s="28"/>
      <c r="C178" t="s">
        <v>40</v>
      </c>
      <c r="E178" t="s">
        <v>450</v>
      </c>
      <c r="F178" t="s">
        <v>451</v>
      </c>
      <c r="AH178" s="47"/>
    </row>
    <row r="179" spans="1:34" x14ac:dyDescent="0.35">
      <c r="A179" s="41" t="s">
        <v>87</v>
      </c>
      <c r="B179" s="28"/>
      <c r="C179" t="s">
        <v>40</v>
      </c>
      <c r="E179" t="s">
        <v>450</v>
      </c>
      <c r="F179" t="s">
        <v>451</v>
      </c>
      <c r="AH179" s="47"/>
    </row>
    <row r="180" spans="1:34" x14ac:dyDescent="0.35">
      <c r="A180" s="41" t="s">
        <v>37</v>
      </c>
      <c r="B180" s="28"/>
      <c r="C180" t="s">
        <v>38</v>
      </c>
      <c r="E180" t="s">
        <v>450</v>
      </c>
      <c r="F180" t="s">
        <v>451</v>
      </c>
      <c r="AH180" s="47"/>
    </row>
    <row r="181" spans="1:34" ht="15" thickBot="1" x14ac:dyDescent="0.4">
      <c r="A181" s="51" t="s">
        <v>97</v>
      </c>
      <c r="B181" s="50"/>
      <c r="C181" s="36" t="s">
        <v>40</v>
      </c>
      <c r="D181" s="36" t="s">
        <v>361</v>
      </c>
      <c r="E181" s="36" t="s">
        <v>450</v>
      </c>
      <c r="F181" s="36" t="s">
        <v>451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48"/>
    </row>
    <row r="182" spans="1:34" ht="15" thickTop="1" x14ac:dyDescent="0.35">
      <c r="A182" s="38" t="s">
        <v>37</v>
      </c>
      <c r="B182" s="35"/>
      <c r="C182" s="49" t="s">
        <v>38</v>
      </c>
      <c r="D182" s="49" t="s">
        <v>360</v>
      </c>
      <c r="E182" s="49" t="s">
        <v>453</v>
      </c>
      <c r="F182" s="49" t="s">
        <v>454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52"/>
    </row>
    <row r="183" spans="1:34" x14ac:dyDescent="0.35">
      <c r="A183" s="41" t="s">
        <v>59</v>
      </c>
      <c r="B183" s="28"/>
      <c r="C183" t="s">
        <v>40</v>
      </c>
      <c r="E183" t="s">
        <v>453</v>
      </c>
      <c r="F183" t="s">
        <v>454</v>
      </c>
      <c r="AH183" s="47"/>
    </row>
    <row r="184" spans="1:34" x14ac:dyDescent="0.35">
      <c r="A184" s="41" t="s">
        <v>44</v>
      </c>
      <c r="B184" s="28"/>
      <c r="C184" t="s">
        <v>44</v>
      </c>
      <c r="E184" t="s">
        <v>453</v>
      </c>
      <c r="F184" t="s">
        <v>454</v>
      </c>
      <c r="AH184" s="47"/>
    </row>
    <row r="185" spans="1:34" x14ac:dyDescent="0.35">
      <c r="A185" s="41" t="s">
        <v>41</v>
      </c>
      <c r="B185" s="28"/>
      <c r="C185" t="s">
        <v>41</v>
      </c>
      <c r="E185" t="s">
        <v>453</v>
      </c>
      <c r="F185" t="s">
        <v>454</v>
      </c>
      <c r="AH185" s="47"/>
    </row>
    <row r="186" spans="1:34" x14ac:dyDescent="0.35">
      <c r="A186" s="41" t="s">
        <v>59</v>
      </c>
      <c r="B186" s="28"/>
      <c r="C186" t="s">
        <v>40</v>
      </c>
      <c r="E186" t="s">
        <v>453</v>
      </c>
      <c r="F186" t="s">
        <v>454</v>
      </c>
      <c r="AH186" s="47"/>
    </row>
    <row r="187" spans="1:34" x14ac:dyDescent="0.35">
      <c r="A187" s="41" t="s">
        <v>43</v>
      </c>
      <c r="B187" s="28"/>
      <c r="C187" t="s">
        <v>40</v>
      </c>
      <c r="E187" t="s">
        <v>453</v>
      </c>
      <c r="F187" t="s">
        <v>454</v>
      </c>
      <c r="AH187" s="47"/>
    </row>
    <row r="188" spans="1:34" x14ac:dyDescent="0.35">
      <c r="A188" s="41" t="s">
        <v>99</v>
      </c>
      <c r="B188" s="28"/>
      <c r="C188" t="s">
        <v>40</v>
      </c>
      <c r="E188" t="s">
        <v>453</v>
      </c>
      <c r="F188" t="s">
        <v>454</v>
      </c>
      <c r="AH188" s="47"/>
    </row>
    <row r="189" spans="1:34" x14ac:dyDescent="0.35">
      <c r="A189" s="41" t="s">
        <v>100</v>
      </c>
      <c r="B189" s="28"/>
      <c r="C189" t="s">
        <v>40</v>
      </c>
      <c r="E189" t="s">
        <v>453</v>
      </c>
      <c r="F189" t="s">
        <v>454</v>
      </c>
      <c r="AH189" s="47"/>
    </row>
    <row r="190" spans="1:34" x14ac:dyDescent="0.35">
      <c r="A190" s="41" t="s">
        <v>59</v>
      </c>
      <c r="B190" s="28"/>
      <c r="C190" t="s">
        <v>40</v>
      </c>
      <c r="E190" t="s">
        <v>453</v>
      </c>
      <c r="F190" t="s">
        <v>454</v>
      </c>
      <c r="AH190" s="47"/>
    </row>
    <row r="191" spans="1:34" ht="15" thickBot="1" x14ac:dyDescent="0.4">
      <c r="A191" s="51" t="s">
        <v>101</v>
      </c>
      <c r="B191" s="50"/>
      <c r="C191" s="36" t="s">
        <v>44</v>
      </c>
      <c r="D191" s="36" t="s">
        <v>361</v>
      </c>
      <c r="E191" s="36" t="s">
        <v>453</v>
      </c>
      <c r="F191" s="36" t="s">
        <v>454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48"/>
    </row>
    <row r="192" spans="1:34" ht="15" thickTop="1" x14ac:dyDescent="0.35">
      <c r="A192" s="38" t="s">
        <v>66</v>
      </c>
      <c r="B192" s="35"/>
      <c r="C192" s="49" t="s">
        <v>40</v>
      </c>
      <c r="D192" s="49" t="s">
        <v>360</v>
      </c>
      <c r="E192" s="49" t="s">
        <v>458</v>
      </c>
      <c r="F192" s="49" t="s">
        <v>459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52"/>
    </row>
    <row r="193" spans="1:34" x14ac:dyDescent="0.35">
      <c r="A193" s="41" t="s">
        <v>44</v>
      </c>
      <c r="B193" s="28"/>
      <c r="C193" t="s">
        <v>44</v>
      </c>
      <c r="E193" t="s">
        <v>458</v>
      </c>
      <c r="F193" t="s">
        <v>459</v>
      </c>
      <c r="AH193" s="47"/>
    </row>
    <row r="194" spans="1:34" x14ac:dyDescent="0.35">
      <c r="A194" s="41" t="s">
        <v>44</v>
      </c>
      <c r="B194" s="28"/>
      <c r="C194" t="s">
        <v>44</v>
      </c>
      <c r="E194" t="s">
        <v>458</v>
      </c>
      <c r="F194" t="s">
        <v>459</v>
      </c>
      <c r="AH194" s="47"/>
    </row>
    <row r="195" spans="1:34" x14ac:dyDescent="0.35">
      <c r="A195" s="41" t="s">
        <v>42</v>
      </c>
      <c r="B195" s="28"/>
      <c r="C195" t="s">
        <v>40</v>
      </c>
      <c r="E195" t="s">
        <v>458</v>
      </c>
      <c r="F195" t="s">
        <v>459</v>
      </c>
      <c r="AH195" s="47"/>
    </row>
    <row r="196" spans="1:34" x14ac:dyDescent="0.35">
      <c r="A196" s="41" t="s">
        <v>44</v>
      </c>
      <c r="B196" s="28"/>
      <c r="C196" t="s">
        <v>44</v>
      </c>
      <c r="E196" t="s">
        <v>458</v>
      </c>
      <c r="F196" t="s">
        <v>459</v>
      </c>
      <c r="AH196" s="47"/>
    </row>
    <row r="197" spans="1:34" x14ac:dyDescent="0.35">
      <c r="A197" s="41" t="s">
        <v>44</v>
      </c>
      <c r="B197" s="28"/>
      <c r="C197" t="s">
        <v>44</v>
      </c>
      <c r="E197" t="s">
        <v>458</v>
      </c>
      <c r="F197" t="s">
        <v>459</v>
      </c>
      <c r="AH197" s="47"/>
    </row>
    <row r="198" spans="1:34" x14ac:dyDescent="0.35">
      <c r="A198" s="41" t="s">
        <v>42</v>
      </c>
      <c r="B198" s="28"/>
      <c r="C198" t="s">
        <v>40</v>
      </c>
      <c r="E198" t="s">
        <v>458</v>
      </c>
      <c r="F198" t="s">
        <v>459</v>
      </c>
      <c r="AH198" s="47"/>
    </row>
    <row r="199" spans="1:34" x14ac:dyDescent="0.35">
      <c r="A199" s="41" t="s">
        <v>61</v>
      </c>
      <c r="B199" s="28"/>
      <c r="C199" t="s">
        <v>40</v>
      </c>
      <c r="E199" t="s">
        <v>458</v>
      </c>
      <c r="F199" t="s">
        <v>459</v>
      </c>
      <c r="AH199" s="47"/>
    </row>
    <row r="200" spans="1:34" x14ac:dyDescent="0.35">
      <c r="A200" s="41" t="s">
        <v>48</v>
      </c>
      <c r="B200" s="28"/>
      <c r="C200" t="s">
        <v>44</v>
      </c>
      <c r="E200" t="s">
        <v>458</v>
      </c>
      <c r="F200" t="s">
        <v>459</v>
      </c>
      <c r="AH200" s="47"/>
    </row>
    <row r="201" spans="1:34" ht="15" thickBot="1" x14ac:dyDescent="0.4">
      <c r="A201" s="51" t="s">
        <v>37</v>
      </c>
      <c r="B201" s="50"/>
      <c r="C201" s="36" t="s">
        <v>38</v>
      </c>
      <c r="D201" s="36" t="s">
        <v>361</v>
      </c>
      <c r="E201" s="36" t="s">
        <v>458</v>
      </c>
      <c r="F201" s="36" t="s">
        <v>459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48"/>
    </row>
    <row r="202" spans="1:34" ht="15" thickTop="1" x14ac:dyDescent="0.35">
      <c r="A202" s="38" t="s">
        <v>87</v>
      </c>
      <c r="B202" s="35"/>
      <c r="C202" s="49" t="s">
        <v>40</v>
      </c>
      <c r="D202" s="49" t="s">
        <v>360</v>
      </c>
      <c r="E202" s="49" t="s">
        <v>460</v>
      </c>
      <c r="F202" s="49" t="s">
        <v>461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52"/>
    </row>
    <row r="203" spans="1:34" x14ac:dyDescent="0.35">
      <c r="A203" s="41" t="s">
        <v>59</v>
      </c>
      <c r="B203" s="28"/>
      <c r="C203" t="s">
        <v>40</v>
      </c>
      <c r="E203" t="s">
        <v>460</v>
      </c>
      <c r="F203" t="s">
        <v>461</v>
      </c>
      <c r="AH203" s="47"/>
    </row>
    <row r="204" spans="1:34" x14ac:dyDescent="0.35">
      <c r="A204" s="41" t="s">
        <v>90</v>
      </c>
      <c r="B204" s="28"/>
      <c r="C204" t="s">
        <v>40</v>
      </c>
      <c r="E204" t="s">
        <v>460</v>
      </c>
      <c r="F204" t="s">
        <v>461</v>
      </c>
      <c r="AH204" s="47"/>
    </row>
    <row r="205" spans="1:34" x14ac:dyDescent="0.35">
      <c r="A205" s="41" t="s">
        <v>60</v>
      </c>
      <c r="B205" s="28"/>
      <c r="C205" t="s">
        <v>40</v>
      </c>
      <c r="E205" t="s">
        <v>460</v>
      </c>
      <c r="F205" t="s">
        <v>461</v>
      </c>
      <c r="AH205" s="47"/>
    </row>
    <row r="206" spans="1:34" x14ac:dyDescent="0.35">
      <c r="A206" s="41" t="s">
        <v>44</v>
      </c>
      <c r="B206" s="28"/>
      <c r="C206" t="s">
        <v>44</v>
      </c>
      <c r="E206" t="s">
        <v>460</v>
      </c>
      <c r="F206" t="s">
        <v>461</v>
      </c>
      <c r="AH206" s="47"/>
    </row>
    <row r="207" spans="1:34" x14ac:dyDescent="0.35">
      <c r="A207" s="41" t="s">
        <v>58</v>
      </c>
      <c r="B207" s="28"/>
      <c r="C207" t="s">
        <v>40</v>
      </c>
      <c r="E207" t="s">
        <v>460</v>
      </c>
      <c r="F207" t="s">
        <v>461</v>
      </c>
      <c r="AH207" s="47"/>
    </row>
    <row r="208" spans="1:34" x14ac:dyDescent="0.35">
      <c r="A208" s="41" t="s">
        <v>69</v>
      </c>
      <c r="B208" s="28"/>
      <c r="C208" t="s">
        <v>40</v>
      </c>
      <c r="E208" t="s">
        <v>460</v>
      </c>
      <c r="F208" t="s">
        <v>461</v>
      </c>
      <c r="AH208" s="47"/>
    </row>
    <row r="209" spans="1:34" x14ac:dyDescent="0.35">
      <c r="A209" s="41" t="s">
        <v>44</v>
      </c>
      <c r="B209" s="28"/>
      <c r="C209" t="s">
        <v>44</v>
      </c>
      <c r="E209" t="s">
        <v>460</v>
      </c>
      <c r="F209" t="s">
        <v>461</v>
      </c>
      <c r="AH209" s="47"/>
    </row>
    <row r="210" spans="1:34" x14ac:dyDescent="0.35">
      <c r="A210" s="41" t="s">
        <v>44</v>
      </c>
      <c r="B210" s="28"/>
      <c r="C210" t="s">
        <v>44</v>
      </c>
      <c r="E210" t="s">
        <v>460</v>
      </c>
      <c r="F210" t="s">
        <v>461</v>
      </c>
      <c r="AH210" s="47"/>
    </row>
    <row r="211" spans="1:34" ht="15" thickBot="1" x14ac:dyDescent="0.4">
      <c r="A211" s="51" t="s">
        <v>58</v>
      </c>
      <c r="B211" s="50"/>
      <c r="C211" s="36" t="s">
        <v>40</v>
      </c>
      <c r="D211" s="36" t="s">
        <v>361</v>
      </c>
      <c r="E211" s="36" t="s">
        <v>460</v>
      </c>
      <c r="F211" s="36" t="s">
        <v>461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48"/>
    </row>
    <row r="212" spans="1:34" ht="15" thickTop="1" x14ac:dyDescent="0.35">
      <c r="A212" s="38" t="s">
        <v>58</v>
      </c>
      <c r="B212" s="35"/>
      <c r="C212" s="49" t="s">
        <v>40</v>
      </c>
      <c r="D212" s="49" t="s">
        <v>360</v>
      </c>
      <c r="E212" s="49" t="s">
        <v>462</v>
      </c>
      <c r="F212" s="49" t="s">
        <v>463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52"/>
    </row>
    <row r="213" spans="1:34" x14ac:dyDescent="0.35">
      <c r="A213" s="41" t="s">
        <v>37</v>
      </c>
      <c r="B213" s="28"/>
      <c r="C213" t="s">
        <v>38</v>
      </c>
      <c r="E213" t="s">
        <v>462</v>
      </c>
      <c r="F213" t="s">
        <v>463</v>
      </c>
      <c r="AH213" s="47"/>
    </row>
    <row r="214" spans="1:34" x14ac:dyDescent="0.35">
      <c r="A214" s="41" t="s">
        <v>55</v>
      </c>
      <c r="B214" s="28"/>
      <c r="C214" t="s">
        <v>40</v>
      </c>
      <c r="E214" t="s">
        <v>462</v>
      </c>
      <c r="F214" t="s">
        <v>463</v>
      </c>
      <c r="AH214" s="47"/>
    </row>
    <row r="215" spans="1:34" x14ac:dyDescent="0.35">
      <c r="A215" s="41" t="s">
        <v>37</v>
      </c>
      <c r="B215" s="28"/>
      <c r="C215" t="s">
        <v>38</v>
      </c>
      <c r="E215" t="s">
        <v>462</v>
      </c>
      <c r="F215" t="s">
        <v>463</v>
      </c>
      <c r="AH215" s="47"/>
    </row>
    <row r="216" spans="1:34" x14ac:dyDescent="0.35">
      <c r="A216" s="41" t="s">
        <v>105</v>
      </c>
      <c r="B216" s="28"/>
      <c r="C216" t="s">
        <v>106</v>
      </c>
      <c r="E216" t="s">
        <v>462</v>
      </c>
      <c r="F216" t="s">
        <v>463</v>
      </c>
      <c r="AH216" s="47"/>
    </row>
    <row r="217" spans="1:34" x14ac:dyDescent="0.35">
      <c r="A217" s="41" t="s">
        <v>55</v>
      </c>
      <c r="B217" s="28"/>
      <c r="C217" t="s">
        <v>40</v>
      </c>
      <c r="E217" t="s">
        <v>462</v>
      </c>
      <c r="F217" t="s">
        <v>463</v>
      </c>
      <c r="AH217" s="47"/>
    </row>
    <row r="218" spans="1:34" x14ac:dyDescent="0.35">
      <c r="A218" s="41" t="s">
        <v>80</v>
      </c>
      <c r="B218" s="28"/>
      <c r="C218" t="s">
        <v>40</v>
      </c>
      <c r="E218" t="s">
        <v>462</v>
      </c>
      <c r="F218" t="s">
        <v>463</v>
      </c>
      <c r="AH218" s="47"/>
    </row>
    <row r="219" spans="1:34" x14ac:dyDescent="0.35">
      <c r="A219" s="41" t="s">
        <v>37</v>
      </c>
      <c r="B219" s="28"/>
      <c r="C219" t="s">
        <v>38</v>
      </c>
      <c r="E219" t="s">
        <v>462</v>
      </c>
      <c r="F219" t="s">
        <v>463</v>
      </c>
      <c r="AH219" s="47"/>
    </row>
    <row r="220" spans="1:34" x14ac:dyDescent="0.35">
      <c r="A220" s="41" t="s">
        <v>92</v>
      </c>
      <c r="B220" s="28"/>
      <c r="C220" t="s">
        <v>40</v>
      </c>
      <c r="E220" t="s">
        <v>462</v>
      </c>
      <c r="F220" t="s">
        <v>463</v>
      </c>
      <c r="AH220" s="47"/>
    </row>
    <row r="221" spans="1:34" ht="15" thickBot="1" x14ac:dyDescent="0.4">
      <c r="A221" s="51" t="s">
        <v>44</v>
      </c>
      <c r="B221" s="50"/>
      <c r="C221" s="36" t="s">
        <v>44</v>
      </c>
      <c r="D221" s="36" t="s">
        <v>361</v>
      </c>
      <c r="E221" s="36" t="s">
        <v>462</v>
      </c>
      <c r="F221" s="36" t="s">
        <v>463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48"/>
    </row>
    <row r="222" spans="1:3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28C8-ABC9-48DE-AED3-0B7268F352A6}">
  <dimension ref="A1:AH24"/>
  <sheetViews>
    <sheetView workbookViewId="0"/>
  </sheetViews>
  <sheetFormatPr defaultRowHeight="14.5" x14ac:dyDescent="0.35"/>
  <cols>
    <col min="1" max="1" width="2.81640625" style="2" bestFit="1" customWidth="1"/>
    <col min="2" max="2" width="13.08984375" style="2" bestFit="1" customWidth="1"/>
    <col min="3" max="3" width="1.90625" style="4" bestFit="1" customWidth="1"/>
    <col min="4" max="4" width="1.81640625" style="4" bestFit="1" customWidth="1"/>
    <col min="5" max="5" width="7.26953125" style="7" bestFit="1" customWidth="1"/>
    <col min="6" max="6" width="6.6328125" style="7" bestFit="1" customWidth="1"/>
    <col min="7" max="7" width="7.26953125" style="7" bestFit="1" customWidth="1"/>
    <col min="8" max="8" width="6" style="7" bestFit="1" customWidth="1"/>
    <col min="9" max="9" width="6.6328125" style="7" bestFit="1" customWidth="1"/>
    <col min="10" max="10" width="5.453125" style="7" bestFit="1" customWidth="1"/>
    <col min="11" max="13" width="6" style="7" bestFit="1" customWidth="1"/>
    <col min="14" max="14" width="6.6328125" style="7" bestFit="1" customWidth="1"/>
    <col min="15" max="23" width="6.26953125" style="10" bestFit="1" customWidth="1"/>
    <col min="24" max="24" width="7.26953125" style="10" bestFit="1" customWidth="1"/>
    <col min="25" max="30" width="5.7265625" style="13" bestFit="1" customWidth="1"/>
    <col min="31" max="31" width="5.81640625" style="13" bestFit="1" customWidth="1"/>
    <col min="32" max="32" width="5.7265625" style="13" bestFit="1" customWidth="1"/>
    <col min="33" max="33" width="5.81640625" style="13" bestFit="1" customWidth="1"/>
    <col min="34" max="34" width="6.7265625" style="13" bestFit="1" customWidth="1"/>
  </cols>
  <sheetData>
    <row r="1" spans="1:34" x14ac:dyDescent="0.35">
      <c r="E1" s="6" t="s">
        <v>4</v>
      </c>
      <c r="O1" s="9" t="s">
        <v>15</v>
      </c>
      <c r="Y1" s="12" t="s">
        <v>26</v>
      </c>
    </row>
    <row r="2" spans="1:34" x14ac:dyDescent="0.3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35">
      <c r="A3" s="2">
        <v>1</v>
      </c>
      <c r="B3" s="2" t="s">
        <v>36</v>
      </c>
      <c r="E3" s="7" t="s">
        <v>37</v>
      </c>
      <c r="F3" s="7" t="s">
        <v>39</v>
      </c>
      <c r="G3" s="7" t="s">
        <v>41</v>
      </c>
      <c r="H3" s="7" t="s">
        <v>42</v>
      </c>
      <c r="I3" s="7" t="s">
        <v>43</v>
      </c>
      <c r="J3" s="7" t="s">
        <v>41</v>
      </c>
      <c r="K3" s="7" t="s">
        <v>44</v>
      </c>
      <c r="L3" s="7" t="s">
        <v>42</v>
      </c>
      <c r="M3" s="7" t="s">
        <v>45</v>
      </c>
      <c r="N3" s="7" t="s">
        <v>39</v>
      </c>
      <c r="O3" s="10" t="s">
        <v>38</v>
      </c>
      <c r="P3" s="10" t="s">
        <v>40</v>
      </c>
      <c r="Q3" s="10" t="s">
        <v>41</v>
      </c>
      <c r="R3" s="10" t="s">
        <v>40</v>
      </c>
      <c r="S3" s="10" t="s">
        <v>40</v>
      </c>
      <c r="T3" s="10" t="s">
        <v>41</v>
      </c>
      <c r="U3" s="10" t="s">
        <v>44</v>
      </c>
      <c r="V3" s="10" t="s">
        <v>40</v>
      </c>
      <c r="W3" s="10" t="s">
        <v>40</v>
      </c>
      <c r="X3" s="10" t="s">
        <v>40</v>
      </c>
    </row>
    <row r="4" spans="1:34" x14ac:dyDescent="0.35">
      <c r="A4" s="2">
        <v>2</v>
      </c>
      <c r="B4" s="2" t="s">
        <v>46</v>
      </c>
      <c r="E4" s="7" t="s">
        <v>39</v>
      </c>
      <c r="F4" s="7" t="s">
        <v>44</v>
      </c>
      <c r="G4" s="7" t="s">
        <v>37</v>
      </c>
      <c r="H4" s="7" t="s">
        <v>37</v>
      </c>
      <c r="I4" s="7" t="s">
        <v>39</v>
      </c>
      <c r="J4" s="7" t="s">
        <v>42</v>
      </c>
      <c r="K4" s="7" t="s">
        <v>47</v>
      </c>
      <c r="L4" s="7" t="s">
        <v>48</v>
      </c>
      <c r="M4" s="7" t="s">
        <v>49</v>
      </c>
      <c r="N4" s="7" t="s">
        <v>39</v>
      </c>
      <c r="O4" s="10" t="s">
        <v>40</v>
      </c>
      <c r="P4" s="10" t="s">
        <v>44</v>
      </c>
      <c r="Q4" s="10" t="s">
        <v>38</v>
      </c>
      <c r="R4" s="10" t="s">
        <v>38</v>
      </c>
      <c r="S4" s="10" t="s">
        <v>40</v>
      </c>
      <c r="T4" s="10" t="s">
        <v>40</v>
      </c>
      <c r="U4" s="10" t="s">
        <v>40</v>
      </c>
      <c r="V4" s="10" t="s">
        <v>44</v>
      </c>
      <c r="W4" s="10" t="s">
        <v>38</v>
      </c>
      <c r="X4" s="10" t="s">
        <v>40</v>
      </c>
      <c r="AG4" s="13" t="s">
        <v>50</v>
      </c>
    </row>
    <row r="5" spans="1:34" x14ac:dyDescent="0.35">
      <c r="A5" s="2">
        <v>3</v>
      </c>
      <c r="B5" s="2" t="s">
        <v>51</v>
      </c>
      <c r="E5" s="7" t="s">
        <v>52</v>
      </c>
      <c r="F5" s="7" t="s">
        <v>44</v>
      </c>
      <c r="G5" s="7" t="s">
        <v>48</v>
      </c>
      <c r="H5" s="7" t="s">
        <v>53</v>
      </c>
      <c r="I5" s="7" t="s">
        <v>54</v>
      </c>
      <c r="J5" s="7" t="s">
        <v>55</v>
      </c>
      <c r="K5" s="7" t="s">
        <v>48</v>
      </c>
      <c r="L5" s="7" t="s">
        <v>37</v>
      </c>
      <c r="M5" s="7" t="s">
        <v>56</v>
      </c>
      <c r="N5" s="7" t="s">
        <v>44</v>
      </c>
      <c r="O5" s="10" t="s">
        <v>40</v>
      </c>
      <c r="P5" s="10" t="s">
        <v>44</v>
      </c>
      <c r="Q5" s="10" t="s">
        <v>44</v>
      </c>
      <c r="R5" s="10" t="s">
        <v>40</v>
      </c>
      <c r="S5" s="10" t="s">
        <v>44</v>
      </c>
      <c r="T5" s="10" t="s">
        <v>40</v>
      </c>
      <c r="U5" s="10" t="s">
        <v>44</v>
      </c>
      <c r="V5" s="10" t="s">
        <v>38</v>
      </c>
      <c r="W5" s="10" t="s">
        <v>40</v>
      </c>
      <c r="X5" s="10" t="s">
        <v>44</v>
      </c>
    </row>
    <row r="6" spans="1:34" x14ac:dyDescent="0.35">
      <c r="A6" s="2">
        <v>4</v>
      </c>
      <c r="B6" s="2" t="s">
        <v>57</v>
      </c>
      <c r="E6" s="7" t="s">
        <v>41</v>
      </c>
      <c r="F6" s="7" t="s">
        <v>39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60</v>
      </c>
      <c r="L6" s="7" t="s">
        <v>62</v>
      </c>
      <c r="M6" s="7" t="s">
        <v>60</v>
      </c>
      <c r="N6" s="7" t="s">
        <v>41</v>
      </c>
      <c r="O6" s="10" t="s">
        <v>41</v>
      </c>
      <c r="P6" s="10" t="s">
        <v>40</v>
      </c>
      <c r="Q6" s="10" t="s">
        <v>40</v>
      </c>
      <c r="R6" s="10" t="s">
        <v>40</v>
      </c>
      <c r="S6" s="10" t="s">
        <v>40</v>
      </c>
      <c r="T6" s="10" t="s">
        <v>40</v>
      </c>
      <c r="U6" s="10" t="s">
        <v>40</v>
      </c>
      <c r="V6" s="10" t="s">
        <v>40</v>
      </c>
      <c r="W6" s="10" t="s">
        <v>40</v>
      </c>
      <c r="X6" s="10" t="s">
        <v>41</v>
      </c>
    </row>
    <row r="7" spans="1:34" x14ac:dyDescent="0.35">
      <c r="A7" s="2">
        <v>5</v>
      </c>
      <c r="B7" s="2" t="s">
        <v>63</v>
      </c>
      <c r="E7" s="7" t="s">
        <v>37</v>
      </c>
      <c r="F7" s="7" t="s">
        <v>37</v>
      </c>
      <c r="G7" s="7" t="s">
        <v>48</v>
      </c>
      <c r="H7" s="7" t="s">
        <v>64</v>
      </c>
      <c r="I7" s="7" t="s">
        <v>44</v>
      </c>
      <c r="J7" s="7" t="s">
        <v>44</v>
      </c>
      <c r="K7" s="7" t="s">
        <v>49</v>
      </c>
      <c r="L7" s="7" t="s">
        <v>48</v>
      </c>
      <c r="M7" s="7" t="s">
        <v>45</v>
      </c>
      <c r="N7" s="7" t="s">
        <v>44</v>
      </c>
      <c r="O7" s="10" t="s">
        <v>38</v>
      </c>
      <c r="P7" s="10" t="s">
        <v>38</v>
      </c>
      <c r="Q7" s="10" t="s">
        <v>44</v>
      </c>
      <c r="R7" s="10" t="s">
        <v>40</v>
      </c>
      <c r="S7" s="10" t="s">
        <v>44</v>
      </c>
      <c r="T7" s="10" t="s">
        <v>44</v>
      </c>
      <c r="U7" s="10" t="s">
        <v>38</v>
      </c>
      <c r="V7" s="10" t="s">
        <v>44</v>
      </c>
      <c r="W7" s="10" t="s">
        <v>40</v>
      </c>
      <c r="X7" s="10" t="s">
        <v>44</v>
      </c>
      <c r="AE7" s="13" t="s">
        <v>50</v>
      </c>
    </row>
    <row r="8" spans="1:34" x14ac:dyDescent="0.35">
      <c r="A8" s="2">
        <v>6</v>
      </c>
      <c r="B8" s="2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69</v>
      </c>
      <c r="J8" s="7" t="s">
        <v>70</v>
      </c>
      <c r="K8" s="7" t="s">
        <v>71</v>
      </c>
      <c r="L8" s="7" t="s">
        <v>68</v>
      </c>
      <c r="M8" s="7" t="s">
        <v>41</v>
      </c>
      <c r="N8" s="7" t="s">
        <v>48</v>
      </c>
      <c r="O8" s="10" t="s">
        <v>40</v>
      </c>
      <c r="P8" s="10" t="s">
        <v>40</v>
      </c>
      <c r="Q8" s="10" t="s">
        <v>40</v>
      </c>
      <c r="R8" s="10" t="s">
        <v>40</v>
      </c>
      <c r="S8" s="10" t="s">
        <v>40</v>
      </c>
      <c r="T8" s="10" t="s">
        <v>40</v>
      </c>
      <c r="U8" s="10" t="s">
        <v>40</v>
      </c>
      <c r="V8" s="10" t="s">
        <v>40</v>
      </c>
      <c r="W8" s="10" t="s">
        <v>41</v>
      </c>
      <c r="X8" s="10" t="s">
        <v>44</v>
      </c>
    </row>
    <row r="9" spans="1:34" x14ac:dyDescent="0.35">
      <c r="A9" s="2">
        <v>7</v>
      </c>
      <c r="B9" s="2" t="s">
        <v>72</v>
      </c>
      <c r="E9" s="7" t="s">
        <v>37</v>
      </c>
      <c r="F9" s="7" t="s">
        <v>73</v>
      </c>
      <c r="G9" s="7" t="s">
        <v>41</v>
      </c>
      <c r="H9" s="7" t="s">
        <v>43</v>
      </c>
      <c r="I9" s="7" t="s">
        <v>43</v>
      </c>
      <c r="J9" s="7" t="s">
        <v>43</v>
      </c>
      <c r="K9" s="7" t="s">
        <v>41</v>
      </c>
      <c r="L9" s="7" t="s">
        <v>43</v>
      </c>
      <c r="M9" s="7" t="s">
        <v>43</v>
      </c>
      <c r="N9" s="7" t="s">
        <v>43</v>
      </c>
      <c r="O9" s="10" t="s">
        <v>38</v>
      </c>
      <c r="P9" s="10" t="s">
        <v>40</v>
      </c>
      <c r="Q9" s="10" t="s">
        <v>41</v>
      </c>
      <c r="R9" s="10" t="s">
        <v>40</v>
      </c>
      <c r="S9" s="10" t="s">
        <v>40</v>
      </c>
      <c r="T9" s="10" t="s">
        <v>40</v>
      </c>
      <c r="U9" s="10" t="s">
        <v>41</v>
      </c>
      <c r="V9" s="10" t="s">
        <v>40</v>
      </c>
      <c r="W9" s="10" t="s">
        <v>40</v>
      </c>
      <c r="X9" s="10" t="s">
        <v>40</v>
      </c>
      <c r="AD9" s="13" t="s">
        <v>74</v>
      </c>
    </row>
    <row r="10" spans="1:34" x14ac:dyDescent="0.35">
      <c r="A10" s="2">
        <v>8</v>
      </c>
      <c r="B10" s="2" t="s">
        <v>75</v>
      </c>
      <c r="E10" s="7" t="s">
        <v>48</v>
      </c>
      <c r="F10" s="7" t="s">
        <v>44</v>
      </c>
      <c r="G10" s="7" t="s">
        <v>44</v>
      </c>
      <c r="H10" s="7" t="s">
        <v>48</v>
      </c>
      <c r="I10" s="7" t="s">
        <v>41</v>
      </c>
      <c r="J10" s="7" t="s">
        <v>44</v>
      </c>
      <c r="K10" s="7" t="s">
        <v>59</v>
      </c>
      <c r="L10" s="7" t="s">
        <v>59</v>
      </c>
      <c r="M10" s="7" t="s">
        <v>43</v>
      </c>
      <c r="N10" s="7" t="s">
        <v>45</v>
      </c>
      <c r="O10" s="10" t="s">
        <v>44</v>
      </c>
      <c r="P10" s="10" t="s">
        <v>44</v>
      </c>
      <c r="Q10" s="10" t="s">
        <v>44</v>
      </c>
      <c r="R10" s="10" t="s">
        <v>44</v>
      </c>
      <c r="S10" s="10" t="s">
        <v>41</v>
      </c>
      <c r="T10" s="10" t="s">
        <v>44</v>
      </c>
      <c r="U10" s="10" t="s">
        <v>40</v>
      </c>
      <c r="V10" s="10" t="s">
        <v>40</v>
      </c>
      <c r="W10" s="10" t="s">
        <v>40</v>
      </c>
      <c r="X10" s="10" t="s">
        <v>40</v>
      </c>
    </row>
    <row r="11" spans="1:34" x14ac:dyDescent="0.35">
      <c r="A11" s="2">
        <v>9</v>
      </c>
      <c r="B11" s="2" t="s">
        <v>76</v>
      </c>
      <c r="E11" s="7" t="s">
        <v>45</v>
      </c>
      <c r="F11" s="7" t="s">
        <v>77</v>
      </c>
      <c r="G11" s="7" t="s">
        <v>78</v>
      </c>
      <c r="H11" s="7" t="s">
        <v>45</v>
      </c>
      <c r="I11" s="7" t="s">
        <v>45</v>
      </c>
      <c r="J11" s="7" t="s">
        <v>45</v>
      </c>
      <c r="K11" s="7" t="s">
        <v>37</v>
      </c>
      <c r="L11" s="7" t="s">
        <v>48</v>
      </c>
      <c r="M11" s="7" t="s">
        <v>45</v>
      </c>
      <c r="N11" s="7" t="s">
        <v>48</v>
      </c>
      <c r="O11" s="10" t="s">
        <v>40</v>
      </c>
      <c r="P11" s="10" t="s">
        <v>38</v>
      </c>
      <c r="Q11" s="10" t="s">
        <v>40</v>
      </c>
      <c r="R11" s="10" t="s">
        <v>40</v>
      </c>
      <c r="S11" s="10" t="s">
        <v>40</v>
      </c>
      <c r="T11" s="10" t="s">
        <v>40</v>
      </c>
      <c r="U11" s="10" t="s">
        <v>38</v>
      </c>
      <c r="V11" s="10" t="s">
        <v>44</v>
      </c>
      <c r="W11" s="10" t="s">
        <v>40</v>
      </c>
      <c r="X11" s="10" t="s">
        <v>44</v>
      </c>
    </row>
    <row r="12" spans="1:34" x14ac:dyDescent="0.35">
      <c r="A12" s="2">
        <v>10</v>
      </c>
      <c r="B12" s="2" t="s">
        <v>79</v>
      </c>
      <c r="E12" s="7" t="s">
        <v>45</v>
      </c>
      <c r="F12" s="7" t="s">
        <v>41</v>
      </c>
      <c r="G12" s="7" t="s">
        <v>45</v>
      </c>
      <c r="H12" s="7" t="s">
        <v>41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80</v>
      </c>
      <c r="N12" s="7" t="s">
        <v>45</v>
      </c>
      <c r="O12" s="10" t="s">
        <v>40</v>
      </c>
      <c r="P12" s="10" t="s">
        <v>41</v>
      </c>
      <c r="Q12" s="10" t="s">
        <v>40</v>
      </c>
      <c r="R12" s="10" t="s">
        <v>41</v>
      </c>
      <c r="S12" s="10" t="s">
        <v>40</v>
      </c>
      <c r="T12" s="10" t="s">
        <v>40</v>
      </c>
      <c r="U12" s="10" t="s">
        <v>40</v>
      </c>
      <c r="V12" s="10" t="s">
        <v>40</v>
      </c>
      <c r="W12" s="10" t="s">
        <v>40</v>
      </c>
      <c r="X12" s="10" t="s">
        <v>40</v>
      </c>
    </row>
    <row r="13" spans="1:34" x14ac:dyDescent="0.35">
      <c r="A13" s="2">
        <v>11</v>
      </c>
      <c r="B13" s="2" t="s">
        <v>81</v>
      </c>
      <c r="E13" s="7" t="s">
        <v>42</v>
      </c>
      <c r="F13" s="7" t="s">
        <v>45</v>
      </c>
      <c r="G13" s="7" t="s">
        <v>45</v>
      </c>
      <c r="H13" s="7" t="s">
        <v>44</v>
      </c>
      <c r="I13" s="7" t="s">
        <v>52</v>
      </c>
      <c r="J13" s="7" t="s">
        <v>45</v>
      </c>
      <c r="K13" s="7" t="s">
        <v>45</v>
      </c>
      <c r="L13" s="7" t="s">
        <v>48</v>
      </c>
      <c r="M13" s="7" t="s">
        <v>44</v>
      </c>
      <c r="N13" s="7" t="s">
        <v>37</v>
      </c>
      <c r="O13" s="10" t="s">
        <v>40</v>
      </c>
      <c r="P13" s="10" t="s">
        <v>40</v>
      </c>
      <c r="Q13" s="10" t="s">
        <v>40</v>
      </c>
      <c r="R13" s="10" t="s">
        <v>44</v>
      </c>
      <c r="S13" s="10" t="s">
        <v>40</v>
      </c>
      <c r="T13" s="10" t="s">
        <v>40</v>
      </c>
      <c r="U13" s="10" t="s">
        <v>40</v>
      </c>
      <c r="V13" s="10" t="s">
        <v>44</v>
      </c>
      <c r="W13" s="10" t="s">
        <v>44</v>
      </c>
      <c r="X13" s="10" t="s">
        <v>38</v>
      </c>
    </row>
    <row r="14" spans="1:34" x14ac:dyDescent="0.35">
      <c r="A14" s="2">
        <v>12</v>
      </c>
      <c r="B14" s="2" t="s">
        <v>82</v>
      </c>
      <c r="E14" s="7" t="s">
        <v>48</v>
      </c>
      <c r="F14" s="7" t="s">
        <v>52</v>
      </c>
      <c r="G14" s="7" t="s">
        <v>66</v>
      </c>
      <c r="H14" s="7" t="s">
        <v>44</v>
      </c>
      <c r="I14" s="7" t="s">
        <v>56</v>
      </c>
      <c r="J14" s="7" t="s">
        <v>52</v>
      </c>
      <c r="K14" s="7" t="s">
        <v>80</v>
      </c>
      <c r="L14" s="7" t="s">
        <v>67</v>
      </c>
      <c r="M14" s="7" t="s">
        <v>48</v>
      </c>
      <c r="N14" s="7" t="s">
        <v>55</v>
      </c>
      <c r="O14" s="10" t="s">
        <v>44</v>
      </c>
      <c r="P14" s="10" t="s">
        <v>40</v>
      </c>
      <c r="Q14" s="10" t="s">
        <v>40</v>
      </c>
      <c r="R14" s="10" t="s">
        <v>44</v>
      </c>
      <c r="S14" s="10" t="s">
        <v>40</v>
      </c>
      <c r="T14" s="10" t="s">
        <v>40</v>
      </c>
      <c r="U14" s="10" t="s">
        <v>40</v>
      </c>
      <c r="V14" s="10" t="s">
        <v>40</v>
      </c>
      <c r="W14" s="10" t="s">
        <v>44</v>
      </c>
      <c r="X14" s="10" t="s">
        <v>40</v>
      </c>
    </row>
    <row r="15" spans="1:34" x14ac:dyDescent="0.35">
      <c r="A15" s="2">
        <v>13</v>
      </c>
      <c r="B15" s="2" t="s">
        <v>83</v>
      </c>
      <c r="E15" s="7" t="s">
        <v>37</v>
      </c>
      <c r="F15" s="7" t="s">
        <v>58</v>
      </c>
      <c r="G15" s="7" t="s">
        <v>61</v>
      </c>
      <c r="H15" s="7" t="s">
        <v>48</v>
      </c>
      <c r="I15" s="7" t="s">
        <v>37</v>
      </c>
      <c r="J15" s="7" t="s">
        <v>37</v>
      </c>
      <c r="K15" s="7" t="s">
        <v>41</v>
      </c>
      <c r="L15" s="7" t="s">
        <v>44</v>
      </c>
      <c r="M15" s="7" t="s">
        <v>49</v>
      </c>
      <c r="N15" s="7" t="s">
        <v>84</v>
      </c>
      <c r="O15" s="10" t="s">
        <v>38</v>
      </c>
      <c r="P15" s="10" t="s">
        <v>40</v>
      </c>
      <c r="Q15" s="10" t="s">
        <v>40</v>
      </c>
      <c r="R15" s="10" t="s">
        <v>44</v>
      </c>
      <c r="S15" s="10" t="s">
        <v>38</v>
      </c>
      <c r="T15" s="10" t="s">
        <v>38</v>
      </c>
      <c r="U15" s="10" t="s">
        <v>41</v>
      </c>
      <c r="V15" s="10" t="s">
        <v>44</v>
      </c>
      <c r="W15" s="10" t="s">
        <v>38</v>
      </c>
      <c r="X15" s="10" t="s">
        <v>40</v>
      </c>
      <c r="AG15" s="13" t="s">
        <v>50</v>
      </c>
    </row>
    <row r="16" spans="1:34" x14ac:dyDescent="0.35">
      <c r="A16" s="2">
        <v>14</v>
      </c>
      <c r="B16" s="2" t="s">
        <v>85</v>
      </c>
      <c r="E16" s="7" t="s">
        <v>86</v>
      </c>
      <c r="F16" s="7" t="s">
        <v>87</v>
      </c>
      <c r="G16" s="7" t="s">
        <v>86</v>
      </c>
      <c r="H16" s="7" t="s">
        <v>86</v>
      </c>
      <c r="I16" s="7" t="s">
        <v>86</v>
      </c>
      <c r="J16" s="7" t="s">
        <v>88</v>
      </c>
      <c r="K16" s="7" t="s">
        <v>44</v>
      </c>
      <c r="L16" s="7" t="s">
        <v>86</v>
      </c>
      <c r="M16" s="7" t="s">
        <v>87</v>
      </c>
      <c r="N16" s="7" t="s">
        <v>86</v>
      </c>
      <c r="O16" s="10" t="s">
        <v>40</v>
      </c>
      <c r="P16" s="10" t="s">
        <v>40</v>
      </c>
      <c r="Q16" s="10" t="s">
        <v>40</v>
      </c>
      <c r="R16" s="10" t="s">
        <v>40</v>
      </c>
      <c r="S16" s="10" t="s">
        <v>40</v>
      </c>
      <c r="T16" s="10" t="s">
        <v>40</v>
      </c>
      <c r="U16" s="10" t="s">
        <v>44</v>
      </c>
      <c r="V16" s="10" t="s">
        <v>40</v>
      </c>
      <c r="W16" s="10" t="s">
        <v>40</v>
      </c>
      <c r="X16" s="10" t="s">
        <v>40</v>
      </c>
    </row>
    <row r="17" spans="1:24" x14ac:dyDescent="0.35">
      <c r="A17" s="2">
        <v>15</v>
      </c>
      <c r="B17" s="2" t="s">
        <v>89</v>
      </c>
      <c r="E17" s="7" t="s">
        <v>90</v>
      </c>
      <c r="F17" s="7" t="s">
        <v>41</v>
      </c>
      <c r="G17" s="7" t="s">
        <v>58</v>
      </c>
      <c r="H17" s="7" t="s">
        <v>44</v>
      </c>
      <c r="I17" s="7" t="s">
        <v>48</v>
      </c>
      <c r="J17" s="7" t="s">
        <v>80</v>
      </c>
      <c r="K17" s="7" t="s">
        <v>47</v>
      </c>
      <c r="L17" s="7" t="s">
        <v>41</v>
      </c>
      <c r="M17" s="7" t="s">
        <v>80</v>
      </c>
      <c r="N17" s="7" t="s">
        <v>44</v>
      </c>
      <c r="O17" s="10" t="s">
        <v>40</v>
      </c>
      <c r="P17" s="10" t="s">
        <v>41</v>
      </c>
      <c r="Q17" s="10" t="s">
        <v>40</v>
      </c>
      <c r="R17" s="10" t="s">
        <v>44</v>
      </c>
      <c r="S17" s="10" t="s">
        <v>44</v>
      </c>
      <c r="T17" s="10" t="s">
        <v>40</v>
      </c>
      <c r="U17" s="10" t="s">
        <v>40</v>
      </c>
      <c r="V17" s="10" t="s">
        <v>41</v>
      </c>
      <c r="W17" s="10" t="s">
        <v>40</v>
      </c>
      <c r="X17" s="10" t="s">
        <v>44</v>
      </c>
    </row>
    <row r="18" spans="1:24" x14ac:dyDescent="0.35">
      <c r="A18" s="2">
        <v>16</v>
      </c>
      <c r="B18" s="2" t="s">
        <v>91</v>
      </c>
      <c r="E18" s="7" t="s">
        <v>68</v>
      </c>
      <c r="F18" s="7" t="s">
        <v>44</v>
      </c>
      <c r="G18" s="7" t="s">
        <v>86</v>
      </c>
      <c r="H18" s="7" t="s">
        <v>37</v>
      </c>
      <c r="I18" s="7" t="s">
        <v>44</v>
      </c>
      <c r="J18" s="7" t="s">
        <v>92</v>
      </c>
      <c r="K18" s="7" t="s">
        <v>68</v>
      </c>
      <c r="L18" s="7" t="s">
        <v>86</v>
      </c>
      <c r="M18" s="7" t="s">
        <v>93</v>
      </c>
      <c r="N18" s="7" t="s">
        <v>93</v>
      </c>
      <c r="O18" s="10" t="s">
        <v>40</v>
      </c>
      <c r="P18" s="10" t="s">
        <v>44</v>
      </c>
      <c r="Q18" s="10" t="s">
        <v>40</v>
      </c>
      <c r="R18" s="10" t="s">
        <v>38</v>
      </c>
      <c r="S18" s="10" t="s">
        <v>44</v>
      </c>
      <c r="T18" s="10" t="s">
        <v>40</v>
      </c>
      <c r="U18" s="10" t="s">
        <v>40</v>
      </c>
      <c r="V18" s="10" t="s">
        <v>40</v>
      </c>
      <c r="W18" s="10" t="s">
        <v>40</v>
      </c>
      <c r="X18" s="10" t="s">
        <v>40</v>
      </c>
    </row>
    <row r="19" spans="1:24" x14ac:dyDescent="0.35">
      <c r="A19" s="2">
        <v>17</v>
      </c>
      <c r="B19" s="2" t="s">
        <v>94</v>
      </c>
      <c r="E19" s="7" t="s">
        <v>60</v>
      </c>
      <c r="F19" s="7" t="s">
        <v>43</v>
      </c>
      <c r="G19" s="7" t="s">
        <v>92</v>
      </c>
      <c r="H19" s="7" t="s">
        <v>48</v>
      </c>
      <c r="I19" s="7" t="s">
        <v>48</v>
      </c>
      <c r="J19" s="7" t="s">
        <v>43</v>
      </c>
      <c r="K19" s="7" t="s">
        <v>48</v>
      </c>
      <c r="L19" s="7" t="s">
        <v>43</v>
      </c>
      <c r="M19" s="7" t="s">
        <v>95</v>
      </c>
      <c r="N19" s="7" t="s">
        <v>48</v>
      </c>
      <c r="O19" s="10" t="s">
        <v>40</v>
      </c>
      <c r="P19" s="10" t="s">
        <v>40</v>
      </c>
      <c r="Q19" s="10" t="s">
        <v>40</v>
      </c>
      <c r="R19" s="10" t="s">
        <v>44</v>
      </c>
      <c r="S19" s="10" t="s">
        <v>44</v>
      </c>
      <c r="T19" s="10" t="s">
        <v>40</v>
      </c>
      <c r="U19" s="10" t="s">
        <v>44</v>
      </c>
      <c r="V19" s="10" t="s">
        <v>40</v>
      </c>
      <c r="W19" s="10" t="s">
        <v>40</v>
      </c>
      <c r="X19" s="10" t="s">
        <v>44</v>
      </c>
    </row>
    <row r="20" spans="1:24" x14ac:dyDescent="0.35">
      <c r="A20" s="2">
        <v>18</v>
      </c>
      <c r="B20" s="2" t="s">
        <v>96</v>
      </c>
      <c r="E20" s="7" t="s">
        <v>37</v>
      </c>
      <c r="F20" s="7" t="s">
        <v>87</v>
      </c>
      <c r="G20" s="7" t="s">
        <v>41</v>
      </c>
      <c r="H20" s="7" t="s">
        <v>43</v>
      </c>
      <c r="I20" s="7" t="s">
        <v>48</v>
      </c>
      <c r="J20" s="7" t="s">
        <v>60</v>
      </c>
      <c r="K20" s="7" t="s">
        <v>92</v>
      </c>
      <c r="L20" s="7" t="s">
        <v>87</v>
      </c>
      <c r="M20" s="7" t="s">
        <v>37</v>
      </c>
      <c r="N20" s="7" t="s">
        <v>97</v>
      </c>
      <c r="O20" s="10" t="s">
        <v>38</v>
      </c>
      <c r="P20" s="10" t="s">
        <v>40</v>
      </c>
      <c r="Q20" s="10" t="s">
        <v>41</v>
      </c>
      <c r="R20" s="10" t="s">
        <v>40</v>
      </c>
      <c r="S20" s="10" t="s">
        <v>44</v>
      </c>
      <c r="T20" s="10" t="s">
        <v>40</v>
      </c>
      <c r="U20" s="10" t="s">
        <v>40</v>
      </c>
      <c r="V20" s="10" t="s">
        <v>40</v>
      </c>
      <c r="W20" s="10" t="s">
        <v>38</v>
      </c>
      <c r="X20" s="10" t="s">
        <v>40</v>
      </c>
    </row>
    <row r="21" spans="1:24" x14ac:dyDescent="0.35">
      <c r="A21" s="2">
        <v>19</v>
      </c>
      <c r="B21" s="2" t="s">
        <v>98</v>
      </c>
      <c r="E21" s="7" t="s">
        <v>37</v>
      </c>
      <c r="F21" s="7" t="s">
        <v>59</v>
      </c>
      <c r="G21" s="7" t="s">
        <v>44</v>
      </c>
      <c r="H21" s="7" t="s">
        <v>41</v>
      </c>
      <c r="I21" s="7" t="s">
        <v>59</v>
      </c>
      <c r="J21" s="7" t="s">
        <v>43</v>
      </c>
      <c r="K21" s="7" t="s">
        <v>99</v>
      </c>
      <c r="L21" s="7" t="s">
        <v>100</v>
      </c>
      <c r="M21" s="7" t="s">
        <v>59</v>
      </c>
      <c r="N21" s="7" t="s">
        <v>101</v>
      </c>
      <c r="O21" s="10" t="s">
        <v>38</v>
      </c>
      <c r="P21" s="10" t="s">
        <v>40</v>
      </c>
      <c r="Q21" s="10" t="s">
        <v>44</v>
      </c>
      <c r="R21" s="10" t="s">
        <v>41</v>
      </c>
      <c r="S21" s="10" t="s">
        <v>40</v>
      </c>
      <c r="T21" s="10" t="s">
        <v>40</v>
      </c>
      <c r="U21" s="10" t="s">
        <v>40</v>
      </c>
      <c r="V21" s="10" t="s">
        <v>40</v>
      </c>
      <c r="W21" s="10" t="s">
        <v>40</v>
      </c>
      <c r="X21" s="10" t="s">
        <v>44</v>
      </c>
    </row>
    <row r="22" spans="1:24" x14ac:dyDescent="0.35">
      <c r="A22" s="2">
        <v>20</v>
      </c>
      <c r="B22" s="2" t="s">
        <v>102</v>
      </c>
      <c r="E22" s="7" t="s">
        <v>66</v>
      </c>
      <c r="F22" s="7" t="s">
        <v>44</v>
      </c>
      <c r="G22" s="7" t="s">
        <v>44</v>
      </c>
      <c r="H22" s="7" t="s">
        <v>42</v>
      </c>
      <c r="I22" s="7" t="s">
        <v>44</v>
      </c>
      <c r="J22" s="7" t="s">
        <v>44</v>
      </c>
      <c r="K22" s="7" t="s">
        <v>42</v>
      </c>
      <c r="L22" s="7" t="s">
        <v>61</v>
      </c>
      <c r="M22" s="7" t="s">
        <v>48</v>
      </c>
      <c r="N22" s="7" t="s">
        <v>37</v>
      </c>
      <c r="O22" s="10" t="s">
        <v>40</v>
      </c>
      <c r="P22" s="10" t="s">
        <v>44</v>
      </c>
      <c r="Q22" s="10" t="s">
        <v>44</v>
      </c>
      <c r="R22" s="10" t="s">
        <v>40</v>
      </c>
      <c r="S22" s="10" t="s">
        <v>44</v>
      </c>
      <c r="T22" s="10" t="s">
        <v>44</v>
      </c>
      <c r="U22" s="10" t="s">
        <v>40</v>
      </c>
      <c r="V22" s="10" t="s">
        <v>40</v>
      </c>
      <c r="W22" s="10" t="s">
        <v>44</v>
      </c>
      <c r="X22" s="10" t="s">
        <v>38</v>
      </c>
    </row>
    <row r="23" spans="1:24" x14ac:dyDescent="0.35">
      <c r="A23" s="2">
        <v>21</v>
      </c>
      <c r="B23" s="2" t="s">
        <v>103</v>
      </c>
      <c r="E23" s="7" t="s">
        <v>87</v>
      </c>
      <c r="F23" s="7" t="s">
        <v>59</v>
      </c>
      <c r="G23" s="7" t="s">
        <v>90</v>
      </c>
      <c r="H23" s="7" t="s">
        <v>60</v>
      </c>
      <c r="I23" s="7" t="s">
        <v>44</v>
      </c>
      <c r="J23" s="7" t="s">
        <v>58</v>
      </c>
      <c r="K23" s="7" t="s">
        <v>69</v>
      </c>
      <c r="L23" s="7" t="s">
        <v>44</v>
      </c>
      <c r="M23" s="7" t="s">
        <v>44</v>
      </c>
      <c r="N23" s="7" t="s">
        <v>58</v>
      </c>
      <c r="O23" s="10" t="s">
        <v>40</v>
      </c>
      <c r="P23" s="10" t="s">
        <v>40</v>
      </c>
      <c r="Q23" s="10" t="s">
        <v>40</v>
      </c>
      <c r="R23" s="10" t="s">
        <v>40</v>
      </c>
      <c r="S23" s="10" t="s">
        <v>44</v>
      </c>
      <c r="T23" s="10" t="s">
        <v>40</v>
      </c>
      <c r="U23" s="10" t="s">
        <v>40</v>
      </c>
      <c r="V23" s="10" t="s">
        <v>44</v>
      </c>
      <c r="W23" s="10" t="s">
        <v>44</v>
      </c>
      <c r="X23" s="10" t="s">
        <v>40</v>
      </c>
    </row>
    <row r="24" spans="1:24" x14ac:dyDescent="0.35">
      <c r="A24" s="2">
        <v>22</v>
      </c>
      <c r="B24" s="2" t="s">
        <v>104</v>
      </c>
      <c r="E24" s="7" t="s">
        <v>58</v>
      </c>
      <c r="F24" s="7" t="s">
        <v>37</v>
      </c>
      <c r="G24" s="7" t="s">
        <v>55</v>
      </c>
      <c r="H24" s="7" t="s">
        <v>37</v>
      </c>
      <c r="I24" s="7" t="s">
        <v>105</v>
      </c>
      <c r="J24" s="7" t="s">
        <v>55</v>
      </c>
      <c r="K24" s="7" t="s">
        <v>80</v>
      </c>
      <c r="L24" s="7" t="s">
        <v>37</v>
      </c>
      <c r="M24" s="7" t="s">
        <v>92</v>
      </c>
      <c r="N24" s="7" t="s">
        <v>44</v>
      </c>
      <c r="O24" s="10" t="s">
        <v>40</v>
      </c>
      <c r="P24" s="10" t="s">
        <v>38</v>
      </c>
      <c r="Q24" s="10" t="s">
        <v>40</v>
      </c>
      <c r="R24" s="10" t="s">
        <v>38</v>
      </c>
      <c r="S24" s="10" t="s">
        <v>106</v>
      </c>
      <c r="T24" s="10" t="s">
        <v>40</v>
      </c>
      <c r="U24" s="10" t="s">
        <v>40</v>
      </c>
      <c r="V24" s="10" t="s">
        <v>38</v>
      </c>
      <c r="W24" s="10" t="s">
        <v>40</v>
      </c>
      <c r="X24" s="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92B2-7820-4D9E-BF38-146E562B52C6}">
  <dimension ref="A1:EL24"/>
  <sheetViews>
    <sheetView workbookViewId="0"/>
  </sheetViews>
  <sheetFormatPr defaultRowHeight="14.5" x14ac:dyDescent="0.35"/>
  <cols>
    <col min="1" max="1" width="2.81640625" bestFit="1" customWidth="1"/>
    <col min="2" max="2" width="13.08984375" bestFit="1" customWidth="1"/>
    <col min="3" max="3" width="1.90625" bestFit="1" customWidth="1"/>
    <col min="4" max="4" width="1.81640625" bestFit="1" customWidth="1"/>
    <col min="5" max="5" width="3.36328125" style="17" bestFit="1" customWidth="1"/>
    <col min="6" max="8" width="4.36328125" bestFit="1" customWidth="1"/>
    <col min="9" max="10" width="3.36328125" bestFit="1" customWidth="1"/>
    <col min="11" max="12" width="4.36328125" bestFit="1" customWidth="1"/>
    <col min="13" max="13" width="3.36328125" bestFit="1" customWidth="1"/>
    <col min="14" max="14" width="3.36328125" style="17" bestFit="1" customWidth="1"/>
    <col min="15" max="15" width="3.36328125" style="10" bestFit="1" customWidth="1"/>
    <col min="16" max="16" width="3.36328125" bestFit="1" customWidth="1"/>
    <col min="17" max="18" width="4.36328125" bestFit="1" customWidth="1"/>
    <col min="19" max="20" width="3.36328125" bestFit="1" customWidth="1"/>
    <col min="21" max="22" width="4.36328125" bestFit="1" customWidth="1"/>
    <col min="23" max="25" width="3.36328125" bestFit="1" customWidth="1"/>
    <col min="26" max="27" width="4.36328125" bestFit="1" customWidth="1"/>
    <col min="28" max="30" width="3.36328125" bestFit="1" customWidth="1"/>
    <col min="31" max="32" width="4.36328125" bestFit="1" customWidth="1"/>
    <col min="33" max="35" width="3.36328125" bestFit="1" customWidth="1"/>
    <col min="36" max="36" width="4.36328125" bestFit="1" customWidth="1"/>
    <col min="37" max="37" width="3.36328125" bestFit="1" customWidth="1"/>
    <col min="38" max="39" width="4.36328125" bestFit="1" customWidth="1"/>
    <col min="40" max="41" width="3.36328125" bestFit="1" customWidth="1"/>
    <col min="42" max="42" width="4.36328125" bestFit="1" customWidth="1"/>
    <col min="43" max="43" width="3.36328125" bestFit="1" customWidth="1"/>
    <col min="44" max="44" width="4.36328125" bestFit="1" customWidth="1"/>
    <col min="45" max="45" width="3.36328125" bestFit="1" customWidth="1"/>
    <col min="46" max="46" width="4.36328125" bestFit="1" customWidth="1"/>
    <col min="47" max="48" width="3.36328125" bestFit="1" customWidth="1"/>
    <col min="49" max="49" width="4.36328125" bestFit="1" customWidth="1"/>
    <col min="50" max="51" width="3.36328125" bestFit="1" customWidth="1"/>
    <col min="52" max="56" width="4.36328125" bestFit="1" customWidth="1"/>
    <col min="57" max="57" width="3.36328125" bestFit="1" customWidth="1"/>
    <col min="58" max="58" width="4.36328125" bestFit="1" customWidth="1"/>
    <col min="59" max="60" width="3.36328125" bestFit="1" customWidth="1"/>
    <col min="61" max="73" width="4.36328125" bestFit="1" customWidth="1"/>
    <col min="74" max="74" width="3.36328125" bestFit="1" customWidth="1"/>
    <col min="75" max="75" width="4.36328125" bestFit="1" customWidth="1"/>
    <col min="76" max="87" width="3.36328125" bestFit="1" customWidth="1"/>
    <col min="88" max="88" width="3.36328125" style="10" bestFit="1" customWidth="1"/>
    <col min="89" max="92" width="4.36328125" bestFit="1" customWidth="1"/>
    <col min="93" max="93" width="3.36328125" bestFit="1" customWidth="1"/>
    <col min="94" max="94" width="3.36328125" style="10" bestFit="1" customWidth="1"/>
    <col min="95" max="95" width="3.36328125" bestFit="1" customWidth="1"/>
    <col min="96" max="96" width="4.36328125" bestFit="1" customWidth="1"/>
    <col min="97" max="99" width="3.36328125" bestFit="1" customWidth="1"/>
    <col min="100" max="100" width="3.36328125" style="10" bestFit="1" customWidth="1"/>
    <col min="101" max="104" width="3.36328125" bestFit="1" customWidth="1"/>
    <col min="105" max="105" width="3.36328125" style="10" bestFit="1" customWidth="1"/>
    <col min="106" max="106" width="3.36328125" bestFit="1" customWidth="1"/>
    <col min="107" max="107" width="3.36328125" style="10" bestFit="1" customWidth="1"/>
    <col min="108" max="112" width="3.36328125" bestFit="1" customWidth="1"/>
    <col min="113" max="113" width="4.36328125" bestFit="1" customWidth="1"/>
    <col min="114" max="114" width="3.36328125" bestFit="1" customWidth="1"/>
    <col min="115" max="116" width="4.36328125" bestFit="1" customWidth="1"/>
    <col min="117" max="117" width="3.36328125" bestFit="1" customWidth="1"/>
    <col min="118" max="118" width="3.36328125" style="10" bestFit="1" customWidth="1"/>
    <col min="119" max="119" width="4.36328125" bestFit="1" customWidth="1"/>
    <col min="120" max="120" width="3.36328125" style="17" bestFit="1" customWidth="1"/>
    <col min="121" max="142" width="3.36328125" bestFit="1" customWidth="1"/>
  </cols>
  <sheetData>
    <row r="1" spans="1:142" ht="41.5" x14ac:dyDescent="0.35">
      <c r="F1" s="15" t="s">
        <v>40</v>
      </c>
      <c r="G1" s="15" t="s">
        <v>44</v>
      </c>
      <c r="H1" s="15" t="s">
        <v>106</v>
      </c>
      <c r="I1" s="15" t="s">
        <v>112</v>
      </c>
      <c r="J1" s="15" t="s">
        <v>114</v>
      </c>
      <c r="K1" s="15" t="s">
        <v>38</v>
      </c>
      <c r="L1" s="15" t="s">
        <v>41</v>
      </c>
      <c r="P1" s="15" t="s">
        <v>120</v>
      </c>
      <c r="Q1" s="15" t="s">
        <v>45</v>
      </c>
      <c r="R1" s="15" t="s">
        <v>95</v>
      </c>
      <c r="S1" s="15" t="s">
        <v>124</v>
      </c>
      <c r="T1" s="15" t="s">
        <v>126</v>
      </c>
      <c r="U1" s="15" t="s">
        <v>43</v>
      </c>
      <c r="V1" s="15" t="s">
        <v>93</v>
      </c>
      <c r="W1" s="15" t="s">
        <v>130</v>
      </c>
      <c r="X1" s="15" t="s">
        <v>132</v>
      </c>
      <c r="Y1" s="15" t="s">
        <v>134</v>
      </c>
      <c r="Z1" s="15" t="s">
        <v>71</v>
      </c>
      <c r="AA1" s="15" t="s">
        <v>68</v>
      </c>
      <c r="AB1" s="15" t="s">
        <v>138</v>
      </c>
      <c r="AC1" s="15" t="s">
        <v>140</v>
      </c>
      <c r="AD1" s="15" t="s">
        <v>142</v>
      </c>
      <c r="AE1" s="15" t="s">
        <v>67</v>
      </c>
      <c r="AF1" s="15" t="s">
        <v>84</v>
      </c>
      <c r="AG1" s="15" t="s">
        <v>146</v>
      </c>
      <c r="AH1" s="15" t="s">
        <v>148</v>
      </c>
      <c r="AI1" s="15" t="s">
        <v>150</v>
      </c>
      <c r="AJ1" s="15" t="s">
        <v>92</v>
      </c>
      <c r="AK1" s="15" t="s">
        <v>153</v>
      </c>
      <c r="AL1" s="15" t="s">
        <v>78</v>
      </c>
      <c r="AM1" s="15" t="s">
        <v>39</v>
      </c>
      <c r="AN1" s="15" t="s">
        <v>157</v>
      </c>
      <c r="AO1" s="15" t="s">
        <v>159</v>
      </c>
      <c r="AP1" s="15" t="s">
        <v>58</v>
      </c>
      <c r="AQ1" s="15" t="s">
        <v>162</v>
      </c>
      <c r="AR1" s="15" t="s">
        <v>62</v>
      </c>
      <c r="AS1" s="15" t="s">
        <v>165</v>
      </c>
      <c r="AT1" s="15" t="s">
        <v>52</v>
      </c>
      <c r="AU1" s="15" t="s">
        <v>168</v>
      </c>
      <c r="AV1" s="15" t="s">
        <v>170</v>
      </c>
      <c r="AW1" s="15" t="s">
        <v>66</v>
      </c>
      <c r="AX1" s="15" t="s">
        <v>173</v>
      </c>
      <c r="AY1" s="15" t="s">
        <v>175</v>
      </c>
      <c r="AZ1" s="15" t="s">
        <v>69</v>
      </c>
      <c r="BA1" s="15" t="s">
        <v>61</v>
      </c>
      <c r="BB1" s="15" t="s">
        <v>55</v>
      </c>
      <c r="BC1" s="15" t="s">
        <v>60</v>
      </c>
      <c r="BD1" s="15" t="s">
        <v>64</v>
      </c>
      <c r="BE1" s="15" t="s">
        <v>182</v>
      </c>
      <c r="BF1" s="15" t="s">
        <v>90</v>
      </c>
      <c r="BG1" s="15" t="s">
        <v>185</v>
      </c>
      <c r="BH1" s="15" t="s">
        <v>187</v>
      </c>
      <c r="BI1" s="15" t="s">
        <v>97</v>
      </c>
      <c r="BJ1" s="15" t="s">
        <v>80</v>
      </c>
      <c r="BK1" s="15" t="s">
        <v>42</v>
      </c>
      <c r="BL1" s="15" t="s">
        <v>100</v>
      </c>
      <c r="BM1" s="15" t="s">
        <v>56</v>
      </c>
      <c r="BN1" s="15" t="s">
        <v>99</v>
      </c>
      <c r="BO1" s="15" t="s">
        <v>88</v>
      </c>
      <c r="BP1" s="15" t="s">
        <v>87</v>
      </c>
      <c r="BQ1" s="15" t="s">
        <v>47</v>
      </c>
      <c r="BR1" s="15" t="s">
        <v>59</v>
      </c>
      <c r="BS1" s="15" t="s">
        <v>73</v>
      </c>
      <c r="BT1" s="15" t="s">
        <v>53</v>
      </c>
      <c r="BU1" s="15" t="s">
        <v>70</v>
      </c>
      <c r="BV1" s="15" t="s">
        <v>202</v>
      </c>
      <c r="BW1" s="15" t="s">
        <v>86</v>
      </c>
      <c r="BX1" s="15" t="s">
        <v>205</v>
      </c>
      <c r="BY1" s="15" t="s">
        <v>207</v>
      </c>
      <c r="BZ1" s="15" t="s">
        <v>209</v>
      </c>
      <c r="CA1" s="15" t="s">
        <v>211</v>
      </c>
      <c r="CB1" s="15" t="s">
        <v>213</v>
      </c>
      <c r="CC1" s="15" t="s">
        <v>215</v>
      </c>
      <c r="CD1" s="15" t="s">
        <v>217</v>
      </c>
      <c r="CE1" s="15" t="s">
        <v>219</v>
      </c>
      <c r="CF1" s="15" t="s">
        <v>221</v>
      </c>
      <c r="CG1" s="15" t="s">
        <v>223</v>
      </c>
      <c r="CH1" s="15" t="s">
        <v>225</v>
      </c>
      <c r="CI1" s="15" t="s">
        <v>227</v>
      </c>
      <c r="CK1" s="15" t="s">
        <v>44</v>
      </c>
      <c r="CL1" s="15" t="s">
        <v>48</v>
      </c>
      <c r="CM1" s="15" t="s">
        <v>54</v>
      </c>
      <c r="CN1" s="15" t="s">
        <v>101</v>
      </c>
      <c r="CO1" s="15" t="s">
        <v>74</v>
      </c>
      <c r="CQ1" s="15" t="s">
        <v>234</v>
      </c>
      <c r="CR1" s="15" t="s">
        <v>105</v>
      </c>
      <c r="CS1" s="15" t="s">
        <v>237</v>
      </c>
      <c r="CT1" s="15" t="s">
        <v>239</v>
      </c>
      <c r="CU1" s="15" t="s">
        <v>241</v>
      </c>
      <c r="CW1" s="15" t="s">
        <v>243</v>
      </c>
      <c r="CX1" s="15" t="s">
        <v>245</v>
      </c>
      <c r="CY1" s="15" t="s">
        <v>112</v>
      </c>
      <c r="CZ1" s="15" t="s">
        <v>248</v>
      </c>
      <c r="DB1" s="15" t="s">
        <v>114</v>
      </c>
      <c r="DD1" s="15" t="s">
        <v>251</v>
      </c>
      <c r="DE1" s="15" t="s">
        <v>253</v>
      </c>
      <c r="DF1" s="15" t="s">
        <v>255</v>
      </c>
      <c r="DG1" s="15" t="s">
        <v>50</v>
      </c>
      <c r="DH1" s="15" t="s">
        <v>258</v>
      </c>
      <c r="DI1" s="15" t="s">
        <v>49</v>
      </c>
      <c r="DJ1" s="15" t="s">
        <v>261</v>
      </c>
      <c r="DK1" s="15" t="s">
        <v>77</v>
      </c>
      <c r="DL1" s="15" t="s">
        <v>37</v>
      </c>
      <c r="DM1" s="15" t="s">
        <v>265</v>
      </c>
      <c r="DO1" s="15" t="s">
        <v>41</v>
      </c>
      <c r="DQ1" s="15" t="s">
        <v>253</v>
      </c>
      <c r="DR1" s="15" t="s">
        <v>251</v>
      </c>
      <c r="DS1" s="15" t="s">
        <v>255</v>
      </c>
      <c r="DT1" s="15" t="s">
        <v>50</v>
      </c>
      <c r="DU1" s="15" t="s">
        <v>258</v>
      </c>
      <c r="DV1" s="15" t="s">
        <v>74</v>
      </c>
      <c r="DW1" s="15" t="s">
        <v>134</v>
      </c>
      <c r="DX1" s="15" t="s">
        <v>243</v>
      </c>
      <c r="DY1" s="15" t="s">
        <v>245</v>
      </c>
      <c r="DZ1" s="15" t="s">
        <v>248</v>
      </c>
      <c r="EA1" s="15" t="s">
        <v>205</v>
      </c>
      <c r="EB1" s="15" t="s">
        <v>207</v>
      </c>
      <c r="EC1" s="15" t="s">
        <v>209</v>
      </c>
      <c r="ED1" s="15" t="s">
        <v>217</v>
      </c>
      <c r="EE1" s="15" t="s">
        <v>211</v>
      </c>
      <c r="EF1" s="15" t="s">
        <v>213</v>
      </c>
      <c r="EG1" s="15" t="s">
        <v>215</v>
      </c>
      <c r="EH1" s="15" t="s">
        <v>219</v>
      </c>
      <c r="EI1" s="15" t="s">
        <v>221</v>
      </c>
      <c r="EJ1" s="15" t="s">
        <v>223</v>
      </c>
      <c r="EK1" s="15" t="s">
        <v>225</v>
      </c>
      <c r="EL1" s="15" t="s">
        <v>227</v>
      </c>
    </row>
    <row r="2" spans="1:142" ht="217" x14ac:dyDescent="0.35">
      <c r="B2" s="1" t="s">
        <v>0</v>
      </c>
      <c r="C2" s="1" t="s">
        <v>1</v>
      </c>
      <c r="D2" s="1" t="s">
        <v>2</v>
      </c>
      <c r="E2" s="16" t="s">
        <v>107</v>
      </c>
      <c r="F2" s="18" t="s">
        <v>108</v>
      </c>
      <c r="G2" s="19" t="s">
        <v>109</v>
      </c>
      <c r="H2" s="20" t="s">
        <v>110</v>
      </c>
      <c r="I2" s="21" t="s">
        <v>111</v>
      </c>
      <c r="J2" s="22" t="s">
        <v>113</v>
      </c>
      <c r="K2" s="23" t="s">
        <v>115</v>
      </c>
      <c r="L2" s="24" t="s">
        <v>116</v>
      </c>
      <c r="M2" s="15" t="s">
        <v>117</v>
      </c>
      <c r="N2" s="16" t="s">
        <v>118</v>
      </c>
      <c r="O2" s="25" t="s">
        <v>108</v>
      </c>
      <c r="P2" s="15" t="s">
        <v>119</v>
      </c>
      <c r="Q2" s="15" t="s">
        <v>121</v>
      </c>
      <c r="R2" s="15" t="s">
        <v>122</v>
      </c>
      <c r="S2" s="15" t="s">
        <v>123</v>
      </c>
      <c r="T2" s="15" t="s">
        <v>125</v>
      </c>
      <c r="U2" s="15" t="s">
        <v>127</v>
      </c>
      <c r="V2" s="15" t="s">
        <v>128</v>
      </c>
      <c r="W2" s="15" t="s">
        <v>129</v>
      </c>
      <c r="X2" s="15" t="s">
        <v>131</v>
      </c>
      <c r="Y2" s="15" t="s">
        <v>133</v>
      </c>
      <c r="Z2" s="15" t="s">
        <v>135</v>
      </c>
      <c r="AA2" s="15" t="s">
        <v>136</v>
      </c>
      <c r="AB2" s="15" t="s">
        <v>137</v>
      </c>
      <c r="AC2" s="15" t="s">
        <v>139</v>
      </c>
      <c r="AD2" s="15" t="s">
        <v>141</v>
      </c>
      <c r="AE2" s="15" t="s">
        <v>143</v>
      </c>
      <c r="AF2" s="15" t="s">
        <v>144</v>
      </c>
      <c r="AG2" s="15" t="s">
        <v>145</v>
      </c>
      <c r="AH2" s="15" t="s">
        <v>147</v>
      </c>
      <c r="AI2" s="15" t="s">
        <v>149</v>
      </c>
      <c r="AJ2" s="15" t="s">
        <v>151</v>
      </c>
      <c r="AK2" s="15" t="s">
        <v>152</v>
      </c>
      <c r="AL2" s="15" t="s">
        <v>154</v>
      </c>
      <c r="AM2" s="15" t="s">
        <v>155</v>
      </c>
      <c r="AN2" s="15" t="s">
        <v>156</v>
      </c>
      <c r="AO2" s="15" t="s">
        <v>158</v>
      </c>
      <c r="AP2" s="15" t="s">
        <v>160</v>
      </c>
      <c r="AQ2" s="15" t="s">
        <v>161</v>
      </c>
      <c r="AR2" s="15" t="s">
        <v>163</v>
      </c>
      <c r="AS2" s="15" t="s">
        <v>164</v>
      </c>
      <c r="AT2" s="15" t="s">
        <v>166</v>
      </c>
      <c r="AU2" s="15" t="s">
        <v>167</v>
      </c>
      <c r="AV2" s="15" t="s">
        <v>169</v>
      </c>
      <c r="AW2" s="15" t="s">
        <v>171</v>
      </c>
      <c r="AX2" s="15" t="s">
        <v>172</v>
      </c>
      <c r="AY2" s="15" t="s">
        <v>174</v>
      </c>
      <c r="AZ2" s="15" t="s">
        <v>176</v>
      </c>
      <c r="BA2" s="15" t="s">
        <v>177</v>
      </c>
      <c r="BB2" s="15" t="s">
        <v>178</v>
      </c>
      <c r="BC2" s="15" t="s">
        <v>179</v>
      </c>
      <c r="BD2" s="15" t="s">
        <v>180</v>
      </c>
      <c r="BE2" s="15" t="s">
        <v>181</v>
      </c>
      <c r="BF2" s="15" t="s">
        <v>183</v>
      </c>
      <c r="BG2" s="15" t="s">
        <v>184</v>
      </c>
      <c r="BH2" s="15" t="s">
        <v>186</v>
      </c>
      <c r="BI2" s="15" t="s">
        <v>188</v>
      </c>
      <c r="BJ2" s="15" t="s">
        <v>189</v>
      </c>
      <c r="BK2" s="15" t="s">
        <v>190</v>
      </c>
      <c r="BL2" s="15" t="s">
        <v>191</v>
      </c>
      <c r="BM2" s="15" t="s">
        <v>192</v>
      </c>
      <c r="BN2" s="15" t="s">
        <v>193</v>
      </c>
      <c r="BO2" s="15" t="s">
        <v>194</v>
      </c>
      <c r="BP2" s="15" t="s">
        <v>195</v>
      </c>
      <c r="BQ2" s="15" t="s">
        <v>196</v>
      </c>
      <c r="BR2" s="15" t="s">
        <v>197</v>
      </c>
      <c r="BS2" s="15" t="s">
        <v>198</v>
      </c>
      <c r="BT2" s="15" t="s">
        <v>199</v>
      </c>
      <c r="BU2" s="15" t="s">
        <v>200</v>
      </c>
      <c r="BV2" s="15" t="s">
        <v>201</v>
      </c>
      <c r="BW2" s="15" t="s">
        <v>203</v>
      </c>
      <c r="BX2" s="15" t="s">
        <v>204</v>
      </c>
      <c r="BY2" s="15" t="s">
        <v>206</v>
      </c>
      <c r="BZ2" s="15" t="s">
        <v>208</v>
      </c>
      <c r="CA2" s="15" t="s">
        <v>210</v>
      </c>
      <c r="CB2" s="15" t="s">
        <v>212</v>
      </c>
      <c r="CC2" s="15" t="s">
        <v>214</v>
      </c>
      <c r="CD2" s="15" t="s">
        <v>216</v>
      </c>
      <c r="CE2" s="15" t="s">
        <v>218</v>
      </c>
      <c r="CF2" s="15" t="s">
        <v>220</v>
      </c>
      <c r="CG2" s="15" t="s">
        <v>222</v>
      </c>
      <c r="CH2" s="15" t="s">
        <v>224</v>
      </c>
      <c r="CI2" s="15" t="s">
        <v>226</v>
      </c>
      <c r="CJ2" s="25" t="s">
        <v>109</v>
      </c>
      <c r="CK2" s="15" t="s">
        <v>228</v>
      </c>
      <c r="CL2" s="15" t="s">
        <v>229</v>
      </c>
      <c r="CM2" s="15" t="s">
        <v>230</v>
      </c>
      <c r="CN2" s="15" t="s">
        <v>231</v>
      </c>
      <c r="CO2" s="15" t="s">
        <v>232</v>
      </c>
      <c r="CP2" s="25" t="s">
        <v>110</v>
      </c>
      <c r="CQ2" s="15" t="s">
        <v>233</v>
      </c>
      <c r="CR2" s="15" t="s">
        <v>235</v>
      </c>
      <c r="CS2" s="15" t="s">
        <v>236</v>
      </c>
      <c r="CT2" s="15" t="s">
        <v>238</v>
      </c>
      <c r="CU2" s="15" t="s">
        <v>240</v>
      </c>
      <c r="CV2" s="25" t="s">
        <v>111</v>
      </c>
      <c r="CW2" s="15" t="s">
        <v>242</v>
      </c>
      <c r="CX2" s="15" t="s">
        <v>244</v>
      </c>
      <c r="CY2" s="15" t="s">
        <v>246</v>
      </c>
      <c r="CZ2" s="15" t="s">
        <v>247</v>
      </c>
      <c r="DA2" s="25" t="s">
        <v>113</v>
      </c>
      <c r="DB2" s="15" t="s">
        <v>249</v>
      </c>
      <c r="DC2" s="25" t="s">
        <v>115</v>
      </c>
      <c r="DD2" s="15" t="s">
        <v>250</v>
      </c>
      <c r="DE2" s="15" t="s">
        <v>252</v>
      </c>
      <c r="DF2" s="15" t="s">
        <v>254</v>
      </c>
      <c r="DG2" s="15" t="s">
        <v>256</v>
      </c>
      <c r="DH2" s="15" t="s">
        <v>257</v>
      </c>
      <c r="DI2" s="15" t="s">
        <v>259</v>
      </c>
      <c r="DJ2" s="15" t="s">
        <v>260</v>
      </c>
      <c r="DK2" s="15" t="s">
        <v>262</v>
      </c>
      <c r="DL2" s="15" t="s">
        <v>263</v>
      </c>
      <c r="DM2" s="15" t="s">
        <v>264</v>
      </c>
      <c r="DN2" s="25" t="s">
        <v>116</v>
      </c>
      <c r="DO2" s="15" t="s">
        <v>266</v>
      </c>
      <c r="DP2" s="16" t="s">
        <v>267</v>
      </c>
      <c r="DQ2" s="15" t="s">
        <v>268</v>
      </c>
      <c r="DR2" s="15" t="s">
        <v>269</v>
      </c>
      <c r="DS2" s="15" t="s">
        <v>270</v>
      </c>
      <c r="DT2" s="15" t="s">
        <v>271</v>
      </c>
      <c r="DU2" s="15" t="s">
        <v>272</v>
      </c>
      <c r="DV2" s="15" t="s">
        <v>273</v>
      </c>
      <c r="DW2" s="15" t="s">
        <v>274</v>
      </c>
      <c r="DX2" s="15" t="s">
        <v>275</v>
      </c>
      <c r="DY2" s="15" t="s">
        <v>276</v>
      </c>
      <c r="DZ2" s="15" t="s">
        <v>277</v>
      </c>
      <c r="EA2" s="15" t="s">
        <v>278</v>
      </c>
      <c r="EB2" s="15" t="s">
        <v>279</v>
      </c>
      <c r="EC2" s="15" t="s">
        <v>280</v>
      </c>
      <c r="ED2" s="15" t="s">
        <v>281</v>
      </c>
      <c r="EE2" s="15" t="s">
        <v>282</v>
      </c>
      <c r="EF2" s="15" t="s">
        <v>283</v>
      </c>
      <c r="EG2" s="15" t="s">
        <v>284</v>
      </c>
      <c r="EH2" s="15" t="s">
        <v>285</v>
      </c>
      <c r="EI2" s="15" t="s">
        <v>286</v>
      </c>
      <c r="EJ2" s="15" t="s">
        <v>287</v>
      </c>
      <c r="EK2" s="15" t="s">
        <v>288</v>
      </c>
      <c r="EL2" s="15" t="s">
        <v>289</v>
      </c>
    </row>
    <row r="3" spans="1:142" x14ac:dyDescent="0.35">
      <c r="A3">
        <v>1</v>
      </c>
      <c r="B3" t="s">
        <v>36</v>
      </c>
      <c r="F3" s="26">
        <f>IF(M3=0,0,COUNTIF('4_imgsummary'!O3:X3,"HC")*100/M3)</f>
        <v>60</v>
      </c>
      <c r="G3" s="26">
        <f>IF(M3=0,0,COUNTIF('4_imgsummary'!O3:X3,"AA")*100/M3)</f>
        <v>10</v>
      </c>
      <c r="H3">
        <f>IF(M3=0,0,COUNTIF('4_imgsummary'!O3:X3,"AB")*100/M3)</f>
        <v>0</v>
      </c>
      <c r="I3">
        <f>IF(M3=0,0,COUNTIF('4_imgsummary'!O3:X3,"MA")*100/M3)</f>
        <v>0</v>
      </c>
      <c r="J3">
        <f>IF(M3=0,0,COUNTIF('4_imgsummary'!O3:X3,"HA")*100/M3)</f>
        <v>0</v>
      </c>
      <c r="K3" s="26">
        <f>IF(M3=0,0,COUNTIF('4_imgsummary'!O3:X3,"OB")*100/M3)</f>
        <v>10</v>
      </c>
      <c r="L3" s="26">
        <f>IF(M3=0,0,COUNTIF('4_imgsummary'!O3:X3,"TWB")*100/M3)</f>
        <v>20</v>
      </c>
      <c r="M3">
        <f>10-COUNTIF('4_imgsummary'!O3:X3,"TWS")</f>
        <v>10</v>
      </c>
      <c r="P3">
        <f>IF(M3=0,0,COUNTIF('4_imgsummary'!E3:N3,"ACAN")*100/M3)</f>
        <v>0</v>
      </c>
      <c r="Q3" s="26">
        <f>IF(M3=0,0,COUNTIF('4_imgsummary'!E3:N3,"ACB")*100/M3)</f>
        <v>10</v>
      </c>
      <c r="R3">
        <f>IF(M3=0,0,COUNTIF('4_imgsummary'!E3:N3,"ACC")*100/M3)</f>
        <v>0</v>
      </c>
      <c r="S3">
        <f>IF(M3=0,0,COUNTIF('4_imgsummary'!E3:N3,"ACD")*100/M3)</f>
        <v>0</v>
      </c>
      <c r="T3">
        <f>IF(M3=0,0,COUNTIF('4_imgsummary'!E3:N3,"ACH")*100/M3)</f>
        <v>0</v>
      </c>
      <c r="U3" s="26">
        <f>IF(M3=0,0,COUNTIF('4_imgsummary'!E3:N3,"ACT")*100/M3)</f>
        <v>10</v>
      </c>
      <c r="V3">
        <f>IF(M3=0,0,COUNTIF('4_imgsummary'!E3:N3,"ACR")*100/M3)</f>
        <v>0</v>
      </c>
      <c r="W3">
        <f>IF(M3=0,0,COUNTIF('4_imgsummary'!E3:N3,"AST")*100/M3)</f>
        <v>0</v>
      </c>
      <c r="X3">
        <f>IF(M3=0,0,COUNTIF('4_imgsummary'!E3:N3,"AF")*100/M3)</f>
        <v>0</v>
      </c>
      <c r="Y3">
        <f>IF(M3=0,0,COUNTIF('4_imgsummary'!E3:N3,"BLEC")*100/M3)</f>
        <v>0</v>
      </c>
      <c r="Z3">
        <f>IF(M3=0,0,COUNTIF('4_imgsummary'!E3:N3,"CAU")*100/M3)</f>
        <v>0</v>
      </c>
      <c r="AA3">
        <f>IF(M3=0,0,COUNTIF('4_imgsummary'!E3:N3,"COE")*100/M3)</f>
        <v>0</v>
      </c>
      <c r="AB3">
        <f>IF(M3=0,0,COUNTIF('4_imgsummary'!E3:N3,"COS")*100/M3)</f>
        <v>0</v>
      </c>
      <c r="AC3">
        <f>IF(M3=0,0,COUNTIF('4_imgsummary'!E3:N3,"CYP")*100/M3)</f>
        <v>0</v>
      </c>
      <c r="AD3">
        <f>IF(M3=0,0,COUNTIF('4_imgsummary'!E3:N3,"DIP")*100/M3)</f>
        <v>0</v>
      </c>
      <c r="AE3">
        <f>IF(M3=0,0,COUNTIF('4_imgsummary'!E3:N3,"ECHY")*100/M3)</f>
        <v>0</v>
      </c>
      <c r="AF3">
        <f>IF(M3=0,0,COUNTIF('4_imgsummary'!E3:N3,"ECHI")*100/M3)</f>
        <v>0</v>
      </c>
      <c r="AG3">
        <f>IF(M3=0,0,COUNTIF('4_imgsummary'!E3:N3,"EUP")*100/M3)</f>
        <v>0</v>
      </c>
      <c r="AH3">
        <f>IF(M3=0,0,COUNTIF('4_imgsummary'!E3:N3,"FAV")*100/M3)</f>
        <v>0</v>
      </c>
      <c r="AI3">
        <f>IF(M3=0,0,COUNTIF('4_imgsummary'!E3:N3,"FVI")*100/M3)</f>
        <v>0</v>
      </c>
      <c r="AJ3">
        <f>IF(M3=0,0,COUNTIF('4_imgsummary'!E3:N3,"CMR")*100/M3)</f>
        <v>0</v>
      </c>
      <c r="AK3">
        <f>IF(M3=0,0,COUNTIF('4_imgsummary'!E3:N3,"GAL")*100/M3)</f>
        <v>0</v>
      </c>
      <c r="AL3">
        <f>IF(M3=0,0,COUNTIF('4_imgsummary'!E3:N3,"GONIA")*100/M3)</f>
        <v>0</v>
      </c>
      <c r="AM3" s="26">
        <f>IF(M3=0,0,COUNTIF('4_imgsummary'!E3:N3,"GONIO")*100/M3)</f>
        <v>20</v>
      </c>
      <c r="AN3">
        <f>IF(M3=0,0,COUNTIF('4_imgsummary'!E3:N3,"HEL")*100/M3)</f>
        <v>0</v>
      </c>
      <c r="AO3">
        <f>IF(M3=0,0,COUNTIF('4_imgsummary'!E3:N3,"HYD")*100/M3)</f>
        <v>0</v>
      </c>
      <c r="AP3">
        <f>IF(M3=0,0,COUNTIF('4_imgsummary'!E3:N3,"ISO")*100/M3)</f>
        <v>0</v>
      </c>
      <c r="AQ3">
        <f>IF(M3=0,0,COUNTIF('4_imgsummary'!E3:N3,"LEPA")*100/M3)</f>
        <v>0</v>
      </c>
      <c r="AR3">
        <f>IF(M3=0,0,COUNTIF('4_imgsummary'!E3:N3,"LEPS")*100/M3)</f>
        <v>0</v>
      </c>
      <c r="AS3">
        <f>IF(M3=0,0,COUNTIF('4_imgsummary'!E3:N3,"LOB")*100/M3)</f>
        <v>0</v>
      </c>
      <c r="AT3">
        <f>IF(M3=0,0,COUNTIF('4_imgsummary'!E3:N3,"MER")*100/M3)</f>
        <v>0</v>
      </c>
      <c r="AU3">
        <f>IF(M3=0,0,COUNTIF('4_imgsummary'!E3:N3,"MILL")*100/M3)</f>
        <v>0</v>
      </c>
      <c r="AV3">
        <f>IF(M3=0,0,COUNTIF('4_imgsummary'!E3:N3,"MON")*100/M3)</f>
        <v>0</v>
      </c>
      <c r="AW3">
        <f>IF(M3=0,0,COUNTIF('4_imgsummary'!E3:N3,"MONTB")*100/M3)</f>
        <v>0</v>
      </c>
      <c r="AX3">
        <f>IF(M3=0,0,COUNTIF('4_imgsummary'!E3:N3,"MONTE")*100/M3)</f>
        <v>0</v>
      </c>
      <c r="AY3">
        <f>IF(M3=0,0,COUNTIF('4_imgsummary'!E3:N3,"MONTF")*100/M3)</f>
        <v>0</v>
      </c>
      <c r="AZ3">
        <f>IF(M3=0,0,COUNTIF('4_imgsummary'!E3:N3,"MYC")*100/M3)</f>
        <v>0</v>
      </c>
      <c r="BA3">
        <f>IF(M3=0,0,COUNTIF('4_imgsummary'!E3:N3,"CB")*100/M3)</f>
        <v>0</v>
      </c>
      <c r="BB3">
        <f>IF(M3=0,0,COUNTIF('4_imgsummary'!E3:N3,"BUB")*100/M3)</f>
        <v>0</v>
      </c>
      <c r="BC3">
        <f>IF(M3=0,0,COUNTIF('4_imgsummary'!E3:N3,"CE")*100/M3)</f>
        <v>0</v>
      </c>
      <c r="BD3">
        <f>IF(M3=0,0,COUNTIF('4_imgsummary'!E3:N3,"CF")*100/M3)</f>
        <v>0</v>
      </c>
      <c r="BE3">
        <f>IF(M3=0,0,COUNTIF('4_imgsummary'!E3:N3,"FOT")*100/M3)</f>
        <v>0</v>
      </c>
      <c r="BF3">
        <f>IF(M3=0,0,COUNTIF('4_imgsummary'!E3:N3,"CM")*100/M3)</f>
        <v>0</v>
      </c>
      <c r="BG3">
        <f>IF(M3=0,0,COUNTIF('4_imgsummary'!E3:N3,"OULA")*100/M3)</f>
        <v>0</v>
      </c>
      <c r="BH3">
        <f>IF(M3=0,0,COUNTIF('4_imgsummary'!E3:N3,"OULO")*100/M3)</f>
        <v>0</v>
      </c>
      <c r="BI3">
        <f>IF(M3=0,0,COUNTIF('4_imgsummary'!E3:N3,"OXY")*100/M3)</f>
        <v>0</v>
      </c>
      <c r="BJ3">
        <f>IF(M3=0,0,COUNTIF('4_imgsummary'!E3:N3,"PACE")*100/M3)</f>
        <v>0</v>
      </c>
      <c r="BK3" s="26">
        <f>IF(M3=0,0,COUNTIF('4_imgsummary'!E3:N3,"PACF")*100/M3)</f>
        <v>20</v>
      </c>
      <c r="BL3">
        <f>IF(M3=0,0,COUNTIF('4_imgsummary'!E3:N3,"PAV")*100/M3)</f>
        <v>0</v>
      </c>
      <c r="BM3">
        <f>IF(M3=0,0,COUNTIF('4_imgsummary'!E3:N3,"PEC")*100/M3)</f>
        <v>0</v>
      </c>
      <c r="BN3">
        <f>IF(M3=0,0,COUNTIF('4_imgsummary'!E3:N3,"PLAT")*100/M3)</f>
        <v>0</v>
      </c>
      <c r="BO3">
        <f>IF(M3=0,0,COUNTIF('4_imgsummary'!E3:N3,"POC")*100/M3)</f>
        <v>0</v>
      </c>
      <c r="BP3">
        <f>IF(M3=0,0,COUNTIF('4_imgsummary'!E3:N3,"PORB")*100/M3)</f>
        <v>0</v>
      </c>
      <c r="BQ3">
        <f>IF(M3=0,0,COUNTIF('4_imgsummary'!E3:N3,"PORE")*100/M3)</f>
        <v>0</v>
      </c>
      <c r="BR3">
        <f>IF(M3=0,0,COUNTIF('4_imgsummary'!E3:N3,"PORM")*100/M3)</f>
        <v>0</v>
      </c>
      <c r="BS3">
        <f>IF(M3=0,0,COUNTIF('4_imgsummary'!E3:N3,"SER")*100/M3)</f>
        <v>0</v>
      </c>
      <c r="BT3">
        <f>IF(M3=0,0,COUNTIF('4_imgsummary'!E3:N3,"STY")*100/M3)</f>
        <v>0</v>
      </c>
      <c r="BU3">
        <f>IF(M3=0,0,COUNTIF('4_imgsummary'!E3:N3,"SYM")*100/M3)</f>
        <v>0</v>
      </c>
      <c r="BV3">
        <f>IF(M3=0,0,COUNTIF('4_imgsummary'!E3:N3,"TUBI")*100/M3)</f>
        <v>0</v>
      </c>
      <c r="BW3">
        <f>IF(M3=0,0,COUNTIF('4_imgsummary'!E3:N3,"TURB")*100/M3)</f>
        <v>0</v>
      </c>
      <c r="BX3">
        <f>IF(M3=0,0,COUNTIF('4_imgsummary'!E3:N3,"ZACRF")*100/M3)</f>
        <v>0</v>
      </c>
      <c r="BY3">
        <f>IF(M3=0,0,COUNTIF('4_imgsummary'!E3:N3,"ZAGARF")*100/M3)</f>
        <v>0</v>
      </c>
      <c r="BZ3">
        <f>IF(M3=0,0,COUNTIF('4_imgsummary'!E3:N3,"ZAGATF")*100/M3)</f>
        <v>0</v>
      </c>
      <c r="CA3">
        <f>IF(M3=0,0,COUNTIF('4_imgsummary'!E3:N3,"ZDENF")*100/M3)</f>
        <v>0</v>
      </c>
      <c r="CB3">
        <f>IF(M3=0,0,COUNTIF('4_imgsummary'!E3:N3,"ZEUPF")*100/M3)</f>
        <v>0</v>
      </c>
      <c r="CC3">
        <f>IF(M3=0,0,COUNTIF('4_imgsummary'!E3:N3,"ZFAVF")*100/M3)</f>
        <v>0</v>
      </c>
      <c r="CD3">
        <f>IF(M3=0,0,COUNTIF('4_imgsummary'!E3:N3,"ZCMRF")*100/M3)</f>
        <v>0</v>
      </c>
      <c r="CE3">
        <f>IF(M3=0,0,COUNTIF('4_imgsummary'!E3:N3,"ZMUSF")*100/M3)</f>
        <v>0</v>
      </c>
      <c r="CF3">
        <f>IF(M3=0,0,COUNTIF('4_imgsummary'!E3:N3,"ZNSC")*100/M3)</f>
        <v>0</v>
      </c>
      <c r="CG3">
        <f>IF(M3=0,0,COUNTIF('4_imgsummary'!E3:N3,"ZOC")*100/M3)</f>
        <v>0</v>
      </c>
      <c r="CH3">
        <f>IF(M3=0,0,COUNTIF('4_imgsummary'!E3:N3,"ZPOCF")*100/M3)</f>
        <v>0</v>
      </c>
      <c r="CI3">
        <f>IF(M3=0,0,COUNTIF('4_imgsummary'!E3:N3,"ZPORF")*100/M3)</f>
        <v>0</v>
      </c>
      <c r="CK3" s="26">
        <f>IF(M3=0,0,COUNTIF('4_imgsummary'!E3:N3,"AA")*100/M3)</f>
        <v>10</v>
      </c>
      <c r="CL3">
        <f>IF(M3=0,0,COUNTIF('4_imgsummary'!E3:N3,"CA")*100/M3)</f>
        <v>0</v>
      </c>
      <c r="CM3">
        <f>IF(M3=0,0,COUNTIF('4_imgsummary'!E3:N3,"DC")*100/M3)</f>
        <v>0</v>
      </c>
      <c r="CN3">
        <f>IF(M3=0,0,COUNTIF('4_imgsummary'!E3:N3,"DCA")*100/M3)</f>
        <v>0</v>
      </c>
      <c r="CO3">
        <f>IF(M3=0,0,COUNTIF('4_imgsummary'!E3:N3,"DIS")*100/M3)</f>
        <v>0</v>
      </c>
      <c r="CQ3">
        <f>IF(M3=0,0,COUNTIF('4_imgsummary'!E3:N3,"GRV")*100/M3)</f>
        <v>0</v>
      </c>
      <c r="CR3">
        <f>IF(M3=0,0,COUNTIF('4_imgsummary'!E3:N3,"R")*100/M3)</f>
        <v>0</v>
      </c>
      <c r="CS3">
        <f>IF(M3=0,0,COUNTIF('4_imgsummary'!E3:N3,"S")*100/M3)</f>
        <v>0</v>
      </c>
      <c r="CT3">
        <f>IF(M3=0,0,COUNTIF('4_imgsummary'!E3:N3,"RCK")*100/M3)</f>
        <v>0</v>
      </c>
      <c r="CU3">
        <f>IF(M3=0,0,COUNTIF('4_imgsummary'!E3:N3,"SI")*100/M3)</f>
        <v>0</v>
      </c>
      <c r="CW3">
        <f>IF(M3=0,0,COUNTIF('4_imgsummary'!E3:N3,"COD")*100/M3)</f>
        <v>0</v>
      </c>
      <c r="CX3">
        <f>IF(M3=0,0,COUNTIF('4_imgsummary'!E3:N3,"KAPP")*100/M3)</f>
        <v>0</v>
      </c>
      <c r="CY3">
        <f>IF(M3=0,0,COUNTIF('4_imgsummary'!E3:N3,"MA")*100/M3)</f>
        <v>0</v>
      </c>
      <c r="CZ3">
        <f>IF(M3=0,0,COUNTIF('4_imgsummary'!E3:N3,"SARG")*100/M3)</f>
        <v>0</v>
      </c>
      <c r="DB3">
        <f>IF(M3=0,0,COUNTIF('4_imgsummary'!E3:N3,"HA")*100/M3)</f>
        <v>0</v>
      </c>
      <c r="DD3">
        <f>IF(M3=0,0,COUNTIF('4_imgsummary'!E3:N3,"COTS")*100/M3)</f>
        <v>0</v>
      </c>
      <c r="DE3">
        <f>IF(M3=0,0,COUNTIF('4_imgsummary'!E3:N3,"COR")*100/M3)</f>
        <v>0</v>
      </c>
      <c r="DF3">
        <f>IF(M3=0,0,COUNTIF('4_imgsummary'!E3:N3,"DIA")*100/M3)</f>
        <v>0</v>
      </c>
      <c r="DG3">
        <f>IF(M3=0,0,COUNTIF('4_imgsummary'!E3:N3,"GORG")*100/M3)</f>
        <v>0</v>
      </c>
      <c r="DH3">
        <f>IF(M3=0,0,COUNTIF('4_imgsummary'!E3:N3,"ISIS")*100/M3)</f>
        <v>0</v>
      </c>
      <c r="DI3">
        <f>IF(M3=0,0,COUNTIF('4_imgsummary'!E3:N3,"OT")*100/M3)</f>
        <v>0</v>
      </c>
      <c r="DJ3">
        <f>IF(M3=0,0,COUNTIF('4_imgsummary'!E3:N3,"SG")*100/M3)</f>
        <v>0</v>
      </c>
      <c r="DK3">
        <f>IF(M3=0,0,COUNTIF('4_imgsummary'!E3:N3,"SC")*100/M3)</f>
        <v>0</v>
      </c>
      <c r="DL3" s="26">
        <f>IF(M3=0,0,COUNTIF('4_imgsummary'!E3:N3,"SP")*100/M3)</f>
        <v>10</v>
      </c>
      <c r="DM3">
        <f>IF(M3=0,0,COUNTIF('4_imgsummary'!E3:N3,"ZO")*100/M3)</f>
        <v>0</v>
      </c>
      <c r="DO3" s="26">
        <f>IF(M3=0,0,COUNTIF('4_imgsummary'!E3:N3,"TWB")*100/M3)</f>
        <v>20</v>
      </c>
      <c r="DQ3">
        <f>IF(M3=0,0,COUNTIF('4_imgsummary'!Y3:AH3,"COR")*100/M3)</f>
        <v>0</v>
      </c>
      <c r="DR3">
        <f>IF(M3=0,0,COUNTIF('4_imgsummary'!Y3:AH3,"COTS")*100/M3)</f>
        <v>0</v>
      </c>
      <c r="DS3">
        <f>IF(M3=0,0,COUNTIF('4_imgsummary'!Y3:AH3,"DIA")*100/M3)</f>
        <v>0</v>
      </c>
      <c r="DT3">
        <f>IF(M3=0,0,COUNTIF('4_imgsummary'!Y3:AH3,"GORG")*100/M3)</f>
        <v>0</v>
      </c>
      <c r="DU3">
        <f>IF(M3=0,0,COUNTIF('4_imgsummary'!Y3:AH3,"ISIS")*100/M3)</f>
        <v>0</v>
      </c>
      <c r="DV3">
        <f>IF(M3=0,0,COUNTIF('4_imgsummary'!Y3:AH3,"DIS")*100/M3)</f>
        <v>0</v>
      </c>
      <c r="DW3">
        <f>IF(M3=0,0,COUNTIF('4_imgsummary'!Y3:AH3,"BLEC")*100/M3)</f>
        <v>0</v>
      </c>
      <c r="DX3">
        <f>IF(M3=0,0,COUNTIF('4_imgsummary'!Y3:AH3,"COD")*100/M3)</f>
        <v>0</v>
      </c>
      <c r="DY3">
        <f>IF(M3=0,0,COUNTIF('4_imgsummary'!Y3:AH3,"KAPP")*100/M3)</f>
        <v>0</v>
      </c>
      <c r="DZ3">
        <f>IF(M3=0,0,COUNTIF('4_imgsummary'!Y3:AH3,"SARG")*100/M3)</f>
        <v>0</v>
      </c>
      <c r="EA3">
        <f>IF(M3=0,0,COUNTIF('4_imgsummary'!Y3:AH3,"ZACRF")*100/M3)</f>
        <v>0</v>
      </c>
      <c r="EB3">
        <f>IF(M3=0,0,COUNTIF('4_imgsummary'!Y3:AH3,"ZAGARF")*100/M3)</f>
        <v>0</v>
      </c>
      <c r="EC3">
        <f>IF(M3=0,0,COUNTIF('4_imgsummary'!Y3:AH3,"ZAGATF")*100/M3)</f>
        <v>0</v>
      </c>
      <c r="ED3">
        <f>IF(M3=0,0,COUNTIF('4_imgsummary'!Y3:AH3,"ZCMRF")*100/M3)</f>
        <v>0</v>
      </c>
      <c r="EE3">
        <f>IF(M3=0,0,COUNTIF('4_imgsummary'!Y3:AH3,"ZDENF")*100/M3)</f>
        <v>0</v>
      </c>
      <c r="EF3">
        <f>IF(M3=0,0,COUNTIF('4_imgsummary'!Y3:AH3,"ZEUPF")*100/M3)</f>
        <v>0</v>
      </c>
      <c r="EG3">
        <f>IF(M3=0,0,COUNTIF('4_imgsummary'!Y3:AH3,"ZFAVF")*100/M3)</f>
        <v>0</v>
      </c>
      <c r="EH3">
        <f>IF(M3=0,0,COUNTIF('4_imgsummary'!Y3:AH3,"ZMUSF")*100/M3)</f>
        <v>0</v>
      </c>
      <c r="EI3">
        <f>IF(M3=0,0,COUNTIF('4_imgsummary'!Y3:AH3,"ZNSC")*100/M3)</f>
        <v>0</v>
      </c>
      <c r="EJ3">
        <f>IF(M3=0,0,COUNTIF('4_imgsummary'!Y3:AH3,"ZOC")*100/M3)</f>
        <v>0</v>
      </c>
      <c r="EK3">
        <f>IF(M3=0,0,COUNTIF('4_imgsummary'!Y3:AH3,"ZPOCF")*100/M3)</f>
        <v>0</v>
      </c>
      <c r="EL3">
        <f>IF(M3=0,0,COUNTIF('4_imgsummary'!Y3:AH3,"ZPORF")*100/M3)</f>
        <v>0</v>
      </c>
    </row>
    <row r="4" spans="1:142" x14ac:dyDescent="0.35">
      <c r="A4">
        <v>2</v>
      </c>
      <c r="B4" t="s">
        <v>46</v>
      </c>
      <c r="F4" s="26">
        <f>IF(M4=0,0,COUNTIF('4_imgsummary'!O4:X4,"HC")*100/M4)</f>
        <v>50</v>
      </c>
      <c r="G4" s="26">
        <f>IF(M4=0,0,COUNTIF('4_imgsummary'!O4:X4,"AA")*100/M4)</f>
        <v>20</v>
      </c>
      <c r="H4">
        <f>IF(M4=0,0,COUNTIF('4_imgsummary'!O4:X4,"AB")*100/M4)</f>
        <v>0</v>
      </c>
      <c r="I4">
        <f>IF(M4=0,0,COUNTIF('4_imgsummary'!O4:X4,"MA")*100/M4)</f>
        <v>0</v>
      </c>
      <c r="J4">
        <f>IF(M4=0,0,COUNTIF('4_imgsummary'!O4:X4,"HA")*100/M4)</f>
        <v>0</v>
      </c>
      <c r="K4" s="26">
        <f>IF(M4=0,0,COUNTIF('4_imgsummary'!O4:X4,"OB")*100/M4)</f>
        <v>30</v>
      </c>
      <c r="L4">
        <f>IF(M4=0,0,COUNTIF('4_imgsummary'!O4:X4,"TWB")*100/M4)</f>
        <v>0</v>
      </c>
      <c r="M4">
        <f>10-COUNTIF('4_imgsummary'!O4:X4,"TWS")</f>
        <v>10</v>
      </c>
      <c r="P4">
        <f>IF(M4=0,0,COUNTIF('4_imgsummary'!E4:N4,"ACAN")*100/M4)</f>
        <v>0</v>
      </c>
      <c r="Q4">
        <f>IF(M4=0,0,COUNTIF('4_imgsummary'!E4:N4,"ACB")*100/M4)</f>
        <v>0</v>
      </c>
      <c r="R4">
        <f>IF(M4=0,0,COUNTIF('4_imgsummary'!E4:N4,"ACC")*100/M4)</f>
        <v>0</v>
      </c>
      <c r="S4">
        <f>IF(M4=0,0,COUNTIF('4_imgsummary'!E4:N4,"ACD")*100/M4)</f>
        <v>0</v>
      </c>
      <c r="T4">
        <f>IF(M4=0,0,COUNTIF('4_imgsummary'!E4:N4,"ACH")*100/M4)</f>
        <v>0</v>
      </c>
      <c r="U4">
        <f>IF(M4=0,0,COUNTIF('4_imgsummary'!E4:N4,"ACT")*100/M4)</f>
        <v>0</v>
      </c>
      <c r="V4">
        <f>IF(M4=0,0,COUNTIF('4_imgsummary'!E4:N4,"ACR")*100/M4)</f>
        <v>0</v>
      </c>
      <c r="W4">
        <f>IF(M4=0,0,COUNTIF('4_imgsummary'!E4:N4,"AST")*100/M4)</f>
        <v>0</v>
      </c>
      <c r="X4">
        <f>IF(M4=0,0,COUNTIF('4_imgsummary'!E4:N4,"AF")*100/M4)</f>
        <v>0</v>
      </c>
      <c r="Y4">
        <f>IF(M4=0,0,COUNTIF('4_imgsummary'!E4:N4,"BLEC")*100/M4)</f>
        <v>0</v>
      </c>
      <c r="Z4">
        <f>IF(M4=0,0,COUNTIF('4_imgsummary'!E4:N4,"CAU")*100/M4)</f>
        <v>0</v>
      </c>
      <c r="AA4">
        <f>IF(M4=0,0,COUNTIF('4_imgsummary'!E4:N4,"COE")*100/M4)</f>
        <v>0</v>
      </c>
      <c r="AB4">
        <f>IF(M4=0,0,COUNTIF('4_imgsummary'!E4:N4,"COS")*100/M4)</f>
        <v>0</v>
      </c>
      <c r="AC4">
        <f>IF(M4=0,0,COUNTIF('4_imgsummary'!E4:N4,"CYP")*100/M4)</f>
        <v>0</v>
      </c>
      <c r="AD4">
        <f>IF(M4=0,0,COUNTIF('4_imgsummary'!E4:N4,"DIP")*100/M4)</f>
        <v>0</v>
      </c>
      <c r="AE4">
        <f>IF(M4=0,0,COUNTIF('4_imgsummary'!E4:N4,"ECHY")*100/M4)</f>
        <v>0</v>
      </c>
      <c r="AF4">
        <f>IF(M4=0,0,COUNTIF('4_imgsummary'!E4:N4,"ECHI")*100/M4)</f>
        <v>0</v>
      </c>
      <c r="AG4">
        <f>IF(M4=0,0,COUNTIF('4_imgsummary'!E4:N4,"EUP")*100/M4)</f>
        <v>0</v>
      </c>
      <c r="AH4">
        <f>IF(M4=0,0,COUNTIF('4_imgsummary'!E4:N4,"FAV")*100/M4)</f>
        <v>0</v>
      </c>
      <c r="AI4">
        <f>IF(M4=0,0,COUNTIF('4_imgsummary'!E4:N4,"FVI")*100/M4)</f>
        <v>0</v>
      </c>
      <c r="AJ4">
        <f>IF(M4=0,0,COUNTIF('4_imgsummary'!E4:N4,"CMR")*100/M4)</f>
        <v>0</v>
      </c>
      <c r="AK4">
        <f>IF(M4=0,0,COUNTIF('4_imgsummary'!E4:N4,"GAL")*100/M4)</f>
        <v>0</v>
      </c>
      <c r="AL4">
        <f>IF(M4=0,0,COUNTIF('4_imgsummary'!E4:N4,"GONIA")*100/M4)</f>
        <v>0</v>
      </c>
      <c r="AM4" s="26">
        <f>IF(M4=0,0,COUNTIF('4_imgsummary'!E4:N4,"GONIO")*100/M4)</f>
        <v>30</v>
      </c>
      <c r="AN4">
        <f>IF(M4=0,0,COUNTIF('4_imgsummary'!E4:N4,"HEL")*100/M4)</f>
        <v>0</v>
      </c>
      <c r="AO4">
        <f>IF(M4=0,0,COUNTIF('4_imgsummary'!E4:N4,"HYD")*100/M4)</f>
        <v>0</v>
      </c>
      <c r="AP4">
        <f>IF(M4=0,0,COUNTIF('4_imgsummary'!E4:N4,"ISO")*100/M4)</f>
        <v>0</v>
      </c>
      <c r="AQ4">
        <f>IF(M4=0,0,COUNTIF('4_imgsummary'!E4:N4,"LEPA")*100/M4)</f>
        <v>0</v>
      </c>
      <c r="AR4">
        <f>IF(M4=0,0,COUNTIF('4_imgsummary'!E4:N4,"LEPS")*100/M4)</f>
        <v>0</v>
      </c>
      <c r="AS4">
        <f>IF(M4=0,0,COUNTIF('4_imgsummary'!E4:N4,"LOB")*100/M4)</f>
        <v>0</v>
      </c>
      <c r="AT4">
        <f>IF(M4=0,0,COUNTIF('4_imgsummary'!E4:N4,"MER")*100/M4)</f>
        <v>0</v>
      </c>
      <c r="AU4">
        <f>IF(M4=0,0,COUNTIF('4_imgsummary'!E4:N4,"MILL")*100/M4)</f>
        <v>0</v>
      </c>
      <c r="AV4">
        <f>IF(M4=0,0,COUNTIF('4_imgsummary'!E4:N4,"MON")*100/M4)</f>
        <v>0</v>
      </c>
      <c r="AW4">
        <f>IF(M4=0,0,COUNTIF('4_imgsummary'!E4:N4,"MONTB")*100/M4)</f>
        <v>0</v>
      </c>
      <c r="AX4">
        <f>IF(M4=0,0,COUNTIF('4_imgsummary'!E4:N4,"MONTE")*100/M4)</f>
        <v>0</v>
      </c>
      <c r="AY4">
        <f>IF(M4=0,0,COUNTIF('4_imgsummary'!E4:N4,"MONTF")*100/M4)</f>
        <v>0</v>
      </c>
      <c r="AZ4">
        <f>IF(M4=0,0,COUNTIF('4_imgsummary'!E4:N4,"MYC")*100/M4)</f>
        <v>0</v>
      </c>
      <c r="BA4">
        <f>IF(M4=0,0,COUNTIF('4_imgsummary'!E4:N4,"CB")*100/M4)</f>
        <v>0</v>
      </c>
      <c r="BB4">
        <f>IF(M4=0,0,COUNTIF('4_imgsummary'!E4:N4,"BUB")*100/M4)</f>
        <v>0</v>
      </c>
      <c r="BC4">
        <f>IF(M4=0,0,COUNTIF('4_imgsummary'!E4:N4,"CE")*100/M4)</f>
        <v>0</v>
      </c>
      <c r="BD4">
        <f>IF(M4=0,0,COUNTIF('4_imgsummary'!E4:N4,"CF")*100/M4)</f>
        <v>0</v>
      </c>
      <c r="BE4">
        <f>IF(M4=0,0,COUNTIF('4_imgsummary'!E4:N4,"FOT")*100/M4)</f>
        <v>0</v>
      </c>
      <c r="BF4">
        <f>IF(M4=0,0,COUNTIF('4_imgsummary'!E4:N4,"CM")*100/M4)</f>
        <v>0</v>
      </c>
      <c r="BG4">
        <f>IF(M4=0,0,COUNTIF('4_imgsummary'!E4:N4,"OULA")*100/M4)</f>
        <v>0</v>
      </c>
      <c r="BH4">
        <f>IF(M4=0,0,COUNTIF('4_imgsummary'!E4:N4,"OULO")*100/M4)</f>
        <v>0</v>
      </c>
      <c r="BI4">
        <f>IF(M4=0,0,COUNTIF('4_imgsummary'!E4:N4,"OXY")*100/M4)</f>
        <v>0</v>
      </c>
      <c r="BJ4">
        <f>IF(M4=0,0,COUNTIF('4_imgsummary'!E4:N4,"PACE")*100/M4)</f>
        <v>0</v>
      </c>
      <c r="BK4" s="26">
        <f>IF(M4=0,0,COUNTIF('4_imgsummary'!E4:N4,"PACF")*100/M4)</f>
        <v>10</v>
      </c>
      <c r="BL4">
        <f>IF(M4=0,0,COUNTIF('4_imgsummary'!E4:N4,"PAV")*100/M4)</f>
        <v>0</v>
      </c>
      <c r="BM4">
        <f>IF(M4=0,0,COUNTIF('4_imgsummary'!E4:N4,"PEC")*100/M4)</f>
        <v>0</v>
      </c>
      <c r="BN4">
        <f>IF(M4=0,0,COUNTIF('4_imgsummary'!E4:N4,"PLAT")*100/M4)</f>
        <v>0</v>
      </c>
      <c r="BO4">
        <f>IF(M4=0,0,COUNTIF('4_imgsummary'!E4:N4,"POC")*100/M4)</f>
        <v>0</v>
      </c>
      <c r="BP4">
        <f>IF(M4=0,0,COUNTIF('4_imgsummary'!E4:N4,"PORB")*100/M4)</f>
        <v>0</v>
      </c>
      <c r="BQ4" s="26">
        <f>IF(M4=0,0,COUNTIF('4_imgsummary'!E4:N4,"PORE")*100/M4)</f>
        <v>10</v>
      </c>
      <c r="BR4">
        <f>IF(M4=0,0,COUNTIF('4_imgsummary'!E4:N4,"PORM")*100/M4)</f>
        <v>0</v>
      </c>
      <c r="BS4">
        <f>IF(M4=0,0,COUNTIF('4_imgsummary'!E4:N4,"SER")*100/M4)</f>
        <v>0</v>
      </c>
      <c r="BT4">
        <f>IF(M4=0,0,COUNTIF('4_imgsummary'!E4:N4,"STY")*100/M4)</f>
        <v>0</v>
      </c>
      <c r="BU4">
        <f>IF(M4=0,0,COUNTIF('4_imgsummary'!E4:N4,"SYM")*100/M4)</f>
        <v>0</v>
      </c>
      <c r="BV4">
        <f>IF(M4=0,0,COUNTIF('4_imgsummary'!E4:N4,"TUBI")*100/M4)</f>
        <v>0</v>
      </c>
      <c r="BW4">
        <f>IF(M4=0,0,COUNTIF('4_imgsummary'!E4:N4,"TURB")*100/M4)</f>
        <v>0</v>
      </c>
      <c r="BX4">
        <f>IF(M4=0,0,COUNTIF('4_imgsummary'!E4:N4,"ZACRF")*100/M4)</f>
        <v>0</v>
      </c>
      <c r="BY4">
        <f>IF(M4=0,0,COUNTIF('4_imgsummary'!E4:N4,"ZAGARF")*100/M4)</f>
        <v>0</v>
      </c>
      <c r="BZ4">
        <f>IF(M4=0,0,COUNTIF('4_imgsummary'!E4:N4,"ZAGATF")*100/M4)</f>
        <v>0</v>
      </c>
      <c r="CA4">
        <f>IF(M4=0,0,COUNTIF('4_imgsummary'!E4:N4,"ZDENF")*100/M4)</f>
        <v>0</v>
      </c>
      <c r="CB4">
        <f>IF(M4=0,0,COUNTIF('4_imgsummary'!E4:N4,"ZEUPF")*100/M4)</f>
        <v>0</v>
      </c>
      <c r="CC4">
        <f>IF(M4=0,0,COUNTIF('4_imgsummary'!E4:N4,"ZFAVF")*100/M4)</f>
        <v>0</v>
      </c>
      <c r="CD4">
        <f>IF(M4=0,0,COUNTIF('4_imgsummary'!E4:N4,"ZCMRF")*100/M4)</f>
        <v>0</v>
      </c>
      <c r="CE4">
        <f>IF(M4=0,0,COUNTIF('4_imgsummary'!E4:N4,"ZMUSF")*100/M4)</f>
        <v>0</v>
      </c>
      <c r="CF4">
        <f>IF(M4=0,0,COUNTIF('4_imgsummary'!E4:N4,"ZNSC")*100/M4)</f>
        <v>0</v>
      </c>
      <c r="CG4">
        <f>IF(M4=0,0,COUNTIF('4_imgsummary'!E4:N4,"ZOC")*100/M4)</f>
        <v>0</v>
      </c>
      <c r="CH4">
        <f>IF(M4=0,0,COUNTIF('4_imgsummary'!E4:N4,"ZPOCF")*100/M4)</f>
        <v>0</v>
      </c>
      <c r="CI4">
        <f>IF(M4=0,0,COUNTIF('4_imgsummary'!E4:N4,"ZPORF")*100/M4)</f>
        <v>0</v>
      </c>
      <c r="CK4" s="26">
        <f>IF(M4=0,0,COUNTIF('4_imgsummary'!E4:N4,"AA")*100/M4)</f>
        <v>10</v>
      </c>
      <c r="CL4" s="26">
        <f>IF(M4=0,0,COUNTIF('4_imgsummary'!E4:N4,"CA")*100/M4)</f>
        <v>10</v>
      </c>
      <c r="CM4">
        <f>IF(M4=0,0,COUNTIF('4_imgsummary'!E4:N4,"DC")*100/M4)</f>
        <v>0</v>
      </c>
      <c r="CN4">
        <f>IF(M4=0,0,COUNTIF('4_imgsummary'!E4:N4,"DCA")*100/M4)</f>
        <v>0</v>
      </c>
      <c r="CO4">
        <f>IF(M4=0,0,COUNTIF('4_imgsummary'!E4:N4,"DIS")*100/M4)</f>
        <v>0</v>
      </c>
      <c r="CQ4">
        <f>IF(M4=0,0,COUNTIF('4_imgsummary'!E4:N4,"GRV")*100/M4)</f>
        <v>0</v>
      </c>
      <c r="CR4">
        <f>IF(M4=0,0,COUNTIF('4_imgsummary'!E4:N4,"R")*100/M4)</f>
        <v>0</v>
      </c>
      <c r="CS4">
        <f>IF(M4=0,0,COUNTIF('4_imgsummary'!E4:N4,"S")*100/M4)</f>
        <v>0</v>
      </c>
      <c r="CT4">
        <f>IF(M4=0,0,COUNTIF('4_imgsummary'!E4:N4,"RCK")*100/M4)</f>
        <v>0</v>
      </c>
      <c r="CU4">
        <f>IF(M4=0,0,COUNTIF('4_imgsummary'!E4:N4,"SI")*100/M4)</f>
        <v>0</v>
      </c>
      <c r="CW4">
        <f>IF(M4=0,0,COUNTIF('4_imgsummary'!E4:N4,"COD")*100/M4)</f>
        <v>0</v>
      </c>
      <c r="CX4">
        <f>IF(M4=0,0,COUNTIF('4_imgsummary'!E4:N4,"KAPP")*100/M4)</f>
        <v>0</v>
      </c>
      <c r="CY4">
        <f>IF(M4=0,0,COUNTIF('4_imgsummary'!E4:N4,"MA")*100/M4)</f>
        <v>0</v>
      </c>
      <c r="CZ4">
        <f>IF(M4=0,0,COUNTIF('4_imgsummary'!E4:N4,"SARG")*100/M4)</f>
        <v>0</v>
      </c>
      <c r="DB4">
        <f>IF(M4=0,0,COUNTIF('4_imgsummary'!E4:N4,"HA")*100/M4)</f>
        <v>0</v>
      </c>
      <c r="DD4">
        <f>IF(M4=0,0,COUNTIF('4_imgsummary'!E4:N4,"COTS")*100/M4)</f>
        <v>0</v>
      </c>
      <c r="DE4">
        <f>IF(M4=0,0,COUNTIF('4_imgsummary'!E4:N4,"COR")*100/M4)</f>
        <v>0</v>
      </c>
      <c r="DF4">
        <f>IF(M4=0,0,COUNTIF('4_imgsummary'!E4:N4,"DIA")*100/M4)</f>
        <v>0</v>
      </c>
      <c r="DG4">
        <f>IF(M4=0,0,COUNTIF('4_imgsummary'!E4:N4,"GORG")*100/M4)</f>
        <v>0</v>
      </c>
      <c r="DH4">
        <f>IF(M4=0,0,COUNTIF('4_imgsummary'!E4:N4,"ISIS")*100/M4)</f>
        <v>0</v>
      </c>
      <c r="DI4" s="26">
        <f>IF(M4=0,0,COUNTIF('4_imgsummary'!E4:N4,"OT")*100/M4)</f>
        <v>10</v>
      </c>
      <c r="DJ4">
        <f>IF(M4=0,0,COUNTIF('4_imgsummary'!E4:N4,"SG")*100/M4)</f>
        <v>0</v>
      </c>
      <c r="DK4">
        <f>IF(M4=0,0,COUNTIF('4_imgsummary'!E4:N4,"SC")*100/M4)</f>
        <v>0</v>
      </c>
      <c r="DL4" s="26">
        <f>IF(M4=0,0,COUNTIF('4_imgsummary'!E4:N4,"SP")*100/M4)</f>
        <v>20</v>
      </c>
      <c r="DM4">
        <f>IF(M4=0,0,COUNTIF('4_imgsummary'!E4:N4,"ZO")*100/M4)</f>
        <v>0</v>
      </c>
      <c r="DO4">
        <f>IF(M4=0,0,COUNTIF('4_imgsummary'!E4:N4,"TWB")*100/M4)</f>
        <v>0</v>
      </c>
      <c r="DQ4">
        <f>IF(M4=0,0,COUNTIF('4_imgsummary'!Y4:AH4,"COR")*100/M4)</f>
        <v>0</v>
      </c>
      <c r="DR4">
        <f>IF(M4=0,0,COUNTIF('4_imgsummary'!Y4:AH4,"COTS")*100/M4)</f>
        <v>0</v>
      </c>
      <c r="DS4">
        <f>IF(M4=0,0,COUNTIF('4_imgsummary'!Y4:AH4,"DIA")*100/M4)</f>
        <v>0</v>
      </c>
      <c r="DT4">
        <f>IF(M4=0,0,COUNTIF('4_imgsummary'!Y4:AH4,"GORG")*100/M4)</f>
        <v>10</v>
      </c>
      <c r="DU4">
        <f>IF(M4=0,0,COUNTIF('4_imgsummary'!Y4:AH4,"ISIS")*100/M4)</f>
        <v>0</v>
      </c>
      <c r="DV4">
        <f>IF(M4=0,0,COUNTIF('4_imgsummary'!Y4:AH4,"DIS")*100/M4)</f>
        <v>0</v>
      </c>
      <c r="DW4">
        <f>IF(M4=0,0,COUNTIF('4_imgsummary'!Y4:AH4,"BLEC")*100/M4)</f>
        <v>0</v>
      </c>
      <c r="DX4">
        <f>IF(M4=0,0,COUNTIF('4_imgsummary'!Y4:AH4,"COD")*100/M4)</f>
        <v>0</v>
      </c>
      <c r="DY4">
        <f>IF(M4=0,0,COUNTIF('4_imgsummary'!Y4:AH4,"KAPP")*100/M4)</f>
        <v>0</v>
      </c>
      <c r="DZ4">
        <f>IF(M4=0,0,COUNTIF('4_imgsummary'!Y4:AH4,"SARG")*100/M4)</f>
        <v>0</v>
      </c>
      <c r="EA4">
        <f>IF(M4=0,0,COUNTIF('4_imgsummary'!Y4:AH4,"ZACRF")*100/M4)</f>
        <v>0</v>
      </c>
      <c r="EB4">
        <f>IF(M4=0,0,COUNTIF('4_imgsummary'!Y4:AH4,"ZAGARF")*100/M4)</f>
        <v>0</v>
      </c>
      <c r="EC4">
        <f>IF(M4=0,0,COUNTIF('4_imgsummary'!Y4:AH4,"ZAGATF")*100/M4)</f>
        <v>0</v>
      </c>
      <c r="ED4">
        <f>IF(M4=0,0,COUNTIF('4_imgsummary'!Y4:AH4,"ZCMRF")*100/M4)</f>
        <v>0</v>
      </c>
      <c r="EE4">
        <f>IF(M4=0,0,COUNTIF('4_imgsummary'!Y4:AH4,"ZDENF")*100/M4)</f>
        <v>0</v>
      </c>
      <c r="EF4">
        <f>IF(M4=0,0,COUNTIF('4_imgsummary'!Y4:AH4,"ZEUPF")*100/M4)</f>
        <v>0</v>
      </c>
      <c r="EG4">
        <f>IF(M4=0,0,COUNTIF('4_imgsummary'!Y4:AH4,"ZFAVF")*100/M4)</f>
        <v>0</v>
      </c>
      <c r="EH4">
        <f>IF(M4=0,0,COUNTIF('4_imgsummary'!Y4:AH4,"ZMUSF")*100/M4)</f>
        <v>0</v>
      </c>
      <c r="EI4">
        <f>IF(M4=0,0,COUNTIF('4_imgsummary'!Y4:AH4,"ZNSC")*100/M4)</f>
        <v>0</v>
      </c>
      <c r="EJ4">
        <f>IF(M4=0,0,COUNTIF('4_imgsummary'!Y4:AH4,"ZOC")*100/M4)</f>
        <v>0</v>
      </c>
      <c r="EK4">
        <f>IF(M4=0,0,COUNTIF('4_imgsummary'!Y4:AH4,"ZPOCF")*100/M4)</f>
        <v>0</v>
      </c>
      <c r="EL4">
        <f>IF(M4=0,0,COUNTIF('4_imgsummary'!Y4:AH4,"ZPORF")*100/M4)</f>
        <v>0</v>
      </c>
    </row>
    <row r="5" spans="1:142" x14ac:dyDescent="0.35">
      <c r="A5">
        <v>3</v>
      </c>
      <c r="B5" t="s">
        <v>51</v>
      </c>
      <c r="F5" s="26">
        <f>IF(M5=0,0,COUNTIF('4_imgsummary'!O5:X5,"HC")*100/M5)</f>
        <v>40</v>
      </c>
      <c r="G5" s="26">
        <f>IF(M5=0,0,COUNTIF('4_imgsummary'!O5:X5,"AA")*100/M5)</f>
        <v>50</v>
      </c>
      <c r="H5">
        <f>IF(M5=0,0,COUNTIF('4_imgsummary'!O5:X5,"AB")*100/M5)</f>
        <v>0</v>
      </c>
      <c r="I5">
        <f>IF(M5=0,0,COUNTIF('4_imgsummary'!O5:X5,"MA")*100/M5)</f>
        <v>0</v>
      </c>
      <c r="J5">
        <f>IF(M5=0,0,COUNTIF('4_imgsummary'!O5:X5,"HA")*100/M5)</f>
        <v>0</v>
      </c>
      <c r="K5" s="26">
        <f>IF(M5=0,0,COUNTIF('4_imgsummary'!O5:X5,"OB")*100/M5)</f>
        <v>10</v>
      </c>
      <c r="L5">
        <f>IF(M5=0,0,COUNTIF('4_imgsummary'!O5:X5,"TWB")*100/M5)</f>
        <v>0</v>
      </c>
      <c r="M5">
        <f>10-COUNTIF('4_imgsummary'!O5:X5,"TWS")</f>
        <v>10</v>
      </c>
      <c r="P5">
        <f>IF(M5=0,0,COUNTIF('4_imgsummary'!E5:N5,"ACAN")*100/M5)</f>
        <v>0</v>
      </c>
      <c r="Q5">
        <f>IF(M5=0,0,COUNTIF('4_imgsummary'!E5:N5,"ACB")*100/M5)</f>
        <v>0</v>
      </c>
      <c r="R5">
        <f>IF(M5=0,0,COUNTIF('4_imgsummary'!E5:N5,"ACC")*100/M5)</f>
        <v>0</v>
      </c>
      <c r="S5">
        <f>IF(M5=0,0,COUNTIF('4_imgsummary'!E5:N5,"ACD")*100/M5)</f>
        <v>0</v>
      </c>
      <c r="T5">
        <f>IF(M5=0,0,COUNTIF('4_imgsummary'!E5:N5,"ACH")*100/M5)</f>
        <v>0</v>
      </c>
      <c r="U5">
        <f>IF(M5=0,0,COUNTIF('4_imgsummary'!E5:N5,"ACT")*100/M5)</f>
        <v>0</v>
      </c>
      <c r="V5">
        <f>IF(M5=0,0,COUNTIF('4_imgsummary'!E5:N5,"ACR")*100/M5)</f>
        <v>0</v>
      </c>
      <c r="W5">
        <f>IF(M5=0,0,COUNTIF('4_imgsummary'!E5:N5,"AST")*100/M5)</f>
        <v>0</v>
      </c>
      <c r="X5">
        <f>IF(M5=0,0,COUNTIF('4_imgsummary'!E5:N5,"AF")*100/M5)</f>
        <v>0</v>
      </c>
      <c r="Y5">
        <f>IF(M5=0,0,COUNTIF('4_imgsummary'!E5:N5,"BLEC")*100/M5)</f>
        <v>0</v>
      </c>
      <c r="Z5">
        <f>IF(M5=0,0,COUNTIF('4_imgsummary'!E5:N5,"CAU")*100/M5)</f>
        <v>0</v>
      </c>
      <c r="AA5">
        <f>IF(M5=0,0,COUNTIF('4_imgsummary'!E5:N5,"COE")*100/M5)</f>
        <v>0</v>
      </c>
      <c r="AB5">
        <f>IF(M5=0,0,COUNTIF('4_imgsummary'!E5:N5,"COS")*100/M5)</f>
        <v>0</v>
      </c>
      <c r="AC5">
        <f>IF(M5=0,0,COUNTIF('4_imgsummary'!E5:N5,"CYP")*100/M5)</f>
        <v>0</v>
      </c>
      <c r="AD5">
        <f>IF(M5=0,0,COUNTIF('4_imgsummary'!E5:N5,"DIP")*100/M5)</f>
        <v>0</v>
      </c>
      <c r="AE5">
        <f>IF(M5=0,0,COUNTIF('4_imgsummary'!E5:N5,"ECHY")*100/M5)</f>
        <v>0</v>
      </c>
      <c r="AF5">
        <f>IF(M5=0,0,COUNTIF('4_imgsummary'!E5:N5,"ECHI")*100/M5)</f>
        <v>0</v>
      </c>
      <c r="AG5">
        <f>IF(M5=0,0,COUNTIF('4_imgsummary'!E5:N5,"EUP")*100/M5)</f>
        <v>0</v>
      </c>
      <c r="AH5">
        <f>IF(M5=0,0,COUNTIF('4_imgsummary'!E5:N5,"FAV")*100/M5)</f>
        <v>0</v>
      </c>
      <c r="AI5">
        <f>IF(M5=0,0,COUNTIF('4_imgsummary'!E5:N5,"FVI")*100/M5)</f>
        <v>0</v>
      </c>
      <c r="AJ5">
        <f>IF(M5=0,0,COUNTIF('4_imgsummary'!E5:N5,"CMR")*100/M5)</f>
        <v>0</v>
      </c>
      <c r="AK5">
        <f>IF(M5=0,0,COUNTIF('4_imgsummary'!E5:N5,"GAL")*100/M5)</f>
        <v>0</v>
      </c>
      <c r="AL5">
        <f>IF(M5=0,0,COUNTIF('4_imgsummary'!E5:N5,"GONIA")*100/M5)</f>
        <v>0</v>
      </c>
      <c r="AM5">
        <f>IF(M5=0,0,COUNTIF('4_imgsummary'!E5:N5,"GONIO")*100/M5)</f>
        <v>0</v>
      </c>
      <c r="AN5">
        <f>IF(M5=0,0,COUNTIF('4_imgsummary'!E5:N5,"HEL")*100/M5)</f>
        <v>0</v>
      </c>
      <c r="AO5">
        <f>IF(M5=0,0,COUNTIF('4_imgsummary'!E5:N5,"HYD")*100/M5)</f>
        <v>0</v>
      </c>
      <c r="AP5">
        <f>IF(M5=0,0,COUNTIF('4_imgsummary'!E5:N5,"ISO")*100/M5)</f>
        <v>0</v>
      </c>
      <c r="AQ5">
        <f>IF(M5=0,0,COUNTIF('4_imgsummary'!E5:N5,"LEPA")*100/M5)</f>
        <v>0</v>
      </c>
      <c r="AR5">
        <f>IF(M5=0,0,COUNTIF('4_imgsummary'!E5:N5,"LEPS")*100/M5)</f>
        <v>0</v>
      </c>
      <c r="AS5">
        <f>IF(M5=0,0,COUNTIF('4_imgsummary'!E5:N5,"LOB")*100/M5)</f>
        <v>0</v>
      </c>
      <c r="AT5" s="26">
        <f>IF(M5=0,0,COUNTIF('4_imgsummary'!E5:N5,"MER")*100/M5)</f>
        <v>10</v>
      </c>
      <c r="AU5">
        <f>IF(M5=0,0,COUNTIF('4_imgsummary'!E5:N5,"MILL")*100/M5)</f>
        <v>0</v>
      </c>
      <c r="AV5">
        <f>IF(M5=0,0,COUNTIF('4_imgsummary'!E5:N5,"MON")*100/M5)</f>
        <v>0</v>
      </c>
      <c r="AW5">
        <f>IF(M5=0,0,COUNTIF('4_imgsummary'!E5:N5,"MONTB")*100/M5)</f>
        <v>0</v>
      </c>
      <c r="AX5">
        <f>IF(M5=0,0,COUNTIF('4_imgsummary'!E5:N5,"MONTE")*100/M5)</f>
        <v>0</v>
      </c>
      <c r="AY5">
        <f>IF(M5=0,0,COUNTIF('4_imgsummary'!E5:N5,"MONTF")*100/M5)</f>
        <v>0</v>
      </c>
      <c r="AZ5">
        <f>IF(M5=0,0,COUNTIF('4_imgsummary'!E5:N5,"MYC")*100/M5)</f>
        <v>0</v>
      </c>
      <c r="BA5">
        <f>IF(M5=0,0,COUNTIF('4_imgsummary'!E5:N5,"CB")*100/M5)</f>
        <v>0</v>
      </c>
      <c r="BB5" s="26">
        <f>IF(M5=0,0,COUNTIF('4_imgsummary'!E5:N5,"BUB")*100/M5)</f>
        <v>10</v>
      </c>
      <c r="BC5">
        <f>IF(M5=0,0,COUNTIF('4_imgsummary'!E5:N5,"CE")*100/M5)</f>
        <v>0</v>
      </c>
      <c r="BD5">
        <f>IF(M5=0,0,COUNTIF('4_imgsummary'!E5:N5,"CF")*100/M5)</f>
        <v>0</v>
      </c>
      <c r="BE5">
        <f>IF(M5=0,0,COUNTIF('4_imgsummary'!E5:N5,"FOT")*100/M5)</f>
        <v>0</v>
      </c>
      <c r="BF5">
        <f>IF(M5=0,0,COUNTIF('4_imgsummary'!E5:N5,"CM")*100/M5)</f>
        <v>0</v>
      </c>
      <c r="BG5">
        <f>IF(M5=0,0,COUNTIF('4_imgsummary'!E5:N5,"OULA")*100/M5)</f>
        <v>0</v>
      </c>
      <c r="BH5">
        <f>IF(M5=0,0,COUNTIF('4_imgsummary'!E5:N5,"OULO")*100/M5)</f>
        <v>0</v>
      </c>
      <c r="BI5">
        <f>IF(M5=0,0,COUNTIF('4_imgsummary'!E5:N5,"OXY")*100/M5)</f>
        <v>0</v>
      </c>
      <c r="BJ5">
        <f>IF(M5=0,0,COUNTIF('4_imgsummary'!E5:N5,"PACE")*100/M5)</f>
        <v>0</v>
      </c>
      <c r="BK5">
        <f>IF(M5=0,0,COUNTIF('4_imgsummary'!E5:N5,"PACF")*100/M5)</f>
        <v>0</v>
      </c>
      <c r="BL5">
        <f>IF(M5=0,0,COUNTIF('4_imgsummary'!E5:N5,"PAV")*100/M5)</f>
        <v>0</v>
      </c>
      <c r="BM5" s="26">
        <f>IF(M5=0,0,COUNTIF('4_imgsummary'!E5:N5,"PEC")*100/M5)</f>
        <v>10</v>
      </c>
      <c r="BN5">
        <f>IF(M5=0,0,COUNTIF('4_imgsummary'!E5:N5,"PLAT")*100/M5)</f>
        <v>0</v>
      </c>
      <c r="BO5">
        <f>IF(M5=0,0,COUNTIF('4_imgsummary'!E5:N5,"POC")*100/M5)</f>
        <v>0</v>
      </c>
      <c r="BP5">
        <f>IF(M5=0,0,COUNTIF('4_imgsummary'!E5:N5,"PORB")*100/M5)</f>
        <v>0</v>
      </c>
      <c r="BQ5">
        <f>IF(M5=0,0,COUNTIF('4_imgsummary'!E5:N5,"PORE")*100/M5)</f>
        <v>0</v>
      </c>
      <c r="BR5">
        <f>IF(M5=0,0,COUNTIF('4_imgsummary'!E5:N5,"PORM")*100/M5)</f>
        <v>0</v>
      </c>
      <c r="BS5">
        <f>IF(M5=0,0,COUNTIF('4_imgsummary'!E5:N5,"SER")*100/M5)</f>
        <v>0</v>
      </c>
      <c r="BT5" s="26">
        <f>IF(M5=0,0,COUNTIF('4_imgsummary'!E5:N5,"STY")*100/M5)</f>
        <v>10</v>
      </c>
      <c r="BU5">
        <f>IF(M5=0,0,COUNTIF('4_imgsummary'!E5:N5,"SYM")*100/M5)</f>
        <v>0</v>
      </c>
      <c r="BV5">
        <f>IF(M5=0,0,COUNTIF('4_imgsummary'!E5:N5,"TUBI")*100/M5)</f>
        <v>0</v>
      </c>
      <c r="BW5">
        <f>IF(M5=0,0,COUNTIF('4_imgsummary'!E5:N5,"TURB")*100/M5)</f>
        <v>0</v>
      </c>
      <c r="BX5">
        <f>IF(M5=0,0,COUNTIF('4_imgsummary'!E5:N5,"ZACRF")*100/M5)</f>
        <v>0</v>
      </c>
      <c r="BY5">
        <f>IF(M5=0,0,COUNTIF('4_imgsummary'!E5:N5,"ZAGARF")*100/M5)</f>
        <v>0</v>
      </c>
      <c r="BZ5">
        <f>IF(M5=0,0,COUNTIF('4_imgsummary'!E5:N5,"ZAGATF")*100/M5)</f>
        <v>0</v>
      </c>
      <c r="CA5">
        <f>IF(M5=0,0,COUNTIF('4_imgsummary'!E5:N5,"ZDENF")*100/M5)</f>
        <v>0</v>
      </c>
      <c r="CB5">
        <f>IF(M5=0,0,COUNTIF('4_imgsummary'!E5:N5,"ZEUPF")*100/M5)</f>
        <v>0</v>
      </c>
      <c r="CC5">
        <f>IF(M5=0,0,COUNTIF('4_imgsummary'!E5:N5,"ZFAVF")*100/M5)</f>
        <v>0</v>
      </c>
      <c r="CD5">
        <f>IF(M5=0,0,COUNTIF('4_imgsummary'!E5:N5,"ZCMRF")*100/M5)</f>
        <v>0</v>
      </c>
      <c r="CE5">
        <f>IF(M5=0,0,COUNTIF('4_imgsummary'!E5:N5,"ZMUSF")*100/M5)</f>
        <v>0</v>
      </c>
      <c r="CF5">
        <f>IF(M5=0,0,COUNTIF('4_imgsummary'!E5:N5,"ZNSC")*100/M5)</f>
        <v>0</v>
      </c>
      <c r="CG5">
        <f>IF(M5=0,0,COUNTIF('4_imgsummary'!E5:N5,"ZOC")*100/M5)</f>
        <v>0</v>
      </c>
      <c r="CH5">
        <f>IF(M5=0,0,COUNTIF('4_imgsummary'!E5:N5,"ZPOCF")*100/M5)</f>
        <v>0</v>
      </c>
      <c r="CI5">
        <f>IF(M5=0,0,COUNTIF('4_imgsummary'!E5:N5,"ZPORF")*100/M5)</f>
        <v>0</v>
      </c>
      <c r="CK5" s="26">
        <f>IF(M5=0,0,COUNTIF('4_imgsummary'!E5:N5,"AA")*100/M5)</f>
        <v>20</v>
      </c>
      <c r="CL5" s="26">
        <f>IF(M5=0,0,COUNTIF('4_imgsummary'!E5:N5,"CA")*100/M5)</f>
        <v>20</v>
      </c>
      <c r="CM5" s="26">
        <f>IF(M5=0,0,COUNTIF('4_imgsummary'!E5:N5,"DC")*100/M5)</f>
        <v>10</v>
      </c>
      <c r="CN5">
        <f>IF(M5=0,0,COUNTIF('4_imgsummary'!E5:N5,"DCA")*100/M5)</f>
        <v>0</v>
      </c>
      <c r="CO5">
        <f>IF(M5=0,0,COUNTIF('4_imgsummary'!E5:N5,"DIS")*100/M5)</f>
        <v>0</v>
      </c>
      <c r="CQ5">
        <f>IF(M5=0,0,COUNTIF('4_imgsummary'!E5:N5,"GRV")*100/M5)</f>
        <v>0</v>
      </c>
      <c r="CR5">
        <f>IF(M5=0,0,COUNTIF('4_imgsummary'!E5:N5,"R")*100/M5)</f>
        <v>0</v>
      </c>
      <c r="CS5">
        <f>IF(M5=0,0,COUNTIF('4_imgsummary'!E5:N5,"S")*100/M5)</f>
        <v>0</v>
      </c>
      <c r="CT5">
        <f>IF(M5=0,0,COUNTIF('4_imgsummary'!E5:N5,"RCK")*100/M5)</f>
        <v>0</v>
      </c>
      <c r="CU5">
        <f>IF(M5=0,0,COUNTIF('4_imgsummary'!E5:N5,"SI")*100/M5)</f>
        <v>0</v>
      </c>
      <c r="CW5">
        <f>IF(M5=0,0,COUNTIF('4_imgsummary'!E5:N5,"COD")*100/M5)</f>
        <v>0</v>
      </c>
      <c r="CX5">
        <f>IF(M5=0,0,COUNTIF('4_imgsummary'!E5:N5,"KAPP")*100/M5)</f>
        <v>0</v>
      </c>
      <c r="CY5">
        <f>IF(M5=0,0,COUNTIF('4_imgsummary'!E5:N5,"MA")*100/M5)</f>
        <v>0</v>
      </c>
      <c r="CZ5">
        <f>IF(M5=0,0,COUNTIF('4_imgsummary'!E5:N5,"SARG")*100/M5)</f>
        <v>0</v>
      </c>
      <c r="DB5">
        <f>IF(M5=0,0,COUNTIF('4_imgsummary'!E5:N5,"HA")*100/M5)</f>
        <v>0</v>
      </c>
      <c r="DD5">
        <f>IF(M5=0,0,COUNTIF('4_imgsummary'!E5:N5,"COTS")*100/M5)</f>
        <v>0</v>
      </c>
      <c r="DE5">
        <f>IF(M5=0,0,COUNTIF('4_imgsummary'!E5:N5,"COR")*100/M5)</f>
        <v>0</v>
      </c>
      <c r="DF5">
        <f>IF(M5=0,0,COUNTIF('4_imgsummary'!E5:N5,"DIA")*100/M5)</f>
        <v>0</v>
      </c>
      <c r="DG5">
        <f>IF(M5=0,0,COUNTIF('4_imgsummary'!E5:N5,"GORG")*100/M5)</f>
        <v>0</v>
      </c>
      <c r="DH5">
        <f>IF(M5=0,0,COUNTIF('4_imgsummary'!E5:N5,"ISIS")*100/M5)</f>
        <v>0</v>
      </c>
      <c r="DI5">
        <f>IF(M5=0,0,COUNTIF('4_imgsummary'!E5:N5,"OT")*100/M5)</f>
        <v>0</v>
      </c>
      <c r="DJ5">
        <f>IF(M5=0,0,COUNTIF('4_imgsummary'!E5:N5,"SG")*100/M5)</f>
        <v>0</v>
      </c>
      <c r="DK5">
        <f>IF(M5=0,0,COUNTIF('4_imgsummary'!E5:N5,"SC")*100/M5)</f>
        <v>0</v>
      </c>
      <c r="DL5" s="26">
        <f>IF(M5=0,0,COUNTIF('4_imgsummary'!E5:N5,"SP")*100/M5)</f>
        <v>10</v>
      </c>
      <c r="DM5">
        <f>IF(M5=0,0,COUNTIF('4_imgsummary'!E5:N5,"ZO")*100/M5)</f>
        <v>0</v>
      </c>
      <c r="DO5">
        <f>IF(M5=0,0,COUNTIF('4_imgsummary'!E5:N5,"TWB")*100/M5)</f>
        <v>0</v>
      </c>
      <c r="DQ5">
        <f>IF(M5=0,0,COUNTIF('4_imgsummary'!Y5:AH5,"COR")*100/M5)</f>
        <v>0</v>
      </c>
      <c r="DR5">
        <f>IF(M5=0,0,COUNTIF('4_imgsummary'!Y5:AH5,"COTS")*100/M5)</f>
        <v>0</v>
      </c>
      <c r="DS5">
        <f>IF(M5=0,0,COUNTIF('4_imgsummary'!Y5:AH5,"DIA")*100/M5)</f>
        <v>0</v>
      </c>
      <c r="DT5">
        <f>IF(M5=0,0,COUNTIF('4_imgsummary'!Y5:AH5,"GORG")*100/M5)</f>
        <v>0</v>
      </c>
      <c r="DU5">
        <f>IF(M5=0,0,COUNTIF('4_imgsummary'!Y5:AH5,"ISIS")*100/M5)</f>
        <v>0</v>
      </c>
      <c r="DV5">
        <f>IF(M5=0,0,COUNTIF('4_imgsummary'!Y5:AH5,"DIS")*100/M5)</f>
        <v>0</v>
      </c>
      <c r="DW5">
        <f>IF(M5=0,0,COUNTIF('4_imgsummary'!Y5:AH5,"BLEC")*100/M5)</f>
        <v>0</v>
      </c>
      <c r="DX5">
        <f>IF(M5=0,0,COUNTIF('4_imgsummary'!Y5:AH5,"COD")*100/M5)</f>
        <v>0</v>
      </c>
      <c r="DY5">
        <f>IF(M5=0,0,COUNTIF('4_imgsummary'!Y5:AH5,"KAPP")*100/M5)</f>
        <v>0</v>
      </c>
      <c r="DZ5">
        <f>IF(M5=0,0,COUNTIF('4_imgsummary'!Y5:AH5,"SARG")*100/M5)</f>
        <v>0</v>
      </c>
      <c r="EA5">
        <f>IF(M5=0,0,COUNTIF('4_imgsummary'!Y5:AH5,"ZACRF")*100/M5)</f>
        <v>0</v>
      </c>
      <c r="EB5">
        <f>IF(M5=0,0,COUNTIF('4_imgsummary'!Y5:AH5,"ZAGARF")*100/M5)</f>
        <v>0</v>
      </c>
      <c r="EC5">
        <f>IF(M5=0,0,COUNTIF('4_imgsummary'!Y5:AH5,"ZAGATF")*100/M5)</f>
        <v>0</v>
      </c>
      <c r="ED5">
        <f>IF(M5=0,0,COUNTIF('4_imgsummary'!Y5:AH5,"ZCMRF")*100/M5)</f>
        <v>0</v>
      </c>
      <c r="EE5">
        <f>IF(M5=0,0,COUNTIF('4_imgsummary'!Y5:AH5,"ZDENF")*100/M5)</f>
        <v>0</v>
      </c>
      <c r="EF5">
        <f>IF(M5=0,0,COUNTIF('4_imgsummary'!Y5:AH5,"ZEUPF")*100/M5)</f>
        <v>0</v>
      </c>
      <c r="EG5">
        <f>IF(M5=0,0,COUNTIF('4_imgsummary'!Y5:AH5,"ZFAVF")*100/M5)</f>
        <v>0</v>
      </c>
      <c r="EH5">
        <f>IF(M5=0,0,COUNTIF('4_imgsummary'!Y5:AH5,"ZMUSF")*100/M5)</f>
        <v>0</v>
      </c>
      <c r="EI5">
        <f>IF(M5=0,0,COUNTIF('4_imgsummary'!Y5:AH5,"ZNSC")*100/M5)</f>
        <v>0</v>
      </c>
      <c r="EJ5">
        <f>IF(M5=0,0,COUNTIF('4_imgsummary'!Y5:AH5,"ZOC")*100/M5)</f>
        <v>0</v>
      </c>
      <c r="EK5">
        <f>IF(M5=0,0,COUNTIF('4_imgsummary'!Y5:AH5,"ZPOCF")*100/M5)</f>
        <v>0</v>
      </c>
      <c r="EL5">
        <f>IF(M5=0,0,COUNTIF('4_imgsummary'!Y5:AH5,"ZPORF")*100/M5)</f>
        <v>0</v>
      </c>
    </row>
    <row r="6" spans="1:142" x14ac:dyDescent="0.35">
      <c r="A6">
        <v>4</v>
      </c>
      <c r="B6" t="s">
        <v>57</v>
      </c>
      <c r="F6" s="26">
        <f>IF(M6=0,0,COUNTIF('4_imgsummary'!O6:X6,"HC")*100/M6)</f>
        <v>80</v>
      </c>
      <c r="G6">
        <f>IF(M6=0,0,COUNTIF('4_imgsummary'!O6:X6,"AA")*100/M6)</f>
        <v>0</v>
      </c>
      <c r="H6">
        <f>IF(M6=0,0,COUNTIF('4_imgsummary'!O6:X6,"AB")*100/M6)</f>
        <v>0</v>
      </c>
      <c r="I6">
        <f>IF(M6=0,0,COUNTIF('4_imgsummary'!O6:X6,"MA")*100/M6)</f>
        <v>0</v>
      </c>
      <c r="J6">
        <f>IF(M6=0,0,COUNTIF('4_imgsummary'!O6:X6,"HA")*100/M6)</f>
        <v>0</v>
      </c>
      <c r="K6">
        <f>IF(M6=0,0,COUNTIF('4_imgsummary'!O6:X6,"OB")*100/M6)</f>
        <v>0</v>
      </c>
      <c r="L6" s="26">
        <f>IF(M6=0,0,COUNTIF('4_imgsummary'!O6:X6,"TWB")*100/M6)</f>
        <v>20</v>
      </c>
      <c r="M6">
        <f>10-COUNTIF('4_imgsummary'!O6:X6,"TWS")</f>
        <v>10</v>
      </c>
      <c r="P6">
        <f>IF(M6=0,0,COUNTIF('4_imgsummary'!E6:N6,"ACAN")*100/M6)</f>
        <v>0</v>
      </c>
      <c r="Q6">
        <f>IF(M6=0,0,COUNTIF('4_imgsummary'!E6:N6,"ACB")*100/M6)</f>
        <v>0</v>
      </c>
      <c r="R6">
        <f>IF(M6=0,0,COUNTIF('4_imgsummary'!E6:N6,"ACC")*100/M6)</f>
        <v>0</v>
      </c>
      <c r="S6">
        <f>IF(M6=0,0,COUNTIF('4_imgsummary'!E6:N6,"ACD")*100/M6)</f>
        <v>0</v>
      </c>
      <c r="T6">
        <f>IF(M6=0,0,COUNTIF('4_imgsummary'!E6:N6,"ACH")*100/M6)</f>
        <v>0</v>
      </c>
      <c r="U6">
        <f>IF(M6=0,0,COUNTIF('4_imgsummary'!E6:N6,"ACT")*100/M6)</f>
        <v>0</v>
      </c>
      <c r="V6">
        <f>IF(M6=0,0,COUNTIF('4_imgsummary'!E6:N6,"ACR")*100/M6)</f>
        <v>0</v>
      </c>
      <c r="W6">
        <f>IF(M6=0,0,COUNTIF('4_imgsummary'!E6:N6,"AST")*100/M6)</f>
        <v>0</v>
      </c>
      <c r="X6">
        <f>IF(M6=0,0,COUNTIF('4_imgsummary'!E6:N6,"AF")*100/M6)</f>
        <v>0</v>
      </c>
      <c r="Y6">
        <f>IF(M6=0,0,COUNTIF('4_imgsummary'!E6:N6,"BLEC")*100/M6)</f>
        <v>0</v>
      </c>
      <c r="Z6">
        <f>IF(M6=0,0,COUNTIF('4_imgsummary'!E6:N6,"CAU")*100/M6)</f>
        <v>0</v>
      </c>
      <c r="AA6">
        <f>IF(M6=0,0,COUNTIF('4_imgsummary'!E6:N6,"COE")*100/M6)</f>
        <v>0</v>
      </c>
      <c r="AB6">
        <f>IF(M6=0,0,COUNTIF('4_imgsummary'!E6:N6,"COS")*100/M6)</f>
        <v>0</v>
      </c>
      <c r="AC6">
        <f>IF(M6=0,0,COUNTIF('4_imgsummary'!E6:N6,"CYP")*100/M6)</f>
        <v>0</v>
      </c>
      <c r="AD6">
        <f>IF(M6=0,0,COUNTIF('4_imgsummary'!E6:N6,"DIP")*100/M6)</f>
        <v>0</v>
      </c>
      <c r="AE6">
        <f>IF(M6=0,0,COUNTIF('4_imgsummary'!E6:N6,"ECHY")*100/M6)</f>
        <v>0</v>
      </c>
      <c r="AF6">
        <f>IF(M6=0,0,COUNTIF('4_imgsummary'!E6:N6,"ECHI")*100/M6)</f>
        <v>0</v>
      </c>
      <c r="AG6">
        <f>IF(M6=0,0,COUNTIF('4_imgsummary'!E6:N6,"EUP")*100/M6)</f>
        <v>0</v>
      </c>
      <c r="AH6">
        <f>IF(M6=0,0,COUNTIF('4_imgsummary'!E6:N6,"FAV")*100/M6)</f>
        <v>0</v>
      </c>
      <c r="AI6">
        <f>IF(M6=0,0,COUNTIF('4_imgsummary'!E6:N6,"FVI")*100/M6)</f>
        <v>0</v>
      </c>
      <c r="AJ6">
        <f>IF(M6=0,0,COUNTIF('4_imgsummary'!E6:N6,"CMR")*100/M6)</f>
        <v>0</v>
      </c>
      <c r="AK6">
        <f>IF(M6=0,0,COUNTIF('4_imgsummary'!E6:N6,"GAL")*100/M6)</f>
        <v>0</v>
      </c>
      <c r="AL6">
        <f>IF(M6=0,0,COUNTIF('4_imgsummary'!E6:N6,"GONIA")*100/M6)</f>
        <v>0</v>
      </c>
      <c r="AM6" s="26">
        <f>IF(M6=0,0,COUNTIF('4_imgsummary'!E6:N6,"GONIO")*100/M6)</f>
        <v>10</v>
      </c>
      <c r="AN6">
        <f>IF(M6=0,0,COUNTIF('4_imgsummary'!E6:N6,"HEL")*100/M6)</f>
        <v>0</v>
      </c>
      <c r="AO6">
        <f>IF(M6=0,0,COUNTIF('4_imgsummary'!E6:N6,"HYD")*100/M6)</f>
        <v>0</v>
      </c>
      <c r="AP6" s="26">
        <f>IF(M6=0,0,COUNTIF('4_imgsummary'!E6:N6,"ISO")*100/M6)</f>
        <v>10</v>
      </c>
      <c r="AQ6">
        <f>IF(M6=0,0,COUNTIF('4_imgsummary'!E6:N6,"LEPA")*100/M6)</f>
        <v>0</v>
      </c>
      <c r="AR6" s="26">
        <f>IF(M6=0,0,COUNTIF('4_imgsummary'!E6:N6,"LEPS")*100/M6)</f>
        <v>10</v>
      </c>
      <c r="AS6">
        <f>IF(M6=0,0,COUNTIF('4_imgsummary'!E6:N6,"LOB")*100/M6)</f>
        <v>0</v>
      </c>
      <c r="AT6">
        <f>IF(M6=0,0,COUNTIF('4_imgsummary'!E6:N6,"MER")*100/M6)</f>
        <v>0</v>
      </c>
      <c r="AU6">
        <f>IF(M6=0,0,COUNTIF('4_imgsummary'!E6:N6,"MILL")*100/M6)</f>
        <v>0</v>
      </c>
      <c r="AV6">
        <f>IF(M6=0,0,COUNTIF('4_imgsummary'!E6:N6,"MON")*100/M6)</f>
        <v>0</v>
      </c>
      <c r="AW6">
        <f>IF(M6=0,0,COUNTIF('4_imgsummary'!E6:N6,"MONTB")*100/M6)</f>
        <v>0</v>
      </c>
      <c r="AX6">
        <f>IF(M6=0,0,COUNTIF('4_imgsummary'!E6:N6,"MONTE")*100/M6)</f>
        <v>0</v>
      </c>
      <c r="AY6">
        <f>IF(M6=0,0,COUNTIF('4_imgsummary'!E6:N6,"MONTF")*100/M6)</f>
        <v>0</v>
      </c>
      <c r="AZ6">
        <f>IF(M6=0,0,COUNTIF('4_imgsummary'!E6:N6,"MYC")*100/M6)</f>
        <v>0</v>
      </c>
      <c r="BA6" s="26">
        <f>IF(M6=0,0,COUNTIF('4_imgsummary'!E6:N6,"CB")*100/M6)</f>
        <v>10</v>
      </c>
      <c r="BB6">
        <f>IF(M6=0,0,COUNTIF('4_imgsummary'!E6:N6,"BUB")*100/M6)</f>
        <v>0</v>
      </c>
      <c r="BC6" s="26">
        <f>IF(M6=0,0,COUNTIF('4_imgsummary'!E6:N6,"CE")*100/M6)</f>
        <v>30</v>
      </c>
      <c r="BD6">
        <f>IF(M6=0,0,COUNTIF('4_imgsummary'!E6:N6,"CF")*100/M6)</f>
        <v>0</v>
      </c>
      <c r="BE6">
        <f>IF(M6=0,0,COUNTIF('4_imgsummary'!E6:N6,"FOT")*100/M6)</f>
        <v>0</v>
      </c>
      <c r="BF6">
        <f>IF(M6=0,0,COUNTIF('4_imgsummary'!E6:N6,"CM")*100/M6)</f>
        <v>0</v>
      </c>
      <c r="BG6">
        <f>IF(M6=0,0,COUNTIF('4_imgsummary'!E6:N6,"OULA")*100/M6)</f>
        <v>0</v>
      </c>
      <c r="BH6">
        <f>IF(M6=0,0,COUNTIF('4_imgsummary'!E6:N6,"OULO")*100/M6)</f>
        <v>0</v>
      </c>
      <c r="BI6">
        <f>IF(M6=0,0,COUNTIF('4_imgsummary'!E6:N6,"OXY")*100/M6)</f>
        <v>0</v>
      </c>
      <c r="BJ6">
        <f>IF(M6=0,0,COUNTIF('4_imgsummary'!E6:N6,"PACE")*100/M6)</f>
        <v>0</v>
      </c>
      <c r="BK6">
        <f>IF(M6=0,0,COUNTIF('4_imgsummary'!E6:N6,"PACF")*100/M6)</f>
        <v>0</v>
      </c>
      <c r="BL6">
        <f>IF(M6=0,0,COUNTIF('4_imgsummary'!E6:N6,"PAV")*100/M6)</f>
        <v>0</v>
      </c>
      <c r="BM6">
        <f>IF(M6=0,0,COUNTIF('4_imgsummary'!E6:N6,"PEC")*100/M6)</f>
        <v>0</v>
      </c>
      <c r="BN6">
        <f>IF(M6=0,0,COUNTIF('4_imgsummary'!E6:N6,"PLAT")*100/M6)</f>
        <v>0</v>
      </c>
      <c r="BO6">
        <f>IF(M6=0,0,COUNTIF('4_imgsummary'!E6:N6,"POC")*100/M6)</f>
        <v>0</v>
      </c>
      <c r="BP6">
        <f>IF(M6=0,0,COUNTIF('4_imgsummary'!E6:N6,"PORB")*100/M6)</f>
        <v>0</v>
      </c>
      <c r="BQ6">
        <f>IF(M6=0,0,COUNTIF('4_imgsummary'!E6:N6,"PORE")*100/M6)</f>
        <v>0</v>
      </c>
      <c r="BR6" s="26">
        <f>IF(M6=0,0,COUNTIF('4_imgsummary'!E6:N6,"PORM")*100/M6)</f>
        <v>10</v>
      </c>
      <c r="BS6">
        <f>IF(M6=0,0,COUNTIF('4_imgsummary'!E6:N6,"SER")*100/M6)</f>
        <v>0</v>
      </c>
      <c r="BT6">
        <f>IF(M6=0,0,COUNTIF('4_imgsummary'!E6:N6,"STY")*100/M6)</f>
        <v>0</v>
      </c>
      <c r="BU6">
        <f>IF(M6=0,0,COUNTIF('4_imgsummary'!E6:N6,"SYM")*100/M6)</f>
        <v>0</v>
      </c>
      <c r="BV6">
        <f>IF(M6=0,0,COUNTIF('4_imgsummary'!E6:N6,"TUBI")*100/M6)</f>
        <v>0</v>
      </c>
      <c r="BW6">
        <f>IF(M6=0,0,COUNTIF('4_imgsummary'!E6:N6,"TURB")*100/M6)</f>
        <v>0</v>
      </c>
      <c r="BX6">
        <f>IF(M6=0,0,COUNTIF('4_imgsummary'!E6:N6,"ZACRF")*100/M6)</f>
        <v>0</v>
      </c>
      <c r="BY6">
        <f>IF(M6=0,0,COUNTIF('4_imgsummary'!E6:N6,"ZAGARF")*100/M6)</f>
        <v>0</v>
      </c>
      <c r="BZ6">
        <f>IF(M6=0,0,COUNTIF('4_imgsummary'!E6:N6,"ZAGATF")*100/M6)</f>
        <v>0</v>
      </c>
      <c r="CA6">
        <f>IF(M6=0,0,COUNTIF('4_imgsummary'!E6:N6,"ZDENF")*100/M6)</f>
        <v>0</v>
      </c>
      <c r="CB6">
        <f>IF(M6=0,0,COUNTIF('4_imgsummary'!E6:N6,"ZEUPF")*100/M6)</f>
        <v>0</v>
      </c>
      <c r="CC6">
        <f>IF(M6=0,0,COUNTIF('4_imgsummary'!E6:N6,"ZFAVF")*100/M6)</f>
        <v>0</v>
      </c>
      <c r="CD6">
        <f>IF(M6=0,0,COUNTIF('4_imgsummary'!E6:N6,"ZCMRF")*100/M6)</f>
        <v>0</v>
      </c>
      <c r="CE6">
        <f>IF(M6=0,0,COUNTIF('4_imgsummary'!E6:N6,"ZMUSF")*100/M6)</f>
        <v>0</v>
      </c>
      <c r="CF6">
        <f>IF(M6=0,0,COUNTIF('4_imgsummary'!E6:N6,"ZNSC")*100/M6)</f>
        <v>0</v>
      </c>
      <c r="CG6">
        <f>IF(M6=0,0,COUNTIF('4_imgsummary'!E6:N6,"ZOC")*100/M6)</f>
        <v>0</v>
      </c>
      <c r="CH6">
        <f>IF(M6=0,0,COUNTIF('4_imgsummary'!E6:N6,"ZPOCF")*100/M6)</f>
        <v>0</v>
      </c>
      <c r="CI6">
        <f>IF(M6=0,0,COUNTIF('4_imgsummary'!E6:N6,"ZPORF")*100/M6)</f>
        <v>0</v>
      </c>
      <c r="CK6">
        <f>IF(M6=0,0,COUNTIF('4_imgsummary'!E6:N6,"AA")*100/M6)</f>
        <v>0</v>
      </c>
      <c r="CL6">
        <f>IF(M6=0,0,COUNTIF('4_imgsummary'!E6:N6,"CA")*100/M6)</f>
        <v>0</v>
      </c>
      <c r="CM6">
        <f>IF(M6=0,0,COUNTIF('4_imgsummary'!E6:N6,"DC")*100/M6)</f>
        <v>0</v>
      </c>
      <c r="CN6">
        <f>IF(M6=0,0,COUNTIF('4_imgsummary'!E6:N6,"DCA")*100/M6)</f>
        <v>0</v>
      </c>
      <c r="CO6">
        <f>IF(M6=0,0,COUNTIF('4_imgsummary'!E6:N6,"DIS")*100/M6)</f>
        <v>0</v>
      </c>
      <c r="CQ6">
        <f>IF(M6=0,0,COUNTIF('4_imgsummary'!E6:N6,"GRV")*100/M6)</f>
        <v>0</v>
      </c>
      <c r="CR6">
        <f>IF(M6=0,0,COUNTIF('4_imgsummary'!E6:N6,"R")*100/M6)</f>
        <v>0</v>
      </c>
      <c r="CS6">
        <f>IF(M6=0,0,COUNTIF('4_imgsummary'!E6:N6,"S")*100/M6)</f>
        <v>0</v>
      </c>
      <c r="CT6">
        <f>IF(M6=0,0,COUNTIF('4_imgsummary'!E6:N6,"RCK")*100/M6)</f>
        <v>0</v>
      </c>
      <c r="CU6">
        <f>IF(M6=0,0,COUNTIF('4_imgsummary'!E6:N6,"SI")*100/M6)</f>
        <v>0</v>
      </c>
      <c r="CW6">
        <f>IF(M6=0,0,COUNTIF('4_imgsummary'!E6:N6,"COD")*100/M6)</f>
        <v>0</v>
      </c>
      <c r="CX6">
        <f>IF(M6=0,0,COUNTIF('4_imgsummary'!E6:N6,"KAPP")*100/M6)</f>
        <v>0</v>
      </c>
      <c r="CY6">
        <f>IF(M6=0,0,COUNTIF('4_imgsummary'!E6:N6,"MA")*100/M6)</f>
        <v>0</v>
      </c>
      <c r="CZ6">
        <f>IF(M6=0,0,COUNTIF('4_imgsummary'!E6:N6,"SARG")*100/M6)</f>
        <v>0</v>
      </c>
      <c r="DB6">
        <f>IF(M6=0,0,COUNTIF('4_imgsummary'!E6:N6,"HA")*100/M6)</f>
        <v>0</v>
      </c>
      <c r="DD6">
        <f>IF(M6=0,0,COUNTIF('4_imgsummary'!E6:N6,"COTS")*100/M6)</f>
        <v>0</v>
      </c>
      <c r="DE6">
        <f>IF(M6=0,0,COUNTIF('4_imgsummary'!E6:N6,"COR")*100/M6)</f>
        <v>0</v>
      </c>
      <c r="DF6">
        <f>IF(M6=0,0,COUNTIF('4_imgsummary'!E6:N6,"DIA")*100/M6)</f>
        <v>0</v>
      </c>
      <c r="DG6">
        <f>IF(M6=0,0,COUNTIF('4_imgsummary'!E6:N6,"GORG")*100/M6)</f>
        <v>0</v>
      </c>
      <c r="DH6">
        <f>IF(M6=0,0,COUNTIF('4_imgsummary'!E6:N6,"ISIS")*100/M6)</f>
        <v>0</v>
      </c>
      <c r="DI6">
        <f>IF(M6=0,0,COUNTIF('4_imgsummary'!E6:N6,"OT")*100/M6)</f>
        <v>0</v>
      </c>
      <c r="DJ6">
        <f>IF(M6=0,0,COUNTIF('4_imgsummary'!E6:N6,"SG")*100/M6)</f>
        <v>0</v>
      </c>
      <c r="DK6">
        <f>IF(M6=0,0,COUNTIF('4_imgsummary'!E6:N6,"SC")*100/M6)</f>
        <v>0</v>
      </c>
      <c r="DL6">
        <f>IF(M6=0,0,COUNTIF('4_imgsummary'!E6:N6,"SP")*100/M6)</f>
        <v>0</v>
      </c>
      <c r="DM6">
        <f>IF(M6=0,0,COUNTIF('4_imgsummary'!E6:N6,"ZO")*100/M6)</f>
        <v>0</v>
      </c>
      <c r="DO6" s="26">
        <f>IF(M6=0,0,COUNTIF('4_imgsummary'!E6:N6,"TWB")*100/M6)</f>
        <v>20</v>
      </c>
      <c r="DQ6">
        <f>IF(M6=0,0,COUNTIF('4_imgsummary'!Y6:AH6,"COR")*100/M6)</f>
        <v>0</v>
      </c>
      <c r="DR6">
        <f>IF(M6=0,0,COUNTIF('4_imgsummary'!Y6:AH6,"COTS")*100/M6)</f>
        <v>0</v>
      </c>
      <c r="DS6">
        <f>IF(M6=0,0,COUNTIF('4_imgsummary'!Y6:AH6,"DIA")*100/M6)</f>
        <v>0</v>
      </c>
      <c r="DT6">
        <f>IF(M6=0,0,COUNTIF('4_imgsummary'!Y6:AH6,"GORG")*100/M6)</f>
        <v>0</v>
      </c>
      <c r="DU6">
        <f>IF(M6=0,0,COUNTIF('4_imgsummary'!Y6:AH6,"ISIS")*100/M6)</f>
        <v>0</v>
      </c>
      <c r="DV6">
        <f>IF(M6=0,0,COUNTIF('4_imgsummary'!Y6:AH6,"DIS")*100/M6)</f>
        <v>0</v>
      </c>
      <c r="DW6">
        <f>IF(M6=0,0,COUNTIF('4_imgsummary'!Y6:AH6,"BLEC")*100/M6)</f>
        <v>0</v>
      </c>
      <c r="DX6">
        <f>IF(M6=0,0,COUNTIF('4_imgsummary'!Y6:AH6,"COD")*100/M6)</f>
        <v>0</v>
      </c>
      <c r="DY6">
        <f>IF(M6=0,0,COUNTIF('4_imgsummary'!Y6:AH6,"KAPP")*100/M6)</f>
        <v>0</v>
      </c>
      <c r="DZ6">
        <f>IF(M6=0,0,COUNTIF('4_imgsummary'!Y6:AH6,"SARG")*100/M6)</f>
        <v>0</v>
      </c>
      <c r="EA6">
        <f>IF(M6=0,0,COUNTIF('4_imgsummary'!Y6:AH6,"ZACRF")*100/M6)</f>
        <v>0</v>
      </c>
      <c r="EB6">
        <f>IF(M6=0,0,COUNTIF('4_imgsummary'!Y6:AH6,"ZAGARF")*100/M6)</f>
        <v>0</v>
      </c>
      <c r="EC6">
        <f>IF(M6=0,0,COUNTIF('4_imgsummary'!Y6:AH6,"ZAGATF")*100/M6)</f>
        <v>0</v>
      </c>
      <c r="ED6">
        <f>IF(M6=0,0,COUNTIF('4_imgsummary'!Y6:AH6,"ZCMRF")*100/M6)</f>
        <v>0</v>
      </c>
      <c r="EE6">
        <f>IF(M6=0,0,COUNTIF('4_imgsummary'!Y6:AH6,"ZDENF")*100/M6)</f>
        <v>0</v>
      </c>
      <c r="EF6">
        <f>IF(M6=0,0,COUNTIF('4_imgsummary'!Y6:AH6,"ZEUPF")*100/M6)</f>
        <v>0</v>
      </c>
      <c r="EG6">
        <f>IF(M6=0,0,COUNTIF('4_imgsummary'!Y6:AH6,"ZFAVF")*100/M6)</f>
        <v>0</v>
      </c>
      <c r="EH6">
        <f>IF(M6=0,0,COUNTIF('4_imgsummary'!Y6:AH6,"ZMUSF")*100/M6)</f>
        <v>0</v>
      </c>
      <c r="EI6">
        <f>IF(M6=0,0,COUNTIF('4_imgsummary'!Y6:AH6,"ZNSC")*100/M6)</f>
        <v>0</v>
      </c>
      <c r="EJ6">
        <f>IF(M6=0,0,COUNTIF('4_imgsummary'!Y6:AH6,"ZOC")*100/M6)</f>
        <v>0</v>
      </c>
      <c r="EK6">
        <f>IF(M6=0,0,COUNTIF('4_imgsummary'!Y6:AH6,"ZPOCF")*100/M6)</f>
        <v>0</v>
      </c>
      <c r="EL6">
        <f>IF(M6=0,0,COUNTIF('4_imgsummary'!Y6:AH6,"ZPORF")*100/M6)</f>
        <v>0</v>
      </c>
    </row>
    <row r="7" spans="1:142" x14ac:dyDescent="0.35">
      <c r="A7">
        <v>5</v>
      </c>
      <c r="B7" t="s">
        <v>63</v>
      </c>
      <c r="F7" s="26">
        <f>IF(M7=0,0,COUNTIF('4_imgsummary'!O7:X7,"HC")*100/M7)</f>
        <v>20</v>
      </c>
      <c r="G7" s="26">
        <f>IF(M7=0,0,COUNTIF('4_imgsummary'!O7:X7,"AA")*100/M7)</f>
        <v>50</v>
      </c>
      <c r="H7">
        <f>IF(M7=0,0,COUNTIF('4_imgsummary'!O7:X7,"AB")*100/M7)</f>
        <v>0</v>
      </c>
      <c r="I7">
        <f>IF(M7=0,0,COUNTIF('4_imgsummary'!O7:X7,"MA")*100/M7)</f>
        <v>0</v>
      </c>
      <c r="J7">
        <f>IF(M7=0,0,COUNTIF('4_imgsummary'!O7:X7,"HA")*100/M7)</f>
        <v>0</v>
      </c>
      <c r="K7" s="26">
        <f>IF(M7=0,0,COUNTIF('4_imgsummary'!O7:X7,"OB")*100/M7)</f>
        <v>30</v>
      </c>
      <c r="L7">
        <f>IF(M7=0,0,COUNTIF('4_imgsummary'!O7:X7,"TWB")*100/M7)</f>
        <v>0</v>
      </c>
      <c r="M7">
        <f>10-COUNTIF('4_imgsummary'!O7:X7,"TWS")</f>
        <v>10</v>
      </c>
      <c r="P7">
        <f>IF(M7=0,0,COUNTIF('4_imgsummary'!E7:N7,"ACAN")*100/M7)</f>
        <v>0</v>
      </c>
      <c r="Q7" s="26">
        <f>IF(M7=0,0,COUNTIF('4_imgsummary'!E7:N7,"ACB")*100/M7)</f>
        <v>10</v>
      </c>
      <c r="R7">
        <f>IF(M7=0,0,COUNTIF('4_imgsummary'!E7:N7,"ACC")*100/M7)</f>
        <v>0</v>
      </c>
      <c r="S7">
        <f>IF(M7=0,0,COUNTIF('4_imgsummary'!E7:N7,"ACD")*100/M7)</f>
        <v>0</v>
      </c>
      <c r="T7">
        <f>IF(M7=0,0,COUNTIF('4_imgsummary'!E7:N7,"ACH")*100/M7)</f>
        <v>0</v>
      </c>
      <c r="U7">
        <f>IF(M7=0,0,COUNTIF('4_imgsummary'!E7:N7,"ACT")*100/M7)</f>
        <v>0</v>
      </c>
      <c r="V7">
        <f>IF(M7=0,0,COUNTIF('4_imgsummary'!E7:N7,"ACR")*100/M7)</f>
        <v>0</v>
      </c>
      <c r="W7">
        <f>IF(M7=0,0,COUNTIF('4_imgsummary'!E7:N7,"AST")*100/M7)</f>
        <v>0</v>
      </c>
      <c r="X7">
        <f>IF(M7=0,0,COUNTIF('4_imgsummary'!E7:N7,"AF")*100/M7)</f>
        <v>0</v>
      </c>
      <c r="Y7">
        <f>IF(M7=0,0,COUNTIF('4_imgsummary'!E7:N7,"BLEC")*100/M7)</f>
        <v>0</v>
      </c>
      <c r="Z7">
        <f>IF(M7=0,0,COUNTIF('4_imgsummary'!E7:N7,"CAU")*100/M7)</f>
        <v>0</v>
      </c>
      <c r="AA7">
        <f>IF(M7=0,0,COUNTIF('4_imgsummary'!E7:N7,"COE")*100/M7)</f>
        <v>0</v>
      </c>
      <c r="AB7">
        <f>IF(M7=0,0,COUNTIF('4_imgsummary'!E7:N7,"COS")*100/M7)</f>
        <v>0</v>
      </c>
      <c r="AC7">
        <f>IF(M7=0,0,COUNTIF('4_imgsummary'!E7:N7,"CYP")*100/M7)</f>
        <v>0</v>
      </c>
      <c r="AD7">
        <f>IF(M7=0,0,COUNTIF('4_imgsummary'!E7:N7,"DIP")*100/M7)</f>
        <v>0</v>
      </c>
      <c r="AE7">
        <f>IF(M7=0,0,COUNTIF('4_imgsummary'!E7:N7,"ECHY")*100/M7)</f>
        <v>0</v>
      </c>
      <c r="AF7">
        <f>IF(M7=0,0,COUNTIF('4_imgsummary'!E7:N7,"ECHI")*100/M7)</f>
        <v>0</v>
      </c>
      <c r="AG7">
        <f>IF(M7=0,0,COUNTIF('4_imgsummary'!E7:N7,"EUP")*100/M7)</f>
        <v>0</v>
      </c>
      <c r="AH7">
        <f>IF(M7=0,0,COUNTIF('4_imgsummary'!E7:N7,"FAV")*100/M7)</f>
        <v>0</v>
      </c>
      <c r="AI7">
        <f>IF(M7=0,0,COUNTIF('4_imgsummary'!E7:N7,"FVI")*100/M7)</f>
        <v>0</v>
      </c>
      <c r="AJ7">
        <f>IF(M7=0,0,COUNTIF('4_imgsummary'!E7:N7,"CMR")*100/M7)</f>
        <v>0</v>
      </c>
      <c r="AK7">
        <f>IF(M7=0,0,COUNTIF('4_imgsummary'!E7:N7,"GAL")*100/M7)</f>
        <v>0</v>
      </c>
      <c r="AL7">
        <f>IF(M7=0,0,COUNTIF('4_imgsummary'!E7:N7,"GONIA")*100/M7)</f>
        <v>0</v>
      </c>
      <c r="AM7">
        <f>IF(M7=0,0,COUNTIF('4_imgsummary'!E7:N7,"GONIO")*100/M7)</f>
        <v>0</v>
      </c>
      <c r="AN7">
        <f>IF(M7=0,0,COUNTIF('4_imgsummary'!E7:N7,"HEL")*100/M7)</f>
        <v>0</v>
      </c>
      <c r="AO7">
        <f>IF(M7=0,0,COUNTIF('4_imgsummary'!E7:N7,"HYD")*100/M7)</f>
        <v>0</v>
      </c>
      <c r="AP7">
        <f>IF(M7=0,0,COUNTIF('4_imgsummary'!E7:N7,"ISO")*100/M7)</f>
        <v>0</v>
      </c>
      <c r="AQ7">
        <f>IF(M7=0,0,COUNTIF('4_imgsummary'!E7:N7,"LEPA")*100/M7)</f>
        <v>0</v>
      </c>
      <c r="AR7">
        <f>IF(M7=0,0,COUNTIF('4_imgsummary'!E7:N7,"LEPS")*100/M7)</f>
        <v>0</v>
      </c>
      <c r="AS7">
        <f>IF(M7=0,0,COUNTIF('4_imgsummary'!E7:N7,"LOB")*100/M7)</f>
        <v>0</v>
      </c>
      <c r="AT7">
        <f>IF(M7=0,0,COUNTIF('4_imgsummary'!E7:N7,"MER")*100/M7)</f>
        <v>0</v>
      </c>
      <c r="AU7">
        <f>IF(M7=0,0,COUNTIF('4_imgsummary'!E7:N7,"MILL")*100/M7)</f>
        <v>0</v>
      </c>
      <c r="AV7">
        <f>IF(M7=0,0,COUNTIF('4_imgsummary'!E7:N7,"MON")*100/M7)</f>
        <v>0</v>
      </c>
      <c r="AW7">
        <f>IF(M7=0,0,COUNTIF('4_imgsummary'!E7:N7,"MONTB")*100/M7)</f>
        <v>0</v>
      </c>
      <c r="AX7">
        <f>IF(M7=0,0,COUNTIF('4_imgsummary'!E7:N7,"MONTE")*100/M7)</f>
        <v>0</v>
      </c>
      <c r="AY7">
        <f>IF(M7=0,0,COUNTIF('4_imgsummary'!E7:N7,"MONTF")*100/M7)</f>
        <v>0</v>
      </c>
      <c r="AZ7">
        <f>IF(M7=0,0,COUNTIF('4_imgsummary'!E7:N7,"MYC")*100/M7)</f>
        <v>0</v>
      </c>
      <c r="BA7">
        <f>IF(M7=0,0,COUNTIF('4_imgsummary'!E7:N7,"CB")*100/M7)</f>
        <v>0</v>
      </c>
      <c r="BB7">
        <f>IF(M7=0,0,COUNTIF('4_imgsummary'!E7:N7,"BUB")*100/M7)</f>
        <v>0</v>
      </c>
      <c r="BC7">
        <f>IF(M7=0,0,COUNTIF('4_imgsummary'!E7:N7,"CE")*100/M7)</f>
        <v>0</v>
      </c>
      <c r="BD7" s="26">
        <f>IF(M7=0,0,COUNTIF('4_imgsummary'!E7:N7,"CF")*100/M7)</f>
        <v>10</v>
      </c>
      <c r="BE7">
        <f>IF(M7=0,0,COUNTIF('4_imgsummary'!E7:N7,"FOT")*100/M7)</f>
        <v>0</v>
      </c>
      <c r="BF7">
        <f>IF(M7=0,0,COUNTIF('4_imgsummary'!E7:N7,"CM")*100/M7)</f>
        <v>0</v>
      </c>
      <c r="BG7">
        <f>IF(M7=0,0,COUNTIF('4_imgsummary'!E7:N7,"OULA")*100/M7)</f>
        <v>0</v>
      </c>
      <c r="BH7">
        <f>IF(M7=0,0,COUNTIF('4_imgsummary'!E7:N7,"OULO")*100/M7)</f>
        <v>0</v>
      </c>
      <c r="BI7">
        <f>IF(M7=0,0,COUNTIF('4_imgsummary'!E7:N7,"OXY")*100/M7)</f>
        <v>0</v>
      </c>
      <c r="BJ7">
        <f>IF(M7=0,0,COUNTIF('4_imgsummary'!E7:N7,"PACE")*100/M7)</f>
        <v>0</v>
      </c>
      <c r="BK7">
        <f>IF(M7=0,0,COUNTIF('4_imgsummary'!E7:N7,"PACF")*100/M7)</f>
        <v>0</v>
      </c>
      <c r="BL7">
        <f>IF(M7=0,0,COUNTIF('4_imgsummary'!E7:N7,"PAV")*100/M7)</f>
        <v>0</v>
      </c>
      <c r="BM7">
        <f>IF(M7=0,0,COUNTIF('4_imgsummary'!E7:N7,"PEC")*100/M7)</f>
        <v>0</v>
      </c>
      <c r="BN7">
        <f>IF(M7=0,0,COUNTIF('4_imgsummary'!E7:N7,"PLAT")*100/M7)</f>
        <v>0</v>
      </c>
      <c r="BO7">
        <f>IF(M7=0,0,COUNTIF('4_imgsummary'!E7:N7,"POC")*100/M7)</f>
        <v>0</v>
      </c>
      <c r="BP7">
        <f>IF(M7=0,0,COUNTIF('4_imgsummary'!E7:N7,"PORB")*100/M7)</f>
        <v>0</v>
      </c>
      <c r="BQ7">
        <f>IF(M7=0,0,COUNTIF('4_imgsummary'!E7:N7,"PORE")*100/M7)</f>
        <v>0</v>
      </c>
      <c r="BR7">
        <f>IF(M7=0,0,COUNTIF('4_imgsummary'!E7:N7,"PORM")*100/M7)</f>
        <v>0</v>
      </c>
      <c r="BS7">
        <f>IF(M7=0,0,COUNTIF('4_imgsummary'!E7:N7,"SER")*100/M7)</f>
        <v>0</v>
      </c>
      <c r="BT7">
        <f>IF(M7=0,0,COUNTIF('4_imgsummary'!E7:N7,"STY")*100/M7)</f>
        <v>0</v>
      </c>
      <c r="BU7">
        <f>IF(M7=0,0,COUNTIF('4_imgsummary'!E7:N7,"SYM")*100/M7)</f>
        <v>0</v>
      </c>
      <c r="BV7">
        <f>IF(M7=0,0,COUNTIF('4_imgsummary'!E7:N7,"TUBI")*100/M7)</f>
        <v>0</v>
      </c>
      <c r="BW7">
        <f>IF(M7=0,0,COUNTIF('4_imgsummary'!E7:N7,"TURB")*100/M7)</f>
        <v>0</v>
      </c>
      <c r="BX7">
        <f>IF(M7=0,0,COUNTIF('4_imgsummary'!E7:N7,"ZACRF")*100/M7)</f>
        <v>0</v>
      </c>
      <c r="BY7">
        <f>IF(M7=0,0,COUNTIF('4_imgsummary'!E7:N7,"ZAGARF")*100/M7)</f>
        <v>0</v>
      </c>
      <c r="BZ7">
        <f>IF(M7=0,0,COUNTIF('4_imgsummary'!E7:N7,"ZAGATF")*100/M7)</f>
        <v>0</v>
      </c>
      <c r="CA7">
        <f>IF(M7=0,0,COUNTIF('4_imgsummary'!E7:N7,"ZDENF")*100/M7)</f>
        <v>0</v>
      </c>
      <c r="CB7">
        <f>IF(M7=0,0,COUNTIF('4_imgsummary'!E7:N7,"ZEUPF")*100/M7)</f>
        <v>0</v>
      </c>
      <c r="CC7">
        <f>IF(M7=0,0,COUNTIF('4_imgsummary'!E7:N7,"ZFAVF")*100/M7)</f>
        <v>0</v>
      </c>
      <c r="CD7">
        <f>IF(M7=0,0,COUNTIF('4_imgsummary'!E7:N7,"ZCMRF")*100/M7)</f>
        <v>0</v>
      </c>
      <c r="CE7">
        <f>IF(M7=0,0,COUNTIF('4_imgsummary'!E7:N7,"ZMUSF")*100/M7)</f>
        <v>0</v>
      </c>
      <c r="CF7">
        <f>IF(M7=0,0,COUNTIF('4_imgsummary'!E7:N7,"ZNSC")*100/M7)</f>
        <v>0</v>
      </c>
      <c r="CG7">
        <f>IF(M7=0,0,COUNTIF('4_imgsummary'!E7:N7,"ZOC")*100/M7)</f>
        <v>0</v>
      </c>
      <c r="CH7">
        <f>IF(M7=0,0,COUNTIF('4_imgsummary'!E7:N7,"ZPOCF")*100/M7)</f>
        <v>0</v>
      </c>
      <c r="CI7">
        <f>IF(M7=0,0,COUNTIF('4_imgsummary'!E7:N7,"ZPORF")*100/M7)</f>
        <v>0</v>
      </c>
      <c r="CK7" s="26">
        <f>IF(M7=0,0,COUNTIF('4_imgsummary'!E7:N7,"AA")*100/M7)</f>
        <v>30</v>
      </c>
      <c r="CL7" s="26">
        <f>IF(M7=0,0,COUNTIF('4_imgsummary'!E7:N7,"CA")*100/M7)</f>
        <v>20</v>
      </c>
      <c r="CM7">
        <f>IF(M7=0,0,COUNTIF('4_imgsummary'!E7:N7,"DC")*100/M7)</f>
        <v>0</v>
      </c>
      <c r="CN7">
        <f>IF(M7=0,0,COUNTIF('4_imgsummary'!E7:N7,"DCA")*100/M7)</f>
        <v>0</v>
      </c>
      <c r="CO7">
        <f>IF(M7=0,0,COUNTIF('4_imgsummary'!E7:N7,"DIS")*100/M7)</f>
        <v>0</v>
      </c>
      <c r="CQ7">
        <f>IF(M7=0,0,COUNTIF('4_imgsummary'!E7:N7,"GRV")*100/M7)</f>
        <v>0</v>
      </c>
      <c r="CR7">
        <f>IF(M7=0,0,COUNTIF('4_imgsummary'!E7:N7,"R")*100/M7)</f>
        <v>0</v>
      </c>
      <c r="CS7">
        <f>IF(M7=0,0,COUNTIF('4_imgsummary'!E7:N7,"S")*100/M7)</f>
        <v>0</v>
      </c>
      <c r="CT7">
        <f>IF(M7=0,0,COUNTIF('4_imgsummary'!E7:N7,"RCK")*100/M7)</f>
        <v>0</v>
      </c>
      <c r="CU7">
        <f>IF(M7=0,0,COUNTIF('4_imgsummary'!E7:N7,"SI")*100/M7)</f>
        <v>0</v>
      </c>
      <c r="CW7">
        <f>IF(M7=0,0,COUNTIF('4_imgsummary'!E7:N7,"COD")*100/M7)</f>
        <v>0</v>
      </c>
      <c r="CX7">
        <f>IF(M7=0,0,COUNTIF('4_imgsummary'!E7:N7,"KAPP")*100/M7)</f>
        <v>0</v>
      </c>
      <c r="CY7">
        <f>IF(M7=0,0,COUNTIF('4_imgsummary'!E7:N7,"MA")*100/M7)</f>
        <v>0</v>
      </c>
      <c r="CZ7">
        <f>IF(M7=0,0,COUNTIF('4_imgsummary'!E7:N7,"SARG")*100/M7)</f>
        <v>0</v>
      </c>
      <c r="DB7">
        <f>IF(M7=0,0,COUNTIF('4_imgsummary'!E7:N7,"HA")*100/M7)</f>
        <v>0</v>
      </c>
      <c r="DD7">
        <f>IF(M7=0,0,COUNTIF('4_imgsummary'!E7:N7,"COTS")*100/M7)</f>
        <v>0</v>
      </c>
      <c r="DE7">
        <f>IF(M7=0,0,COUNTIF('4_imgsummary'!E7:N7,"COR")*100/M7)</f>
        <v>0</v>
      </c>
      <c r="DF7">
        <f>IF(M7=0,0,COUNTIF('4_imgsummary'!E7:N7,"DIA")*100/M7)</f>
        <v>0</v>
      </c>
      <c r="DG7">
        <f>IF(M7=0,0,COUNTIF('4_imgsummary'!E7:N7,"GORG")*100/M7)</f>
        <v>0</v>
      </c>
      <c r="DH7">
        <f>IF(M7=0,0,COUNTIF('4_imgsummary'!E7:N7,"ISIS")*100/M7)</f>
        <v>0</v>
      </c>
      <c r="DI7" s="26">
        <f>IF(M7=0,0,COUNTIF('4_imgsummary'!E7:N7,"OT")*100/M7)</f>
        <v>10</v>
      </c>
      <c r="DJ7">
        <f>IF(M7=0,0,COUNTIF('4_imgsummary'!E7:N7,"SG")*100/M7)</f>
        <v>0</v>
      </c>
      <c r="DK7">
        <f>IF(M7=0,0,COUNTIF('4_imgsummary'!E7:N7,"SC")*100/M7)</f>
        <v>0</v>
      </c>
      <c r="DL7" s="26">
        <f>IF(M7=0,0,COUNTIF('4_imgsummary'!E7:N7,"SP")*100/M7)</f>
        <v>20</v>
      </c>
      <c r="DM7">
        <f>IF(M7=0,0,COUNTIF('4_imgsummary'!E7:N7,"ZO")*100/M7)</f>
        <v>0</v>
      </c>
      <c r="DO7">
        <f>IF(M7=0,0,COUNTIF('4_imgsummary'!E7:N7,"TWB")*100/M7)</f>
        <v>0</v>
      </c>
      <c r="DQ7">
        <f>IF(M7=0,0,COUNTIF('4_imgsummary'!Y7:AH7,"COR")*100/M7)</f>
        <v>0</v>
      </c>
      <c r="DR7">
        <f>IF(M7=0,0,COUNTIF('4_imgsummary'!Y7:AH7,"COTS")*100/M7)</f>
        <v>0</v>
      </c>
      <c r="DS7">
        <f>IF(M7=0,0,COUNTIF('4_imgsummary'!Y7:AH7,"DIA")*100/M7)</f>
        <v>0</v>
      </c>
      <c r="DT7">
        <f>IF(M7=0,0,COUNTIF('4_imgsummary'!Y7:AH7,"GORG")*100/M7)</f>
        <v>10</v>
      </c>
      <c r="DU7">
        <f>IF(M7=0,0,COUNTIF('4_imgsummary'!Y7:AH7,"ISIS")*100/M7)</f>
        <v>0</v>
      </c>
      <c r="DV7">
        <f>IF(M7=0,0,COUNTIF('4_imgsummary'!Y7:AH7,"DIS")*100/M7)</f>
        <v>0</v>
      </c>
      <c r="DW7">
        <f>IF(M7=0,0,COUNTIF('4_imgsummary'!Y7:AH7,"BLEC")*100/M7)</f>
        <v>0</v>
      </c>
      <c r="DX7">
        <f>IF(M7=0,0,COUNTIF('4_imgsummary'!Y7:AH7,"COD")*100/M7)</f>
        <v>0</v>
      </c>
      <c r="DY7">
        <f>IF(M7=0,0,COUNTIF('4_imgsummary'!Y7:AH7,"KAPP")*100/M7)</f>
        <v>0</v>
      </c>
      <c r="DZ7">
        <f>IF(M7=0,0,COUNTIF('4_imgsummary'!Y7:AH7,"SARG")*100/M7)</f>
        <v>0</v>
      </c>
      <c r="EA7">
        <f>IF(M7=0,0,COUNTIF('4_imgsummary'!Y7:AH7,"ZACRF")*100/M7)</f>
        <v>0</v>
      </c>
      <c r="EB7">
        <f>IF(M7=0,0,COUNTIF('4_imgsummary'!Y7:AH7,"ZAGARF")*100/M7)</f>
        <v>0</v>
      </c>
      <c r="EC7">
        <f>IF(M7=0,0,COUNTIF('4_imgsummary'!Y7:AH7,"ZAGATF")*100/M7)</f>
        <v>0</v>
      </c>
      <c r="ED7">
        <f>IF(M7=0,0,COUNTIF('4_imgsummary'!Y7:AH7,"ZCMRF")*100/M7)</f>
        <v>0</v>
      </c>
      <c r="EE7">
        <f>IF(M7=0,0,COUNTIF('4_imgsummary'!Y7:AH7,"ZDENF")*100/M7)</f>
        <v>0</v>
      </c>
      <c r="EF7">
        <f>IF(M7=0,0,COUNTIF('4_imgsummary'!Y7:AH7,"ZEUPF")*100/M7)</f>
        <v>0</v>
      </c>
      <c r="EG7">
        <f>IF(M7=0,0,COUNTIF('4_imgsummary'!Y7:AH7,"ZFAVF")*100/M7)</f>
        <v>0</v>
      </c>
      <c r="EH7">
        <f>IF(M7=0,0,COUNTIF('4_imgsummary'!Y7:AH7,"ZMUSF")*100/M7)</f>
        <v>0</v>
      </c>
      <c r="EI7">
        <f>IF(M7=0,0,COUNTIF('4_imgsummary'!Y7:AH7,"ZNSC")*100/M7)</f>
        <v>0</v>
      </c>
      <c r="EJ7">
        <f>IF(M7=0,0,COUNTIF('4_imgsummary'!Y7:AH7,"ZOC")*100/M7)</f>
        <v>0</v>
      </c>
      <c r="EK7">
        <f>IF(M7=0,0,COUNTIF('4_imgsummary'!Y7:AH7,"ZPOCF")*100/M7)</f>
        <v>0</v>
      </c>
      <c r="EL7">
        <f>IF(M7=0,0,COUNTIF('4_imgsummary'!Y7:AH7,"ZPORF")*100/M7)</f>
        <v>0</v>
      </c>
    </row>
    <row r="8" spans="1:142" x14ac:dyDescent="0.35">
      <c r="A8">
        <v>6</v>
      </c>
      <c r="B8" t="s">
        <v>65</v>
      </c>
      <c r="F8" s="26">
        <f>IF(M8=0,0,COUNTIF('4_imgsummary'!O8:X8,"HC")*100/M8)</f>
        <v>80</v>
      </c>
      <c r="G8" s="26">
        <f>IF(M8=0,0,COUNTIF('4_imgsummary'!O8:X8,"AA")*100/M8)</f>
        <v>10</v>
      </c>
      <c r="H8">
        <f>IF(M8=0,0,COUNTIF('4_imgsummary'!O8:X8,"AB")*100/M8)</f>
        <v>0</v>
      </c>
      <c r="I8">
        <f>IF(M8=0,0,COUNTIF('4_imgsummary'!O8:X8,"MA")*100/M8)</f>
        <v>0</v>
      </c>
      <c r="J8">
        <f>IF(M8=0,0,COUNTIF('4_imgsummary'!O8:X8,"HA")*100/M8)</f>
        <v>0</v>
      </c>
      <c r="K8">
        <f>IF(M8=0,0,COUNTIF('4_imgsummary'!O8:X8,"OB")*100/M8)</f>
        <v>0</v>
      </c>
      <c r="L8" s="26">
        <f>IF(M8=0,0,COUNTIF('4_imgsummary'!O8:X8,"TWB")*100/M8)</f>
        <v>10</v>
      </c>
      <c r="M8">
        <f>10-COUNTIF('4_imgsummary'!O8:X8,"TWS")</f>
        <v>10</v>
      </c>
      <c r="P8">
        <f>IF(M8=0,0,COUNTIF('4_imgsummary'!E8:N8,"ACAN")*100/M8)</f>
        <v>0</v>
      </c>
      <c r="Q8">
        <f>IF(M8=0,0,COUNTIF('4_imgsummary'!E8:N8,"ACB")*100/M8)</f>
        <v>0</v>
      </c>
      <c r="R8">
        <f>IF(M8=0,0,COUNTIF('4_imgsummary'!E8:N8,"ACC")*100/M8)</f>
        <v>0</v>
      </c>
      <c r="S8">
        <f>IF(M8=0,0,COUNTIF('4_imgsummary'!E8:N8,"ACD")*100/M8)</f>
        <v>0</v>
      </c>
      <c r="T8">
        <f>IF(M8=0,0,COUNTIF('4_imgsummary'!E8:N8,"ACH")*100/M8)</f>
        <v>0</v>
      </c>
      <c r="U8">
        <f>IF(M8=0,0,COUNTIF('4_imgsummary'!E8:N8,"ACT")*100/M8)</f>
        <v>0</v>
      </c>
      <c r="V8">
        <f>IF(M8=0,0,COUNTIF('4_imgsummary'!E8:N8,"ACR")*100/M8)</f>
        <v>0</v>
      </c>
      <c r="W8">
        <f>IF(M8=0,0,COUNTIF('4_imgsummary'!E8:N8,"AST")*100/M8)</f>
        <v>0</v>
      </c>
      <c r="X8">
        <f>IF(M8=0,0,COUNTIF('4_imgsummary'!E8:N8,"AF")*100/M8)</f>
        <v>0</v>
      </c>
      <c r="Y8">
        <f>IF(M8=0,0,COUNTIF('4_imgsummary'!E8:N8,"BLEC")*100/M8)</f>
        <v>0</v>
      </c>
      <c r="Z8" s="26">
        <f>IF(M8=0,0,COUNTIF('4_imgsummary'!E8:N8,"CAU")*100/M8)</f>
        <v>10</v>
      </c>
      <c r="AA8" s="26">
        <f>IF(M8=0,0,COUNTIF('4_imgsummary'!E8:N8,"COE")*100/M8)</f>
        <v>20</v>
      </c>
      <c r="AB8">
        <f>IF(M8=0,0,COUNTIF('4_imgsummary'!E8:N8,"COS")*100/M8)</f>
        <v>0</v>
      </c>
      <c r="AC8">
        <f>IF(M8=0,0,COUNTIF('4_imgsummary'!E8:N8,"CYP")*100/M8)</f>
        <v>0</v>
      </c>
      <c r="AD8">
        <f>IF(M8=0,0,COUNTIF('4_imgsummary'!E8:N8,"DIP")*100/M8)</f>
        <v>0</v>
      </c>
      <c r="AE8" s="26">
        <f>IF(M8=0,0,COUNTIF('4_imgsummary'!E8:N8,"ECHY")*100/M8)</f>
        <v>10</v>
      </c>
      <c r="AF8">
        <f>IF(M8=0,0,COUNTIF('4_imgsummary'!E8:N8,"ECHI")*100/M8)</f>
        <v>0</v>
      </c>
      <c r="AG8">
        <f>IF(M8=0,0,COUNTIF('4_imgsummary'!E8:N8,"EUP")*100/M8)</f>
        <v>0</v>
      </c>
      <c r="AH8">
        <f>IF(M8=0,0,COUNTIF('4_imgsummary'!E8:N8,"FAV")*100/M8)</f>
        <v>0</v>
      </c>
      <c r="AI8">
        <f>IF(M8=0,0,COUNTIF('4_imgsummary'!E8:N8,"FVI")*100/M8)</f>
        <v>0</v>
      </c>
      <c r="AJ8">
        <f>IF(M8=0,0,COUNTIF('4_imgsummary'!E8:N8,"CMR")*100/M8)</f>
        <v>0</v>
      </c>
      <c r="AK8">
        <f>IF(M8=0,0,COUNTIF('4_imgsummary'!E8:N8,"GAL")*100/M8)</f>
        <v>0</v>
      </c>
      <c r="AL8">
        <f>IF(M8=0,0,COUNTIF('4_imgsummary'!E8:N8,"GONIA")*100/M8)</f>
        <v>0</v>
      </c>
      <c r="AM8">
        <f>IF(M8=0,0,COUNTIF('4_imgsummary'!E8:N8,"GONIO")*100/M8)</f>
        <v>0</v>
      </c>
      <c r="AN8">
        <f>IF(M8=0,0,COUNTIF('4_imgsummary'!E8:N8,"HEL")*100/M8)</f>
        <v>0</v>
      </c>
      <c r="AO8">
        <f>IF(M8=0,0,COUNTIF('4_imgsummary'!E8:N8,"HYD")*100/M8)</f>
        <v>0</v>
      </c>
      <c r="AP8">
        <f>IF(M8=0,0,COUNTIF('4_imgsummary'!E8:N8,"ISO")*100/M8)</f>
        <v>0</v>
      </c>
      <c r="AQ8">
        <f>IF(M8=0,0,COUNTIF('4_imgsummary'!E8:N8,"LEPA")*100/M8)</f>
        <v>0</v>
      </c>
      <c r="AR8">
        <f>IF(M8=0,0,COUNTIF('4_imgsummary'!E8:N8,"LEPS")*100/M8)</f>
        <v>0</v>
      </c>
      <c r="AS8">
        <f>IF(M8=0,0,COUNTIF('4_imgsummary'!E8:N8,"LOB")*100/M8)</f>
        <v>0</v>
      </c>
      <c r="AT8">
        <f>IF(M8=0,0,COUNTIF('4_imgsummary'!E8:N8,"MER")*100/M8)</f>
        <v>0</v>
      </c>
      <c r="AU8">
        <f>IF(M8=0,0,COUNTIF('4_imgsummary'!E8:N8,"MILL")*100/M8)</f>
        <v>0</v>
      </c>
      <c r="AV8">
        <f>IF(M8=0,0,COUNTIF('4_imgsummary'!E8:N8,"MON")*100/M8)</f>
        <v>0</v>
      </c>
      <c r="AW8" s="26">
        <f>IF(M8=0,0,COUNTIF('4_imgsummary'!E8:N8,"MONTB")*100/M8)</f>
        <v>10</v>
      </c>
      <c r="AX8">
        <f>IF(M8=0,0,COUNTIF('4_imgsummary'!E8:N8,"MONTE")*100/M8)</f>
        <v>0</v>
      </c>
      <c r="AY8">
        <f>IF(M8=0,0,COUNTIF('4_imgsummary'!E8:N8,"MONTF")*100/M8)</f>
        <v>0</v>
      </c>
      <c r="AZ8" s="26">
        <f>IF(M8=0,0,COUNTIF('4_imgsummary'!E8:N8,"MYC")*100/M8)</f>
        <v>20</v>
      </c>
      <c r="BA8">
        <f>IF(M8=0,0,COUNTIF('4_imgsummary'!E8:N8,"CB")*100/M8)</f>
        <v>0</v>
      </c>
      <c r="BB8">
        <f>IF(M8=0,0,COUNTIF('4_imgsummary'!E8:N8,"BUB")*100/M8)</f>
        <v>0</v>
      </c>
      <c r="BC8">
        <f>IF(M8=0,0,COUNTIF('4_imgsummary'!E8:N8,"CE")*100/M8)</f>
        <v>0</v>
      </c>
      <c r="BD8">
        <f>IF(M8=0,0,COUNTIF('4_imgsummary'!E8:N8,"CF")*100/M8)</f>
        <v>0</v>
      </c>
      <c r="BE8">
        <f>IF(M8=0,0,COUNTIF('4_imgsummary'!E8:N8,"FOT")*100/M8)</f>
        <v>0</v>
      </c>
      <c r="BF8">
        <f>IF(M8=0,0,COUNTIF('4_imgsummary'!E8:N8,"CM")*100/M8)</f>
        <v>0</v>
      </c>
      <c r="BG8">
        <f>IF(M8=0,0,COUNTIF('4_imgsummary'!E8:N8,"OULA")*100/M8)</f>
        <v>0</v>
      </c>
      <c r="BH8">
        <f>IF(M8=0,0,COUNTIF('4_imgsummary'!E8:N8,"OULO")*100/M8)</f>
        <v>0</v>
      </c>
      <c r="BI8">
        <f>IF(M8=0,0,COUNTIF('4_imgsummary'!E8:N8,"OXY")*100/M8)</f>
        <v>0</v>
      </c>
      <c r="BJ8">
        <f>IF(M8=0,0,COUNTIF('4_imgsummary'!E8:N8,"PACE")*100/M8)</f>
        <v>0</v>
      </c>
      <c r="BK8">
        <f>IF(M8=0,0,COUNTIF('4_imgsummary'!E8:N8,"PACF")*100/M8)</f>
        <v>0</v>
      </c>
      <c r="BL8">
        <f>IF(M8=0,0,COUNTIF('4_imgsummary'!E8:N8,"PAV")*100/M8)</f>
        <v>0</v>
      </c>
      <c r="BM8">
        <f>IF(M8=0,0,COUNTIF('4_imgsummary'!E8:N8,"PEC")*100/M8)</f>
        <v>0</v>
      </c>
      <c r="BN8">
        <f>IF(M8=0,0,COUNTIF('4_imgsummary'!E8:N8,"PLAT")*100/M8)</f>
        <v>0</v>
      </c>
      <c r="BO8">
        <f>IF(M8=0,0,COUNTIF('4_imgsummary'!E8:N8,"POC")*100/M8)</f>
        <v>0</v>
      </c>
      <c r="BP8">
        <f>IF(M8=0,0,COUNTIF('4_imgsummary'!E8:N8,"PORB")*100/M8)</f>
        <v>0</v>
      </c>
      <c r="BQ8">
        <f>IF(M8=0,0,COUNTIF('4_imgsummary'!E8:N8,"PORE")*100/M8)</f>
        <v>0</v>
      </c>
      <c r="BR8">
        <f>IF(M8=0,0,COUNTIF('4_imgsummary'!E8:N8,"PORM")*100/M8)</f>
        <v>0</v>
      </c>
      <c r="BS8">
        <f>IF(M8=0,0,COUNTIF('4_imgsummary'!E8:N8,"SER")*100/M8)</f>
        <v>0</v>
      </c>
      <c r="BT8">
        <f>IF(M8=0,0,COUNTIF('4_imgsummary'!E8:N8,"STY")*100/M8)</f>
        <v>0</v>
      </c>
      <c r="BU8" s="26">
        <f>IF(M8=0,0,COUNTIF('4_imgsummary'!E8:N8,"SYM")*100/M8)</f>
        <v>10</v>
      </c>
      <c r="BV8">
        <f>IF(M8=0,0,COUNTIF('4_imgsummary'!E8:N8,"TUBI")*100/M8)</f>
        <v>0</v>
      </c>
      <c r="BW8">
        <f>IF(M8=0,0,COUNTIF('4_imgsummary'!E8:N8,"TURB")*100/M8)</f>
        <v>0</v>
      </c>
      <c r="BX8">
        <f>IF(M8=0,0,COUNTIF('4_imgsummary'!E8:N8,"ZACRF")*100/M8)</f>
        <v>0</v>
      </c>
      <c r="BY8">
        <f>IF(M8=0,0,COUNTIF('4_imgsummary'!E8:N8,"ZAGARF")*100/M8)</f>
        <v>0</v>
      </c>
      <c r="BZ8">
        <f>IF(M8=0,0,COUNTIF('4_imgsummary'!E8:N8,"ZAGATF")*100/M8)</f>
        <v>0</v>
      </c>
      <c r="CA8">
        <f>IF(M8=0,0,COUNTIF('4_imgsummary'!E8:N8,"ZDENF")*100/M8)</f>
        <v>0</v>
      </c>
      <c r="CB8">
        <f>IF(M8=0,0,COUNTIF('4_imgsummary'!E8:N8,"ZEUPF")*100/M8)</f>
        <v>0</v>
      </c>
      <c r="CC8">
        <f>IF(M8=0,0,COUNTIF('4_imgsummary'!E8:N8,"ZFAVF")*100/M8)</f>
        <v>0</v>
      </c>
      <c r="CD8">
        <f>IF(M8=0,0,COUNTIF('4_imgsummary'!E8:N8,"ZCMRF")*100/M8)</f>
        <v>0</v>
      </c>
      <c r="CE8">
        <f>IF(M8=0,0,COUNTIF('4_imgsummary'!E8:N8,"ZMUSF")*100/M8)</f>
        <v>0</v>
      </c>
      <c r="CF8">
        <f>IF(M8=0,0,COUNTIF('4_imgsummary'!E8:N8,"ZNSC")*100/M8)</f>
        <v>0</v>
      </c>
      <c r="CG8">
        <f>IF(M8=0,0,COUNTIF('4_imgsummary'!E8:N8,"ZOC")*100/M8)</f>
        <v>0</v>
      </c>
      <c r="CH8">
        <f>IF(M8=0,0,COUNTIF('4_imgsummary'!E8:N8,"ZPOCF")*100/M8)</f>
        <v>0</v>
      </c>
      <c r="CI8">
        <f>IF(M8=0,0,COUNTIF('4_imgsummary'!E8:N8,"ZPORF")*100/M8)</f>
        <v>0</v>
      </c>
      <c r="CK8">
        <f>IF(M8=0,0,COUNTIF('4_imgsummary'!E8:N8,"AA")*100/M8)</f>
        <v>0</v>
      </c>
      <c r="CL8" s="26">
        <f>IF(M8=0,0,COUNTIF('4_imgsummary'!E8:N8,"CA")*100/M8)</f>
        <v>10</v>
      </c>
      <c r="CM8">
        <f>IF(M8=0,0,COUNTIF('4_imgsummary'!E8:N8,"DC")*100/M8)</f>
        <v>0</v>
      </c>
      <c r="CN8">
        <f>IF(M8=0,0,COUNTIF('4_imgsummary'!E8:N8,"DCA")*100/M8)</f>
        <v>0</v>
      </c>
      <c r="CO8">
        <f>IF(M8=0,0,COUNTIF('4_imgsummary'!E8:N8,"DIS")*100/M8)</f>
        <v>0</v>
      </c>
      <c r="CQ8">
        <f>IF(M8=0,0,COUNTIF('4_imgsummary'!E8:N8,"GRV")*100/M8)</f>
        <v>0</v>
      </c>
      <c r="CR8">
        <f>IF(M8=0,0,COUNTIF('4_imgsummary'!E8:N8,"R")*100/M8)</f>
        <v>0</v>
      </c>
      <c r="CS8">
        <f>IF(M8=0,0,COUNTIF('4_imgsummary'!E8:N8,"S")*100/M8)</f>
        <v>0</v>
      </c>
      <c r="CT8">
        <f>IF(M8=0,0,COUNTIF('4_imgsummary'!E8:N8,"RCK")*100/M8)</f>
        <v>0</v>
      </c>
      <c r="CU8">
        <f>IF(M8=0,0,COUNTIF('4_imgsummary'!E8:N8,"SI")*100/M8)</f>
        <v>0</v>
      </c>
      <c r="CW8">
        <f>IF(M8=0,0,COUNTIF('4_imgsummary'!E8:N8,"COD")*100/M8)</f>
        <v>0</v>
      </c>
      <c r="CX8">
        <f>IF(M8=0,0,COUNTIF('4_imgsummary'!E8:N8,"KAPP")*100/M8)</f>
        <v>0</v>
      </c>
      <c r="CY8">
        <f>IF(M8=0,0,COUNTIF('4_imgsummary'!E8:N8,"MA")*100/M8)</f>
        <v>0</v>
      </c>
      <c r="CZ8">
        <f>IF(M8=0,0,COUNTIF('4_imgsummary'!E8:N8,"SARG")*100/M8)</f>
        <v>0</v>
      </c>
      <c r="DB8">
        <f>IF(M8=0,0,COUNTIF('4_imgsummary'!E8:N8,"HA")*100/M8)</f>
        <v>0</v>
      </c>
      <c r="DD8">
        <f>IF(M8=0,0,COUNTIF('4_imgsummary'!E8:N8,"COTS")*100/M8)</f>
        <v>0</v>
      </c>
      <c r="DE8">
        <f>IF(M8=0,0,COUNTIF('4_imgsummary'!E8:N8,"COR")*100/M8)</f>
        <v>0</v>
      </c>
      <c r="DF8">
        <f>IF(M8=0,0,COUNTIF('4_imgsummary'!E8:N8,"DIA")*100/M8)</f>
        <v>0</v>
      </c>
      <c r="DG8">
        <f>IF(M8=0,0,COUNTIF('4_imgsummary'!E8:N8,"GORG")*100/M8)</f>
        <v>0</v>
      </c>
      <c r="DH8">
        <f>IF(M8=0,0,COUNTIF('4_imgsummary'!E8:N8,"ISIS")*100/M8)</f>
        <v>0</v>
      </c>
      <c r="DI8">
        <f>IF(M8=0,0,COUNTIF('4_imgsummary'!E8:N8,"OT")*100/M8)</f>
        <v>0</v>
      </c>
      <c r="DJ8">
        <f>IF(M8=0,0,COUNTIF('4_imgsummary'!E8:N8,"SG")*100/M8)</f>
        <v>0</v>
      </c>
      <c r="DK8">
        <f>IF(M8=0,0,COUNTIF('4_imgsummary'!E8:N8,"SC")*100/M8)</f>
        <v>0</v>
      </c>
      <c r="DL8">
        <f>IF(M8=0,0,COUNTIF('4_imgsummary'!E8:N8,"SP")*100/M8)</f>
        <v>0</v>
      </c>
      <c r="DM8">
        <f>IF(M8=0,0,COUNTIF('4_imgsummary'!E8:N8,"ZO")*100/M8)</f>
        <v>0</v>
      </c>
      <c r="DO8" s="26">
        <f>IF(M8=0,0,COUNTIF('4_imgsummary'!E8:N8,"TWB")*100/M8)</f>
        <v>10</v>
      </c>
      <c r="DQ8">
        <f>IF(M8=0,0,COUNTIF('4_imgsummary'!Y8:AH8,"COR")*100/M8)</f>
        <v>0</v>
      </c>
      <c r="DR8">
        <f>IF(M8=0,0,COUNTIF('4_imgsummary'!Y8:AH8,"COTS")*100/M8)</f>
        <v>0</v>
      </c>
      <c r="DS8">
        <f>IF(M8=0,0,COUNTIF('4_imgsummary'!Y8:AH8,"DIA")*100/M8)</f>
        <v>0</v>
      </c>
      <c r="DT8">
        <f>IF(M8=0,0,COUNTIF('4_imgsummary'!Y8:AH8,"GORG")*100/M8)</f>
        <v>0</v>
      </c>
      <c r="DU8">
        <f>IF(M8=0,0,COUNTIF('4_imgsummary'!Y8:AH8,"ISIS")*100/M8)</f>
        <v>0</v>
      </c>
      <c r="DV8">
        <f>IF(M8=0,0,COUNTIF('4_imgsummary'!Y8:AH8,"DIS")*100/M8)</f>
        <v>0</v>
      </c>
      <c r="DW8">
        <f>IF(M8=0,0,COUNTIF('4_imgsummary'!Y8:AH8,"BLEC")*100/M8)</f>
        <v>0</v>
      </c>
      <c r="DX8">
        <f>IF(M8=0,0,COUNTIF('4_imgsummary'!Y8:AH8,"COD")*100/M8)</f>
        <v>0</v>
      </c>
      <c r="DY8">
        <f>IF(M8=0,0,COUNTIF('4_imgsummary'!Y8:AH8,"KAPP")*100/M8)</f>
        <v>0</v>
      </c>
      <c r="DZ8">
        <f>IF(M8=0,0,COUNTIF('4_imgsummary'!Y8:AH8,"SARG")*100/M8)</f>
        <v>0</v>
      </c>
      <c r="EA8">
        <f>IF(M8=0,0,COUNTIF('4_imgsummary'!Y8:AH8,"ZACRF")*100/M8)</f>
        <v>0</v>
      </c>
      <c r="EB8">
        <f>IF(M8=0,0,COUNTIF('4_imgsummary'!Y8:AH8,"ZAGARF")*100/M8)</f>
        <v>0</v>
      </c>
      <c r="EC8">
        <f>IF(M8=0,0,COUNTIF('4_imgsummary'!Y8:AH8,"ZAGATF")*100/M8)</f>
        <v>0</v>
      </c>
      <c r="ED8">
        <f>IF(M8=0,0,COUNTIF('4_imgsummary'!Y8:AH8,"ZCMRF")*100/M8)</f>
        <v>0</v>
      </c>
      <c r="EE8">
        <f>IF(M8=0,0,COUNTIF('4_imgsummary'!Y8:AH8,"ZDENF")*100/M8)</f>
        <v>0</v>
      </c>
      <c r="EF8">
        <f>IF(M8=0,0,COUNTIF('4_imgsummary'!Y8:AH8,"ZEUPF")*100/M8)</f>
        <v>0</v>
      </c>
      <c r="EG8">
        <f>IF(M8=0,0,COUNTIF('4_imgsummary'!Y8:AH8,"ZFAVF")*100/M8)</f>
        <v>0</v>
      </c>
      <c r="EH8">
        <f>IF(M8=0,0,COUNTIF('4_imgsummary'!Y8:AH8,"ZMUSF")*100/M8)</f>
        <v>0</v>
      </c>
      <c r="EI8">
        <f>IF(M8=0,0,COUNTIF('4_imgsummary'!Y8:AH8,"ZNSC")*100/M8)</f>
        <v>0</v>
      </c>
      <c r="EJ8">
        <f>IF(M8=0,0,COUNTIF('4_imgsummary'!Y8:AH8,"ZOC")*100/M8)</f>
        <v>0</v>
      </c>
      <c r="EK8">
        <f>IF(M8=0,0,COUNTIF('4_imgsummary'!Y8:AH8,"ZPOCF")*100/M8)</f>
        <v>0</v>
      </c>
      <c r="EL8">
        <f>IF(M8=0,0,COUNTIF('4_imgsummary'!Y8:AH8,"ZPORF")*100/M8)</f>
        <v>0</v>
      </c>
    </row>
    <row r="9" spans="1:142" x14ac:dyDescent="0.35">
      <c r="A9">
        <v>7</v>
      </c>
      <c r="B9" t="s">
        <v>72</v>
      </c>
      <c r="F9" s="26">
        <f>IF(M9=0,0,COUNTIF('4_imgsummary'!O9:X9,"HC")*100/M9)</f>
        <v>70</v>
      </c>
      <c r="G9">
        <f>IF(M9=0,0,COUNTIF('4_imgsummary'!O9:X9,"AA")*100/M9)</f>
        <v>0</v>
      </c>
      <c r="H9">
        <f>IF(M9=0,0,COUNTIF('4_imgsummary'!O9:X9,"AB")*100/M9)</f>
        <v>0</v>
      </c>
      <c r="I9">
        <f>IF(M9=0,0,COUNTIF('4_imgsummary'!O9:X9,"MA")*100/M9)</f>
        <v>0</v>
      </c>
      <c r="J9">
        <f>IF(M9=0,0,COUNTIF('4_imgsummary'!O9:X9,"HA")*100/M9)</f>
        <v>0</v>
      </c>
      <c r="K9" s="26">
        <f>IF(M9=0,0,COUNTIF('4_imgsummary'!O9:X9,"OB")*100/M9)</f>
        <v>10</v>
      </c>
      <c r="L9" s="26">
        <f>IF(M9=0,0,COUNTIF('4_imgsummary'!O9:X9,"TWB")*100/M9)</f>
        <v>20</v>
      </c>
      <c r="M9">
        <f>10-COUNTIF('4_imgsummary'!O9:X9,"TWS")</f>
        <v>10</v>
      </c>
      <c r="P9">
        <f>IF(M9=0,0,COUNTIF('4_imgsummary'!E9:N9,"ACAN")*100/M9)</f>
        <v>0</v>
      </c>
      <c r="Q9">
        <f>IF(M9=0,0,COUNTIF('4_imgsummary'!E9:N9,"ACB")*100/M9)</f>
        <v>0</v>
      </c>
      <c r="R9">
        <f>IF(M9=0,0,COUNTIF('4_imgsummary'!E9:N9,"ACC")*100/M9)</f>
        <v>0</v>
      </c>
      <c r="S9">
        <f>IF(M9=0,0,COUNTIF('4_imgsummary'!E9:N9,"ACD")*100/M9)</f>
        <v>0</v>
      </c>
      <c r="T9">
        <f>IF(M9=0,0,COUNTIF('4_imgsummary'!E9:N9,"ACH")*100/M9)</f>
        <v>0</v>
      </c>
      <c r="U9" s="26">
        <f>IF(M9=0,0,COUNTIF('4_imgsummary'!E9:N9,"ACT")*100/M9)</f>
        <v>60</v>
      </c>
      <c r="V9">
        <f>IF(M9=0,0,COUNTIF('4_imgsummary'!E9:N9,"ACR")*100/M9)</f>
        <v>0</v>
      </c>
      <c r="W9">
        <f>IF(M9=0,0,COUNTIF('4_imgsummary'!E9:N9,"AST")*100/M9)</f>
        <v>0</v>
      </c>
      <c r="X9">
        <f>IF(M9=0,0,COUNTIF('4_imgsummary'!E9:N9,"AF")*100/M9)</f>
        <v>0</v>
      </c>
      <c r="Y9">
        <f>IF(M9=0,0,COUNTIF('4_imgsummary'!E9:N9,"BLEC")*100/M9)</f>
        <v>0</v>
      </c>
      <c r="Z9">
        <f>IF(M9=0,0,COUNTIF('4_imgsummary'!E9:N9,"CAU")*100/M9)</f>
        <v>0</v>
      </c>
      <c r="AA9">
        <f>IF(M9=0,0,COUNTIF('4_imgsummary'!E9:N9,"COE")*100/M9)</f>
        <v>0</v>
      </c>
      <c r="AB9">
        <f>IF(M9=0,0,COUNTIF('4_imgsummary'!E9:N9,"COS")*100/M9)</f>
        <v>0</v>
      </c>
      <c r="AC9">
        <f>IF(M9=0,0,COUNTIF('4_imgsummary'!E9:N9,"CYP")*100/M9)</f>
        <v>0</v>
      </c>
      <c r="AD9">
        <f>IF(M9=0,0,COUNTIF('4_imgsummary'!E9:N9,"DIP")*100/M9)</f>
        <v>0</v>
      </c>
      <c r="AE9">
        <f>IF(M9=0,0,COUNTIF('4_imgsummary'!E9:N9,"ECHY")*100/M9)</f>
        <v>0</v>
      </c>
      <c r="AF9">
        <f>IF(M9=0,0,COUNTIF('4_imgsummary'!E9:N9,"ECHI")*100/M9)</f>
        <v>0</v>
      </c>
      <c r="AG9">
        <f>IF(M9=0,0,COUNTIF('4_imgsummary'!E9:N9,"EUP")*100/M9)</f>
        <v>0</v>
      </c>
      <c r="AH9">
        <f>IF(M9=0,0,COUNTIF('4_imgsummary'!E9:N9,"FAV")*100/M9)</f>
        <v>0</v>
      </c>
      <c r="AI9">
        <f>IF(M9=0,0,COUNTIF('4_imgsummary'!E9:N9,"FVI")*100/M9)</f>
        <v>0</v>
      </c>
      <c r="AJ9">
        <f>IF(M9=0,0,COUNTIF('4_imgsummary'!E9:N9,"CMR")*100/M9)</f>
        <v>0</v>
      </c>
      <c r="AK9">
        <f>IF(M9=0,0,COUNTIF('4_imgsummary'!E9:N9,"GAL")*100/M9)</f>
        <v>0</v>
      </c>
      <c r="AL9">
        <f>IF(M9=0,0,COUNTIF('4_imgsummary'!E9:N9,"GONIA")*100/M9)</f>
        <v>0</v>
      </c>
      <c r="AM9">
        <f>IF(M9=0,0,COUNTIF('4_imgsummary'!E9:N9,"GONIO")*100/M9)</f>
        <v>0</v>
      </c>
      <c r="AN9">
        <f>IF(M9=0,0,COUNTIF('4_imgsummary'!E9:N9,"HEL")*100/M9)</f>
        <v>0</v>
      </c>
      <c r="AO9">
        <f>IF(M9=0,0,COUNTIF('4_imgsummary'!E9:N9,"HYD")*100/M9)</f>
        <v>0</v>
      </c>
      <c r="AP9">
        <f>IF(M9=0,0,COUNTIF('4_imgsummary'!E9:N9,"ISO")*100/M9)</f>
        <v>0</v>
      </c>
      <c r="AQ9">
        <f>IF(M9=0,0,COUNTIF('4_imgsummary'!E9:N9,"LEPA")*100/M9)</f>
        <v>0</v>
      </c>
      <c r="AR9">
        <f>IF(M9=0,0,COUNTIF('4_imgsummary'!E9:N9,"LEPS")*100/M9)</f>
        <v>0</v>
      </c>
      <c r="AS9">
        <f>IF(M9=0,0,COUNTIF('4_imgsummary'!E9:N9,"LOB")*100/M9)</f>
        <v>0</v>
      </c>
      <c r="AT9">
        <f>IF(M9=0,0,COUNTIF('4_imgsummary'!E9:N9,"MER")*100/M9)</f>
        <v>0</v>
      </c>
      <c r="AU9">
        <f>IF(M9=0,0,COUNTIF('4_imgsummary'!E9:N9,"MILL")*100/M9)</f>
        <v>0</v>
      </c>
      <c r="AV9">
        <f>IF(M9=0,0,COUNTIF('4_imgsummary'!E9:N9,"MON")*100/M9)</f>
        <v>0</v>
      </c>
      <c r="AW9">
        <f>IF(M9=0,0,COUNTIF('4_imgsummary'!E9:N9,"MONTB")*100/M9)</f>
        <v>0</v>
      </c>
      <c r="AX9">
        <f>IF(M9=0,0,COUNTIF('4_imgsummary'!E9:N9,"MONTE")*100/M9)</f>
        <v>0</v>
      </c>
      <c r="AY9">
        <f>IF(M9=0,0,COUNTIF('4_imgsummary'!E9:N9,"MONTF")*100/M9)</f>
        <v>0</v>
      </c>
      <c r="AZ9">
        <f>IF(M9=0,0,COUNTIF('4_imgsummary'!E9:N9,"MYC")*100/M9)</f>
        <v>0</v>
      </c>
      <c r="BA9">
        <f>IF(M9=0,0,COUNTIF('4_imgsummary'!E9:N9,"CB")*100/M9)</f>
        <v>0</v>
      </c>
      <c r="BB9">
        <f>IF(M9=0,0,COUNTIF('4_imgsummary'!E9:N9,"BUB")*100/M9)</f>
        <v>0</v>
      </c>
      <c r="BC9">
        <f>IF(M9=0,0,COUNTIF('4_imgsummary'!E9:N9,"CE")*100/M9)</f>
        <v>0</v>
      </c>
      <c r="BD9">
        <f>IF(M9=0,0,COUNTIF('4_imgsummary'!E9:N9,"CF")*100/M9)</f>
        <v>0</v>
      </c>
      <c r="BE9">
        <f>IF(M9=0,0,COUNTIF('4_imgsummary'!E9:N9,"FOT")*100/M9)</f>
        <v>0</v>
      </c>
      <c r="BF9">
        <f>IF(M9=0,0,COUNTIF('4_imgsummary'!E9:N9,"CM")*100/M9)</f>
        <v>0</v>
      </c>
      <c r="BG9">
        <f>IF(M9=0,0,COUNTIF('4_imgsummary'!E9:N9,"OULA")*100/M9)</f>
        <v>0</v>
      </c>
      <c r="BH9">
        <f>IF(M9=0,0,COUNTIF('4_imgsummary'!E9:N9,"OULO")*100/M9)</f>
        <v>0</v>
      </c>
      <c r="BI9">
        <f>IF(M9=0,0,COUNTIF('4_imgsummary'!E9:N9,"OXY")*100/M9)</f>
        <v>0</v>
      </c>
      <c r="BJ9">
        <f>IF(M9=0,0,COUNTIF('4_imgsummary'!E9:N9,"PACE")*100/M9)</f>
        <v>0</v>
      </c>
      <c r="BK9">
        <f>IF(M9=0,0,COUNTIF('4_imgsummary'!E9:N9,"PACF")*100/M9)</f>
        <v>0</v>
      </c>
      <c r="BL9">
        <f>IF(M9=0,0,COUNTIF('4_imgsummary'!E9:N9,"PAV")*100/M9)</f>
        <v>0</v>
      </c>
      <c r="BM9">
        <f>IF(M9=0,0,COUNTIF('4_imgsummary'!E9:N9,"PEC")*100/M9)</f>
        <v>0</v>
      </c>
      <c r="BN9">
        <f>IF(M9=0,0,COUNTIF('4_imgsummary'!E9:N9,"PLAT")*100/M9)</f>
        <v>0</v>
      </c>
      <c r="BO9">
        <f>IF(M9=0,0,COUNTIF('4_imgsummary'!E9:N9,"POC")*100/M9)</f>
        <v>0</v>
      </c>
      <c r="BP9">
        <f>IF(M9=0,0,COUNTIF('4_imgsummary'!E9:N9,"PORB")*100/M9)</f>
        <v>0</v>
      </c>
      <c r="BQ9">
        <f>IF(M9=0,0,COUNTIF('4_imgsummary'!E9:N9,"PORE")*100/M9)</f>
        <v>0</v>
      </c>
      <c r="BR9">
        <f>IF(M9=0,0,COUNTIF('4_imgsummary'!E9:N9,"PORM")*100/M9)</f>
        <v>0</v>
      </c>
      <c r="BS9" s="26">
        <f>IF(M9=0,0,COUNTIF('4_imgsummary'!E9:N9,"SER")*100/M9)</f>
        <v>10</v>
      </c>
      <c r="BT9">
        <f>IF(M9=0,0,COUNTIF('4_imgsummary'!E9:N9,"STY")*100/M9)</f>
        <v>0</v>
      </c>
      <c r="BU9">
        <f>IF(M9=0,0,COUNTIF('4_imgsummary'!E9:N9,"SYM")*100/M9)</f>
        <v>0</v>
      </c>
      <c r="BV9">
        <f>IF(M9=0,0,COUNTIF('4_imgsummary'!E9:N9,"TUBI")*100/M9)</f>
        <v>0</v>
      </c>
      <c r="BW9">
        <f>IF(M9=0,0,COUNTIF('4_imgsummary'!E9:N9,"TURB")*100/M9)</f>
        <v>0</v>
      </c>
      <c r="BX9">
        <f>IF(M9=0,0,COUNTIF('4_imgsummary'!E9:N9,"ZACRF")*100/M9)</f>
        <v>0</v>
      </c>
      <c r="BY9">
        <f>IF(M9=0,0,COUNTIF('4_imgsummary'!E9:N9,"ZAGARF")*100/M9)</f>
        <v>0</v>
      </c>
      <c r="BZ9">
        <f>IF(M9=0,0,COUNTIF('4_imgsummary'!E9:N9,"ZAGATF")*100/M9)</f>
        <v>0</v>
      </c>
      <c r="CA9">
        <f>IF(M9=0,0,COUNTIF('4_imgsummary'!E9:N9,"ZDENF")*100/M9)</f>
        <v>0</v>
      </c>
      <c r="CB9">
        <f>IF(M9=0,0,COUNTIF('4_imgsummary'!E9:N9,"ZEUPF")*100/M9)</f>
        <v>0</v>
      </c>
      <c r="CC9">
        <f>IF(M9=0,0,COUNTIF('4_imgsummary'!E9:N9,"ZFAVF")*100/M9)</f>
        <v>0</v>
      </c>
      <c r="CD9">
        <f>IF(M9=0,0,COUNTIF('4_imgsummary'!E9:N9,"ZCMRF")*100/M9)</f>
        <v>0</v>
      </c>
      <c r="CE9">
        <f>IF(M9=0,0,COUNTIF('4_imgsummary'!E9:N9,"ZMUSF")*100/M9)</f>
        <v>0</v>
      </c>
      <c r="CF9">
        <f>IF(M9=0,0,COUNTIF('4_imgsummary'!E9:N9,"ZNSC")*100/M9)</f>
        <v>0</v>
      </c>
      <c r="CG9">
        <f>IF(M9=0,0,COUNTIF('4_imgsummary'!E9:N9,"ZOC")*100/M9)</f>
        <v>0</v>
      </c>
      <c r="CH9">
        <f>IF(M9=0,0,COUNTIF('4_imgsummary'!E9:N9,"ZPOCF")*100/M9)</f>
        <v>0</v>
      </c>
      <c r="CI9">
        <f>IF(M9=0,0,COUNTIF('4_imgsummary'!E9:N9,"ZPORF")*100/M9)</f>
        <v>0</v>
      </c>
      <c r="CK9">
        <f>IF(M9=0,0,COUNTIF('4_imgsummary'!E9:N9,"AA")*100/M9)</f>
        <v>0</v>
      </c>
      <c r="CL9">
        <f>IF(M9=0,0,COUNTIF('4_imgsummary'!E9:N9,"CA")*100/M9)</f>
        <v>0</v>
      </c>
      <c r="CM9">
        <f>IF(M9=0,0,COUNTIF('4_imgsummary'!E9:N9,"DC")*100/M9)</f>
        <v>0</v>
      </c>
      <c r="CN9">
        <f>IF(M9=0,0,COUNTIF('4_imgsummary'!E9:N9,"DCA")*100/M9)</f>
        <v>0</v>
      </c>
      <c r="CO9">
        <f>IF(M9=0,0,COUNTIF('4_imgsummary'!E9:N9,"DIS")*100/M9)</f>
        <v>0</v>
      </c>
      <c r="CQ9">
        <f>IF(M9=0,0,COUNTIF('4_imgsummary'!E9:N9,"GRV")*100/M9)</f>
        <v>0</v>
      </c>
      <c r="CR9">
        <f>IF(M9=0,0,COUNTIF('4_imgsummary'!E9:N9,"R")*100/M9)</f>
        <v>0</v>
      </c>
      <c r="CS9">
        <f>IF(M9=0,0,COUNTIF('4_imgsummary'!E9:N9,"S")*100/M9)</f>
        <v>0</v>
      </c>
      <c r="CT9">
        <f>IF(M9=0,0,COUNTIF('4_imgsummary'!E9:N9,"RCK")*100/M9)</f>
        <v>0</v>
      </c>
      <c r="CU9">
        <f>IF(M9=0,0,COUNTIF('4_imgsummary'!E9:N9,"SI")*100/M9)</f>
        <v>0</v>
      </c>
      <c r="CW9">
        <f>IF(M9=0,0,COUNTIF('4_imgsummary'!E9:N9,"COD")*100/M9)</f>
        <v>0</v>
      </c>
      <c r="CX9">
        <f>IF(M9=0,0,COUNTIF('4_imgsummary'!E9:N9,"KAPP")*100/M9)</f>
        <v>0</v>
      </c>
      <c r="CY9">
        <f>IF(M9=0,0,COUNTIF('4_imgsummary'!E9:N9,"MA")*100/M9)</f>
        <v>0</v>
      </c>
      <c r="CZ9">
        <f>IF(M9=0,0,COUNTIF('4_imgsummary'!E9:N9,"SARG")*100/M9)</f>
        <v>0</v>
      </c>
      <c r="DB9">
        <f>IF(M9=0,0,COUNTIF('4_imgsummary'!E9:N9,"HA")*100/M9)</f>
        <v>0</v>
      </c>
      <c r="DD9">
        <f>IF(M9=0,0,COUNTIF('4_imgsummary'!E9:N9,"COTS")*100/M9)</f>
        <v>0</v>
      </c>
      <c r="DE9">
        <f>IF(M9=0,0,COUNTIF('4_imgsummary'!E9:N9,"COR")*100/M9)</f>
        <v>0</v>
      </c>
      <c r="DF9">
        <f>IF(M9=0,0,COUNTIF('4_imgsummary'!E9:N9,"DIA")*100/M9)</f>
        <v>0</v>
      </c>
      <c r="DG9">
        <f>IF(M9=0,0,COUNTIF('4_imgsummary'!E9:N9,"GORG")*100/M9)</f>
        <v>0</v>
      </c>
      <c r="DH9">
        <f>IF(M9=0,0,COUNTIF('4_imgsummary'!E9:N9,"ISIS")*100/M9)</f>
        <v>0</v>
      </c>
      <c r="DI9">
        <f>IF(M9=0,0,COUNTIF('4_imgsummary'!E9:N9,"OT")*100/M9)</f>
        <v>0</v>
      </c>
      <c r="DJ9">
        <f>IF(M9=0,0,COUNTIF('4_imgsummary'!E9:N9,"SG")*100/M9)</f>
        <v>0</v>
      </c>
      <c r="DK9">
        <f>IF(M9=0,0,COUNTIF('4_imgsummary'!E9:N9,"SC")*100/M9)</f>
        <v>0</v>
      </c>
      <c r="DL9" s="26">
        <f>IF(M9=0,0,COUNTIF('4_imgsummary'!E9:N9,"SP")*100/M9)</f>
        <v>10</v>
      </c>
      <c r="DM9">
        <f>IF(M9=0,0,COUNTIF('4_imgsummary'!E9:N9,"ZO")*100/M9)</f>
        <v>0</v>
      </c>
      <c r="DO9" s="26">
        <f>IF(M9=0,0,COUNTIF('4_imgsummary'!E9:N9,"TWB")*100/M9)</f>
        <v>20</v>
      </c>
      <c r="DQ9">
        <f>IF(M9=0,0,COUNTIF('4_imgsummary'!Y9:AH9,"COR")*100/M9)</f>
        <v>0</v>
      </c>
      <c r="DR9">
        <f>IF(M9=0,0,COUNTIF('4_imgsummary'!Y9:AH9,"COTS")*100/M9)</f>
        <v>0</v>
      </c>
      <c r="DS9">
        <f>IF(M9=0,0,COUNTIF('4_imgsummary'!Y9:AH9,"DIA")*100/M9)</f>
        <v>0</v>
      </c>
      <c r="DT9">
        <f>IF(M9=0,0,COUNTIF('4_imgsummary'!Y9:AH9,"GORG")*100/M9)</f>
        <v>0</v>
      </c>
      <c r="DU9">
        <f>IF(M9=0,0,COUNTIF('4_imgsummary'!Y9:AH9,"ISIS")*100/M9)</f>
        <v>0</v>
      </c>
      <c r="DV9">
        <f>IF(M9=0,0,COUNTIF('4_imgsummary'!Y9:AH9,"DIS")*100/M9)</f>
        <v>10</v>
      </c>
      <c r="DW9">
        <f>IF(M9=0,0,COUNTIF('4_imgsummary'!Y9:AH9,"BLEC")*100/M9)</f>
        <v>0</v>
      </c>
      <c r="DX9">
        <f>IF(M9=0,0,COUNTIF('4_imgsummary'!Y9:AH9,"COD")*100/M9)</f>
        <v>0</v>
      </c>
      <c r="DY9">
        <f>IF(M9=0,0,COUNTIF('4_imgsummary'!Y9:AH9,"KAPP")*100/M9)</f>
        <v>0</v>
      </c>
      <c r="DZ9">
        <f>IF(M9=0,0,COUNTIF('4_imgsummary'!Y9:AH9,"SARG")*100/M9)</f>
        <v>0</v>
      </c>
      <c r="EA9">
        <f>IF(M9=0,0,COUNTIF('4_imgsummary'!Y9:AH9,"ZACRF")*100/M9)</f>
        <v>0</v>
      </c>
      <c r="EB9">
        <f>IF(M9=0,0,COUNTIF('4_imgsummary'!Y9:AH9,"ZAGARF")*100/M9)</f>
        <v>0</v>
      </c>
      <c r="EC9">
        <f>IF(M9=0,0,COUNTIF('4_imgsummary'!Y9:AH9,"ZAGATF")*100/M9)</f>
        <v>0</v>
      </c>
      <c r="ED9">
        <f>IF(M9=0,0,COUNTIF('4_imgsummary'!Y9:AH9,"ZCMRF")*100/M9)</f>
        <v>0</v>
      </c>
      <c r="EE9">
        <f>IF(M9=0,0,COUNTIF('4_imgsummary'!Y9:AH9,"ZDENF")*100/M9)</f>
        <v>0</v>
      </c>
      <c r="EF9">
        <f>IF(M9=0,0,COUNTIF('4_imgsummary'!Y9:AH9,"ZEUPF")*100/M9)</f>
        <v>0</v>
      </c>
      <c r="EG9">
        <f>IF(M9=0,0,COUNTIF('4_imgsummary'!Y9:AH9,"ZFAVF")*100/M9)</f>
        <v>0</v>
      </c>
      <c r="EH9">
        <f>IF(M9=0,0,COUNTIF('4_imgsummary'!Y9:AH9,"ZMUSF")*100/M9)</f>
        <v>0</v>
      </c>
      <c r="EI9">
        <f>IF(M9=0,0,COUNTIF('4_imgsummary'!Y9:AH9,"ZNSC")*100/M9)</f>
        <v>0</v>
      </c>
      <c r="EJ9">
        <f>IF(M9=0,0,COUNTIF('4_imgsummary'!Y9:AH9,"ZOC")*100/M9)</f>
        <v>0</v>
      </c>
      <c r="EK9">
        <f>IF(M9=0,0,COUNTIF('4_imgsummary'!Y9:AH9,"ZPOCF")*100/M9)</f>
        <v>0</v>
      </c>
      <c r="EL9">
        <f>IF(M9=0,0,COUNTIF('4_imgsummary'!Y9:AH9,"ZPORF")*100/M9)</f>
        <v>0</v>
      </c>
    </row>
    <row r="10" spans="1:142" x14ac:dyDescent="0.35">
      <c r="A10">
        <v>8</v>
      </c>
      <c r="B10" t="s">
        <v>75</v>
      </c>
      <c r="F10" s="26">
        <f>IF(M10=0,0,COUNTIF('4_imgsummary'!O10:X10,"HC")*100/M10)</f>
        <v>40</v>
      </c>
      <c r="G10" s="26">
        <f>IF(M10=0,0,COUNTIF('4_imgsummary'!O10:X10,"AA")*100/M10)</f>
        <v>50</v>
      </c>
      <c r="H10">
        <f>IF(M10=0,0,COUNTIF('4_imgsummary'!O10:X10,"AB")*100/M10)</f>
        <v>0</v>
      </c>
      <c r="I10">
        <f>IF(M10=0,0,COUNTIF('4_imgsummary'!O10:X10,"MA")*100/M10)</f>
        <v>0</v>
      </c>
      <c r="J10">
        <f>IF(M10=0,0,COUNTIF('4_imgsummary'!O10:X10,"HA")*100/M10)</f>
        <v>0</v>
      </c>
      <c r="K10">
        <f>IF(M10=0,0,COUNTIF('4_imgsummary'!O10:X10,"OB")*100/M10)</f>
        <v>0</v>
      </c>
      <c r="L10" s="26">
        <f>IF(M10=0,0,COUNTIF('4_imgsummary'!O10:X10,"TWB")*100/M10)</f>
        <v>10</v>
      </c>
      <c r="M10">
        <f>10-COUNTIF('4_imgsummary'!O10:X10,"TWS")</f>
        <v>10</v>
      </c>
      <c r="P10">
        <f>IF(M10=0,0,COUNTIF('4_imgsummary'!E10:N10,"ACAN")*100/M10)</f>
        <v>0</v>
      </c>
      <c r="Q10" s="26">
        <f>IF(M10=0,0,COUNTIF('4_imgsummary'!E10:N10,"ACB")*100/M10)</f>
        <v>10</v>
      </c>
      <c r="R10">
        <f>IF(M10=0,0,COUNTIF('4_imgsummary'!E10:N10,"ACC")*100/M10)</f>
        <v>0</v>
      </c>
      <c r="S10">
        <f>IF(M10=0,0,COUNTIF('4_imgsummary'!E10:N10,"ACD")*100/M10)</f>
        <v>0</v>
      </c>
      <c r="T10">
        <f>IF(M10=0,0,COUNTIF('4_imgsummary'!E10:N10,"ACH")*100/M10)</f>
        <v>0</v>
      </c>
      <c r="U10" s="26">
        <f>IF(M10=0,0,COUNTIF('4_imgsummary'!E10:N10,"ACT")*100/M10)</f>
        <v>10</v>
      </c>
      <c r="V10">
        <f>IF(M10=0,0,COUNTIF('4_imgsummary'!E10:N10,"ACR")*100/M10)</f>
        <v>0</v>
      </c>
      <c r="W10">
        <f>IF(M10=0,0,COUNTIF('4_imgsummary'!E10:N10,"AST")*100/M10)</f>
        <v>0</v>
      </c>
      <c r="X10">
        <f>IF(M10=0,0,COUNTIF('4_imgsummary'!E10:N10,"AF")*100/M10)</f>
        <v>0</v>
      </c>
      <c r="Y10">
        <f>IF(M10=0,0,COUNTIF('4_imgsummary'!E10:N10,"BLEC")*100/M10)</f>
        <v>0</v>
      </c>
      <c r="Z10">
        <f>IF(M10=0,0,COUNTIF('4_imgsummary'!E10:N10,"CAU")*100/M10)</f>
        <v>0</v>
      </c>
      <c r="AA10">
        <f>IF(M10=0,0,COUNTIF('4_imgsummary'!E10:N10,"COE")*100/M10)</f>
        <v>0</v>
      </c>
      <c r="AB10">
        <f>IF(M10=0,0,COUNTIF('4_imgsummary'!E10:N10,"COS")*100/M10)</f>
        <v>0</v>
      </c>
      <c r="AC10">
        <f>IF(M10=0,0,COUNTIF('4_imgsummary'!E10:N10,"CYP")*100/M10)</f>
        <v>0</v>
      </c>
      <c r="AD10">
        <f>IF(M10=0,0,COUNTIF('4_imgsummary'!E10:N10,"DIP")*100/M10)</f>
        <v>0</v>
      </c>
      <c r="AE10">
        <f>IF(M10=0,0,COUNTIF('4_imgsummary'!E10:N10,"ECHY")*100/M10)</f>
        <v>0</v>
      </c>
      <c r="AF10">
        <f>IF(M10=0,0,COUNTIF('4_imgsummary'!E10:N10,"ECHI")*100/M10)</f>
        <v>0</v>
      </c>
      <c r="AG10">
        <f>IF(M10=0,0,COUNTIF('4_imgsummary'!E10:N10,"EUP")*100/M10)</f>
        <v>0</v>
      </c>
      <c r="AH10">
        <f>IF(M10=0,0,COUNTIF('4_imgsummary'!E10:N10,"FAV")*100/M10)</f>
        <v>0</v>
      </c>
      <c r="AI10">
        <f>IF(M10=0,0,COUNTIF('4_imgsummary'!E10:N10,"FVI")*100/M10)</f>
        <v>0</v>
      </c>
      <c r="AJ10">
        <f>IF(M10=0,0,COUNTIF('4_imgsummary'!E10:N10,"CMR")*100/M10)</f>
        <v>0</v>
      </c>
      <c r="AK10">
        <f>IF(M10=0,0,COUNTIF('4_imgsummary'!E10:N10,"GAL")*100/M10)</f>
        <v>0</v>
      </c>
      <c r="AL10">
        <f>IF(M10=0,0,COUNTIF('4_imgsummary'!E10:N10,"GONIA")*100/M10)</f>
        <v>0</v>
      </c>
      <c r="AM10">
        <f>IF(M10=0,0,COUNTIF('4_imgsummary'!E10:N10,"GONIO")*100/M10)</f>
        <v>0</v>
      </c>
      <c r="AN10">
        <f>IF(M10=0,0,COUNTIF('4_imgsummary'!E10:N10,"HEL")*100/M10)</f>
        <v>0</v>
      </c>
      <c r="AO10">
        <f>IF(M10=0,0,COUNTIF('4_imgsummary'!E10:N10,"HYD")*100/M10)</f>
        <v>0</v>
      </c>
      <c r="AP10">
        <f>IF(M10=0,0,COUNTIF('4_imgsummary'!E10:N10,"ISO")*100/M10)</f>
        <v>0</v>
      </c>
      <c r="AQ10">
        <f>IF(M10=0,0,COUNTIF('4_imgsummary'!E10:N10,"LEPA")*100/M10)</f>
        <v>0</v>
      </c>
      <c r="AR10">
        <f>IF(M10=0,0,COUNTIF('4_imgsummary'!E10:N10,"LEPS")*100/M10)</f>
        <v>0</v>
      </c>
      <c r="AS10">
        <f>IF(M10=0,0,COUNTIF('4_imgsummary'!E10:N10,"LOB")*100/M10)</f>
        <v>0</v>
      </c>
      <c r="AT10">
        <f>IF(M10=0,0,COUNTIF('4_imgsummary'!E10:N10,"MER")*100/M10)</f>
        <v>0</v>
      </c>
      <c r="AU10">
        <f>IF(M10=0,0,COUNTIF('4_imgsummary'!E10:N10,"MILL")*100/M10)</f>
        <v>0</v>
      </c>
      <c r="AV10">
        <f>IF(M10=0,0,COUNTIF('4_imgsummary'!E10:N10,"MON")*100/M10)</f>
        <v>0</v>
      </c>
      <c r="AW10">
        <f>IF(M10=0,0,COUNTIF('4_imgsummary'!E10:N10,"MONTB")*100/M10)</f>
        <v>0</v>
      </c>
      <c r="AX10">
        <f>IF(M10=0,0,COUNTIF('4_imgsummary'!E10:N10,"MONTE")*100/M10)</f>
        <v>0</v>
      </c>
      <c r="AY10">
        <f>IF(M10=0,0,COUNTIF('4_imgsummary'!E10:N10,"MONTF")*100/M10)</f>
        <v>0</v>
      </c>
      <c r="AZ10">
        <f>IF(M10=0,0,COUNTIF('4_imgsummary'!E10:N10,"MYC")*100/M10)</f>
        <v>0</v>
      </c>
      <c r="BA10">
        <f>IF(M10=0,0,COUNTIF('4_imgsummary'!E10:N10,"CB")*100/M10)</f>
        <v>0</v>
      </c>
      <c r="BB10">
        <f>IF(M10=0,0,COUNTIF('4_imgsummary'!E10:N10,"BUB")*100/M10)</f>
        <v>0</v>
      </c>
      <c r="BC10">
        <f>IF(M10=0,0,COUNTIF('4_imgsummary'!E10:N10,"CE")*100/M10)</f>
        <v>0</v>
      </c>
      <c r="BD10">
        <f>IF(M10=0,0,COUNTIF('4_imgsummary'!E10:N10,"CF")*100/M10)</f>
        <v>0</v>
      </c>
      <c r="BE10">
        <f>IF(M10=0,0,COUNTIF('4_imgsummary'!E10:N10,"FOT")*100/M10)</f>
        <v>0</v>
      </c>
      <c r="BF10">
        <f>IF(M10=0,0,COUNTIF('4_imgsummary'!E10:N10,"CM")*100/M10)</f>
        <v>0</v>
      </c>
      <c r="BG10">
        <f>IF(M10=0,0,COUNTIF('4_imgsummary'!E10:N10,"OULA")*100/M10)</f>
        <v>0</v>
      </c>
      <c r="BH10">
        <f>IF(M10=0,0,COUNTIF('4_imgsummary'!E10:N10,"OULO")*100/M10)</f>
        <v>0</v>
      </c>
      <c r="BI10">
        <f>IF(M10=0,0,COUNTIF('4_imgsummary'!E10:N10,"OXY")*100/M10)</f>
        <v>0</v>
      </c>
      <c r="BJ10">
        <f>IF(M10=0,0,COUNTIF('4_imgsummary'!E10:N10,"PACE")*100/M10)</f>
        <v>0</v>
      </c>
      <c r="BK10">
        <f>IF(M10=0,0,COUNTIF('4_imgsummary'!E10:N10,"PACF")*100/M10)</f>
        <v>0</v>
      </c>
      <c r="BL10">
        <f>IF(M10=0,0,COUNTIF('4_imgsummary'!E10:N10,"PAV")*100/M10)</f>
        <v>0</v>
      </c>
      <c r="BM10">
        <f>IF(M10=0,0,COUNTIF('4_imgsummary'!E10:N10,"PEC")*100/M10)</f>
        <v>0</v>
      </c>
      <c r="BN10">
        <f>IF(M10=0,0,COUNTIF('4_imgsummary'!E10:N10,"PLAT")*100/M10)</f>
        <v>0</v>
      </c>
      <c r="BO10">
        <f>IF(M10=0,0,COUNTIF('4_imgsummary'!E10:N10,"POC")*100/M10)</f>
        <v>0</v>
      </c>
      <c r="BP10">
        <f>IF(M10=0,0,COUNTIF('4_imgsummary'!E10:N10,"PORB")*100/M10)</f>
        <v>0</v>
      </c>
      <c r="BQ10">
        <f>IF(M10=0,0,COUNTIF('4_imgsummary'!E10:N10,"PORE")*100/M10)</f>
        <v>0</v>
      </c>
      <c r="BR10" s="26">
        <f>IF(M10=0,0,COUNTIF('4_imgsummary'!E10:N10,"PORM")*100/M10)</f>
        <v>20</v>
      </c>
      <c r="BS10">
        <f>IF(M10=0,0,COUNTIF('4_imgsummary'!E10:N10,"SER")*100/M10)</f>
        <v>0</v>
      </c>
      <c r="BT10">
        <f>IF(M10=0,0,COUNTIF('4_imgsummary'!E10:N10,"STY")*100/M10)</f>
        <v>0</v>
      </c>
      <c r="BU10">
        <f>IF(M10=0,0,COUNTIF('4_imgsummary'!E10:N10,"SYM")*100/M10)</f>
        <v>0</v>
      </c>
      <c r="BV10">
        <f>IF(M10=0,0,COUNTIF('4_imgsummary'!E10:N10,"TUBI")*100/M10)</f>
        <v>0</v>
      </c>
      <c r="BW10">
        <f>IF(M10=0,0,COUNTIF('4_imgsummary'!E10:N10,"TURB")*100/M10)</f>
        <v>0</v>
      </c>
      <c r="BX10">
        <f>IF(M10=0,0,COUNTIF('4_imgsummary'!E10:N10,"ZACRF")*100/M10)</f>
        <v>0</v>
      </c>
      <c r="BY10">
        <f>IF(M10=0,0,COUNTIF('4_imgsummary'!E10:N10,"ZAGARF")*100/M10)</f>
        <v>0</v>
      </c>
      <c r="BZ10">
        <f>IF(M10=0,0,COUNTIF('4_imgsummary'!E10:N10,"ZAGATF")*100/M10)</f>
        <v>0</v>
      </c>
      <c r="CA10">
        <f>IF(M10=0,0,COUNTIF('4_imgsummary'!E10:N10,"ZDENF")*100/M10)</f>
        <v>0</v>
      </c>
      <c r="CB10">
        <f>IF(M10=0,0,COUNTIF('4_imgsummary'!E10:N10,"ZEUPF")*100/M10)</f>
        <v>0</v>
      </c>
      <c r="CC10">
        <f>IF(M10=0,0,COUNTIF('4_imgsummary'!E10:N10,"ZFAVF")*100/M10)</f>
        <v>0</v>
      </c>
      <c r="CD10">
        <f>IF(M10=0,0,COUNTIF('4_imgsummary'!E10:N10,"ZCMRF")*100/M10)</f>
        <v>0</v>
      </c>
      <c r="CE10">
        <f>IF(M10=0,0,COUNTIF('4_imgsummary'!E10:N10,"ZMUSF")*100/M10)</f>
        <v>0</v>
      </c>
      <c r="CF10">
        <f>IF(M10=0,0,COUNTIF('4_imgsummary'!E10:N10,"ZNSC")*100/M10)</f>
        <v>0</v>
      </c>
      <c r="CG10">
        <f>IF(M10=0,0,COUNTIF('4_imgsummary'!E10:N10,"ZOC")*100/M10)</f>
        <v>0</v>
      </c>
      <c r="CH10">
        <f>IF(M10=0,0,COUNTIF('4_imgsummary'!E10:N10,"ZPOCF")*100/M10)</f>
        <v>0</v>
      </c>
      <c r="CI10">
        <f>IF(M10=0,0,COUNTIF('4_imgsummary'!E10:N10,"ZPORF")*100/M10)</f>
        <v>0</v>
      </c>
      <c r="CK10" s="26">
        <f>IF(M10=0,0,COUNTIF('4_imgsummary'!E10:N10,"AA")*100/M10)</f>
        <v>30</v>
      </c>
      <c r="CL10" s="26">
        <f>IF(M10=0,0,COUNTIF('4_imgsummary'!E10:N10,"CA")*100/M10)</f>
        <v>20</v>
      </c>
      <c r="CM10">
        <f>IF(M10=0,0,COUNTIF('4_imgsummary'!E10:N10,"DC")*100/M10)</f>
        <v>0</v>
      </c>
      <c r="CN10">
        <f>IF(M10=0,0,COUNTIF('4_imgsummary'!E10:N10,"DCA")*100/M10)</f>
        <v>0</v>
      </c>
      <c r="CO10">
        <f>IF(M10=0,0,COUNTIF('4_imgsummary'!E10:N10,"DIS")*100/M10)</f>
        <v>0</v>
      </c>
      <c r="CQ10">
        <f>IF(M10=0,0,COUNTIF('4_imgsummary'!E10:N10,"GRV")*100/M10)</f>
        <v>0</v>
      </c>
      <c r="CR10">
        <f>IF(M10=0,0,COUNTIF('4_imgsummary'!E10:N10,"R")*100/M10)</f>
        <v>0</v>
      </c>
      <c r="CS10">
        <f>IF(M10=0,0,COUNTIF('4_imgsummary'!E10:N10,"S")*100/M10)</f>
        <v>0</v>
      </c>
      <c r="CT10">
        <f>IF(M10=0,0,COUNTIF('4_imgsummary'!E10:N10,"RCK")*100/M10)</f>
        <v>0</v>
      </c>
      <c r="CU10">
        <f>IF(M10=0,0,COUNTIF('4_imgsummary'!E10:N10,"SI")*100/M10)</f>
        <v>0</v>
      </c>
      <c r="CW10">
        <f>IF(M10=0,0,COUNTIF('4_imgsummary'!E10:N10,"COD")*100/M10)</f>
        <v>0</v>
      </c>
      <c r="CX10">
        <f>IF(M10=0,0,COUNTIF('4_imgsummary'!E10:N10,"KAPP")*100/M10)</f>
        <v>0</v>
      </c>
      <c r="CY10">
        <f>IF(M10=0,0,COUNTIF('4_imgsummary'!E10:N10,"MA")*100/M10)</f>
        <v>0</v>
      </c>
      <c r="CZ10">
        <f>IF(M10=0,0,COUNTIF('4_imgsummary'!E10:N10,"SARG")*100/M10)</f>
        <v>0</v>
      </c>
      <c r="DB10">
        <f>IF(M10=0,0,COUNTIF('4_imgsummary'!E10:N10,"HA")*100/M10)</f>
        <v>0</v>
      </c>
      <c r="DD10">
        <f>IF(M10=0,0,COUNTIF('4_imgsummary'!E10:N10,"COTS")*100/M10)</f>
        <v>0</v>
      </c>
      <c r="DE10">
        <f>IF(M10=0,0,COUNTIF('4_imgsummary'!E10:N10,"COR")*100/M10)</f>
        <v>0</v>
      </c>
      <c r="DF10">
        <f>IF(M10=0,0,COUNTIF('4_imgsummary'!E10:N10,"DIA")*100/M10)</f>
        <v>0</v>
      </c>
      <c r="DG10">
        <f>IF(M10=0,0,COUNTIF('4_imgsummary'!E10:N10,"GORG")*100/M10)</f>
        <v>0</v>
      </c>
      <c r="DH10">
        <f>IF(M10=0,0,COUNTIF('4_imgsummary'!E10:N10,"ISIS")*100/M10)</f>
        <v>0</v>
      </c>
      <c r="DI10">
        <f>IF(M10=0,0,COUNTIF('4_imgsummary'!E10:N10,"OT")*100/M10)</f>
        <v>0</v>
      </c>
      <c r="DJ10">
        <f>IF(M10=0,0,COUNTIF('4_imgsummary'!E10:N10,"SG")*100/M10)</f>
        <v>0</v>
      </c>
      <c r="DK10">
        <f>IF(M10=0,0,COUNTIF('4_imgsummary'!E10:N10,"SC")*100/M10)</f>
        <v>0</v>
      </c>
      <c r="DL10">
        <f>IF(M10=0,0,COUNTIF('4_imgsummary'!E10:N10,"SP")*100/M10)</f>
        <v>0</v>
      </c>
      <c r="DM10">
        <f>IF(M10=0,0,COUNTIF('4_imgsummary'!E10:N10,"ZO")*100/M10)</f>
        <v>0</v>
      </c>
      <c r="DO10" s="26">
        <f>IF(M10=0,0,COUNTIF('4_imgsummary'!E10:N10,"TWB")*100/M10)</f>
        <v>10</v>
      </c>
      <c r="DQ10">
        <f>IF(M10=0,0,COUNTIF('4_imgsummary'!Y10:AH10,"COR")*100/M10)</f>
        <v>0</v>
      </c>
      <c r="DR10">
        <f>IF(M10=0,0,COUNTIF('4_imgsummary'!Y10:AH10,"COTS")*100/M10)</f>
        <v>0</v>
      </c>
      <c r="DS10">
        <f>IF(M10=0,0,COUNTIF('4_imgsummary'!Y10:AH10,"DIA")*100/M10)</f>
        <v>0</v>
      </c>
      <c r="DT10">
        <f>IF(M10=0,0,COUNTIF('4_imgsummary'!Y10:AH10,"GORG")*100/M10)</f>
        <v>0</v>
      </c>
      <c r="DU10">
        <f>IF(M10=0,0,COUNTIF('4_imgsummary'!Y10:AH10,"ISIS")*100/M10)</f>
        <v>0</v>
      </c>
      <c r="DV10">
        <f>IF(M10=0,0,COUNTIF('4_imgsummary'!Y10:AH10,"DIS")*100/M10)</f>
        <v>0</v>
      </c>
      <c r="DW10">
        <f>IF(M10=0,0,COUNTIF('4_imgsummary'!Y10:AH10,"BLEC")*100/M10)</f>
        <v>0</v>
      </c>
      <c r="DX10">
        <f>IF(M10=0,0,COUNTIF('4_imgsummary'!Y10:AH10,"COD")*100/M10)</f>
        <v>0</v>
      </c>
      <c r="DY10">
        <f>IF(M10=0,0,COUNTIF('4_imgsummary'!Y10:AH10,"KAPP")*100/M10)</f>
        <v>0</v>
      </c>
      <c r="DZ10">
        <f>IF(M10=0,0,COUNTIF('4_imgsummary'!Y10:AH10,"SARG")*100/M10)</f>
        <v>0</v>
      </c>
      <c r="EA10">
        <f>IF(M10=0,0,COUNTIF('4_imgsummary'!Y10:AH10,"ZACRF")*100/M10)</f>
        <v>0</v>
      </c>
      <c r="EB10">
        <f>IF(M10=0,0,COUNTIF('4_imgsummary'!Y10:AH10,"ZAGARF")*100/M10)</f>
        <v>0</v>
      </c>
      <c r="EC10">
        <f>IF(M10=0,0,COUNTIF('4_imgsummary'!Y10:AH10,"ZAGATF")*100/M10)</f>
        <v>0</v>
      </c>
      <c r="ED10">
        <f>IF(M10=0,0,COUNTIF('4_imgsummary'!Y10:AH10,"ZCMRF")*100/M10)</f>
        <v>0</v>
      </c>
      <c r="EE10">
        <f>IF(M10=0,0,COUNTIF('4_imgsummary'!Y10:AH10,"ZDENF")*100/M10)</f>
        <v>0</v>
      </c>
      <c r="EF10">
        <f>IF(M10=0,0,COUNTIF('4_imgsummary'!Y10:AH10,"ZEUPF")*100/M10)</f>
        <v>0</v>
      </c>
      <c r="EG10">
        <f>IF(M10=0,0,COUNTIF('4_imgsummary'!Y10:AH10,"ZFAVF")*100/M10)</f>
        <v>0</v>
      </c>
      <c r="EH10">
        <f>IF(M10=0,0,COUNTIF('4_imgsummary'!Y10:AH10,"ZMUSF")*100/M10)</f>
        <v>0</v>
      </c>
      <c r="EI10">
        <f>IF(M10=0,0,COUNTIF('4_imgsummary'!Y10:AH10,"ZNSC")*100/M10)</f>
        <v>0</v>
      </c>
      <c r="EJ10">
        <f>IF(M10=0,0,COUNTIF('4_imgsummary'!Y10:AH10,"ZOC")*100/M10)</f>
        <v>0</v>
      </c>
      <c r="EK10">
        <f>IF(M10=0,0,COUNTIF('4_imgsummary'!Y10:AH10,"ZPOCF")*100/M10)</f>
        <v>0</v>
      </c>
      <c r="EL10">
        <f>IF(M10=0,0,COUNTIF('4_imgsummary'!Y10:AH10,"ZPORF")*100/M10)</f>
        <v>0</v>
      </c>
    </row>
    <row r="11" spans="1:142" x14ac:dyDescent="0.35">
      <c r="A11">
        <v>9</v>
      </c>
      <c r="B11" t="s">
        <v>76</v>
      </c>
      <c r="F11" s="26">
        <f>IF(M11=0,0,COUNTIF('4_imgsummary'!O11:X11,"HC")*100/M11)</f>
        <v>60</v>
      </c>
      <c r="G11" s="26">
        <f>IF(M11=0,0,COUNTIF('4_imgsummary'!O11:X11,"AA")*100/M11)</f>
        <v>20</v>
      </c>
      <c r="H11">
        <f>IF(M11=0,0,COUNTIF('4_imgsummary'!O11:X11,"AB")*100/M11)</f>
        <v>0</v>
      </c>
      <c r="I11">
        <f>IF(M11=0,0,COUNTIF('4_imgsummary'!O11:X11,"MA")*100/M11)</f>
        <v>0</v>
      </c>
      <c r="J11">
        <f>IF(M11=0,0,COUNTIF('4_imgsummary'!O11:X11,"HA")*100/M11)</f>
        <v>0</v>
      </c>
      <c r="K11" s="26">
        <f>IF(M11=0,0,COUNTIF('4_imgsummary'!O11:X11,"OB")*100/M11)</f>
        <v>20</v>
      </c>
      <c r="L11">
        <f>IF(M11=0,0,COUNTIF('4_imgsummary'!O11:X11,"TWB")*100/M11)</f>
        <v>0</v>
      </c>
      <c r="M11">
        <f>10-COUNTIF('4_imgsummary'!O11:X11,"TWS")</f>
        <v>10</v>
      </c>
      <c r="P11">
        <f>IF(M11=0,0,COUNTIF('4_imgsummary'!E11:N11,"ACAN")*100/M11)</f>
        <v>0</v>
      </c>
      <c r="Q11" s="26">
        <f>IF(M11=0,0,COUNTIF('4_imgsummary'!E11:N11,"ACB")*100/M11)</f>
        <v>50</v>
      </c>
      <c r="R11">
        <f>IF(M11=0,0,COUNTIF('4_imgsummary'!E11:N11,"ACC")*100/M11)</f>
        <v>0</v>
      </c>
      <c r="S11">
        <f>IF(M11=0,0,COUNTIF('4_imgsummary'!E11:N11,"ACD")*100/M11)</f>
        <v>0</v>
      </c>
      <c r="T11">
        <f>IF(M11=0,0,COUNTIF('4_imgsummary'!E11:N11,"ACH")*100/M11)</f>
        <v>0</v>
      </c>
      <c r="U11">
        <f>IF(M11=0,0,COUNTIF('4_imgsummary'!E11:N11,"ACT")*100/M11)</f>
        <v>0</v>
      </c>
      <c r="V11">
        <f>IF(M11=0,0,COUNTIF('4_imgsummary'!E11:N11,"ACR")*100/M11)</f>
        <v>0</v>
      </c>
      <c r="W11">
        <f>IF(M11=0,0,COUNTIF('4_imgsummary'!E11:N11,"AST")*100/M11)</f>
        <v>0</v>
      </c>
      <c r="X11">
        <f>IF(M11=0,0,COUNTIF('4_imgsummary'!E11:N11,"AF")*100/M11)</f>
        <v>0</v>
      </c>
      <c r="Y11">
        <f>IF(M11=0,0,COUNTIF('4_imgsummary'!E11:N11,"BLEC")*100/M11)</f>
        <v>0</v>
      </c>
      <c r="Z11">
        <f>IF(M11=0,0,COUNTIF('4_imgsummary'!E11:N11,"CAU")*100/M11)</f>
        <v>0</v>
      </c>
      <c r="AA11">
        <f>IF(M11=0,0,COUNTIF('4_imgsummary'!E11:N11,"COE")*100/M11)</f>
        <v>0</v>
      </c>
      <c r="AB11">
        <f>IF(M11=0,0,COUNTIF('4_imgsummary'!E11:N11,"COS")*100/M11)</f>
        <v>0</v>
      </c>
      <c r="AC11">
        <f>IF(M11=0,0,COUNTIF('4_imgsummary'!E11:N11,"CYP")*100/M11)</f>
        <v>0</v>
      </c>
      <c r="AD11">
        <f>IF(M11=0,0,COUNTIF('4_imgsummary'!E11:N11,"DIP")*100/M11)</f>
        <v>0</v>
      </c>
      <c r="AE11">
        <f>IF(M11=0,0,COUNTIF('4_imgsummary'!E11:N11,"ECHY")*100/M11)</f>
        <v>0</v>
      </c>
      <c r="AF11">
        <f>IF(M11=0,0,COUNTIF('4_imgsummary'!E11:N11,"ECHI")*100/M11)</f>
        <v>0</v>
      </c>
      <c r="AG11">
        <f>IF(M11=0,0,COUNTIF('4_imgsummary'!E11:N11,"EUP")*100/M11)</f>
        <v>0</v>
      </c>
      <c r="AH11">
        <f>IF(M11=0,0,COUNTIF('4_imgsummary'!E11:N11,"FAV")*100/M11)</f>
        <v>0</v>
      </c>
      <c r="AI11">
        <f>IF(M11=0,0,COUNTIF('4_imgsummary'!E11:N11,"FVI")*100/M11)</f>
        <v>0</v>
      </c>
      <c r="AJ11">
        <f>IF(M11=0,0,COUNTIF('4_imgsummary'!E11:N11,"CMR")*100/M11)</f>
        <v>0</v>
      </c>
      <c r="AK11">
        <f>IF(M11=0,0,COUNTIF('4_imgsummary'!E11:N11,"GAL")*100/M11)</f>
        <v>0</v>
      </c>
      <c r="AL11" s="26">
        <f>IF(M11=0,0,COUNTIF('4_imgsummary'!E11:N11,"GONIA")*100/M11)</f>
        <v>10</v>
      </c>
      <c r="AM11">
        <f>IF(M11=0,0,COUNTIF('4_imgsummary'!E11:N11,"GONIO")*100/M11)</f>
        <v>0</v>
      </c>
      <c r="AN11">
        <f>IF(M11=0,0,COUNTIF('4_imgsummary'!E11:N11,"HEL")*100/M11)</f>
        <v>0</v>
      </c>
      <c r="AO11">
        <f>IF(M11=0,0,COUNTIF('4_imgsummary'!E11:N11,"HYD")*100/M11)</f>
        <v>0</v>
      </c>
      <c r="AP11">
        <f>IF(M11=0,0,COUNTIF('4_imgsummary'!E11:N11,"ISO")*100/M11)</f>
        <v>0</v>
      </c>
      <c r="AQ11">
        <f>IF(M11=0,0,COUNTIF('4_imgsummary'!E11:N11,"LEPA")*100/M11)</f>
        <v>0</v>
      </c>
      <c r="AR11">
        <f>IF(M11=0,0,COUNTIF('4_imgsummary'!E11:N11,"LEPS")*100/M11)</f>
        <v>0</v>
      </c>
      <c r="AS11">
        <f>IF(M11=0,0,COUNTIF('4_imgsummary'!E11:N11,"LOB")*100/M11)</f>
        <v>0</v>
      </c>
      <c r="AT11">
        <f>IF(M11=0,0,COUNTIF('4_imgsummary'!E11:N11,"MER")*100/M11)</f>
        <v>0</v>
      </c>
      <c r="AU11">
        <f>IF(M11=0,0,COUNTIF('4_imgsummary'!E11:N11,"MILL")*100/M11)</f>
        <v>0</v>
      </c>
      <c r="AV11">
        <f>IF(M11=0,0,COUNTIF('4_imgsummary'!E11:N11,"MON")*100/M11)</f>
        <v>0</v>
      </c>
      <c r="AW11">
        <f>IF(M11=0,0,COUNTIF('4_imgsummary'!E11:N11,"MONTB")*100/M11)</f>
        <v>0</v>
      </c>
      <c r="AX11">
        <f>IF(M11=0,0,COUNTIF('4_imgsummary'!E11:N11,"MONTE")*100/M11)</f>
        <v>0</v>
      </c>
      <c r="AY11">
        <f>IF(M11=0,0,COUNTIF('4_imgsummary'!E11:N11,"MONTF")*100/M11)</f>
        <v>0</v>
      </c>
      <c r="AZ11">
        <f>IF(M11=0,0,COUNTIF('4_imgsummary'!E11:N11,"MYC")*100/M11)</f>
        <v>0</v>
      </c>
      <c r="BA11">
        <f>IF(M11=0,0,COUNTIF('4_imgsummary'!E11:N11,"CB")*100/M11)</f>
        <v>0</v>
      </c>
      <c r="BB11">
        <f>IF(M11=0,0,COUNTIF('4_imgsummary'!E11:N11,"BUB")*100/M11)</f>
        <v>0</v>
      </c>
      <c r="BC11">
        <f>IF(M11=0,0,COUNTIF('4_imgsummary'!E11:N11,"CE")*100/M11)</f>
        <v>0</v>
      </c>
      <c r="BD11">
        <f>IF(M11=0,0,COUNTIF('4_imgsummary'!E11:N11,"CF")*100/M11)</f>
        <v>0</v>
      </c>
      <c r="BE11">
        <f>IF(M11=0,0,COUNTIF('4_imgsummary'!E11:N11,"FOT")*100/M11)</f>
        <v>0</v>
      </c>
      <c r="BF11">
        <f>IF(M11=0,0,COUNTIF('4_imgsummary'!E11:N11,"CM")*100/M11)</f>
        <v>0</v>
      </c>
      <c r="BG11">
        <f>IF(M11=0,0,COUNTIF('4_imgsummary'!E11:N11,"OULA")*100/M11)</f>
        <v>0</v>
      </c>
      <c r="BH11">
        <f>IF(M11=0,0,COUNTIF('4_imgsummary'!E11:N11,"OULO")*100/M11)</f>
        <v>0</v>
      </c>
      <c r="BI11">
        <f>IF(M11=0,0,COUNTIF('4_imgsummary'!E11:N11,"OXY")*100/M11)</f>
        <v>0</v>
      </c>
      <c r="BJ11">
        <f>IF(M11=0,0,COUNTIF('4_imgsummary'!E11:N11,"PACE")*100/M11)</f>
        <v>0</v>
      </c>
      <c r="BK11">
        <f>IF(M11=0,0,COUNTIF('4_imgsummary'!E11:N11,"PACF")*100/M11)</f>
        <v>0</v>
      </c>
      <c r="BL11">
        <f>IF(M11=0,0,COUNTIF('4_imgsummary'!E11:N11,"PAV")*100/M11)</f>
        <v>0</v>
      </c>
      <c r="BM11">
        <f>IF(M11=0,0,COUNTIF('4_imgsummary'!E11:N11,"PEC")*100/M11)</f>
        <v>0</v>
      </c>
      <c r="BN11">
        <f>IF(M11=0,0,COUNTIF('4_imgsummary'!E11:N11,"PLAT")*100/M11)</f>
        <v>0</v>
      </c>
      <c r="BO11">
        <f>IF(M11=0,0,COUNTIF('4_imgsummary'!E11:N11,"POC")*100/M11)</f>
        <v>0</v>
      </c>
      <c r="BP11">
        <f>IF(M11=0,0,COUNTIF('4_imgsummary'!E11:N11,"PORB")*100/M11)</f>
        <v>0</v>
      </c>
      <c r="BQ11">
        <f>IF(M11=0,0,COUNTIF('4_imgsummary'!E11:N11,"PORE")*100/M11)</f>
        <v>0</v>
      </c>
      <c r="BR11">
        <f>IF(M11=0,0,COUNTIF('4_imgsummary'!E11:N11,"PORM")*100/M11)</f>
        <v>0</v>
      </c>
      <c r="BS11">
        <f>IF(M11=0,0,COUNTIF('4_imgsummary'!E11:N11,"SER")*100/M11)</f>
        <v>0</v>
      </c>
      <c r="BT11">
        <f>IF(M11=0,0,COUNTIF('4_imgsummary'!E11:N11,"STY")*100/M11)</f>
        <v>0</v>
      </c>
      <c r="BU11">
        <f>IF(M11=0,0,COUNTIF('4_imgsummary'!E11:N11,"SYM")*100/M11)</f>
        <v>0</v>
      </c>
      <c r="BV11">
        <f>IF(M11=0,0,COUNTIF('4_imgsummary'!E11:N11,"TUBI")*100/M11)</f>
        <v>0</v>
      </c>
      <c r="BW11">
        <f>IF(M11=0,0,COUNTIF('4_imgsummary'!E11:N11,"TURB")*100/M11)</f>
        <v>0</v>
      </c>
      <c r="BX11">
        <f>IF(M11=0,0,COUNTIF('4_imgsummary'!E11:N11,"ZACRF")*100/M11)</f>
        <v>0</v>
      </c>
      <c r="BY11">
        <f>IF(M11=0,0,COUNTIF('4_imgsummary'!E11:N11,"ZAGARF")*100/M11)</f>
        <v>0</v>
      </c>
      <c r="BZ11">
        <f>IF(M11=0,0,COUNTIF('4_imgsummary'!E11:N11,"ZAGATF")*100/M11)</f>
        <v>0</v>
      </c>
      <c r="CA11">
        <f>IF(M11=0,0,COUNTIF('4_imgsummary'!E11:N11,"ZDENF")*100/M11)</f>
        <v>0</v>
      </c>
      <c r="CB11">
        <f>IF(M11=0,0,COUNTIF('4_imgsummary'!E11:N11,"ZEUPF")*100/M11)</f>
        <v>0</v>
      </c>
      <c r="CC11">
        <f>IF(M11=0,0,COUNTIF('4_imgsummary'!E11:N11,"ZFAVF")*100/M11)</f>
        <v>0</v>
      </c>
      <c r="CD11">
        <f>IF(M11=0,0,COUNTIF('4_imgsummary'!E11:N11,"ZCMRF")*100/M11)</f>
        <v>0</v>
      </c>
      <c r="CE11">
        <f>IF(M11=0,0,COUNTIF('4_imgsummary'!E11:N11,"ZMUSF")*100/M11)</f>
        <v>0</v>
      </c>
      <c r="CF11">
        <f>IF(M11=0,0,COUNTIF('4_imgsummary'!E11:N11,"ZNSC")*100/M11)</f>
        <v>0</v>
      </c>
      <c r="CG11">
        <f>IF(M11=0,0,COUNTIF('4_imgsummary'!E11:N11,"ZOC")*100/M11)</f>
        <v>0</v>
      </c>
      <c r="CH11">
        <f>IF(M11=0,0,COUNTIF('4_imgsummary'!E11:N11,"ZPOCF")*100/M11)</f>
        <v>0</v>
      </c>
      <c r="CI11">
        <f>IF(M11=0,0,COUNTIF('4_imgsummary'!E11:N11,"ZPORF")*100/M11)</f>
        <v>0</v>
      </c>
      <c r="CK11">
        <f>IF(M11=0,0,COUNTIF('4_imgsummary'!E11:N11,"AA")*100/M11)</f>
        <v>0</v>
      </c>
      <c r="CL11" s="26">
        <f>IF(M11=0,0,COUNTIF('4_imgsummary'!E11:N11,"CA")*100/M11)</f>
        <v>20</v>
      </c>
      <c r="CM11">
        <f>IF(M11=0,0,COUNTIF('4_imgsummary'!E11:N11,"DC")*100/M11)</f>
        <v>0</v>
      </c>
      <c r="CN11">
        <f>IF(M11=0,0,COUNTIF('4_imgsummary'!E11:N11,"DCA")*100/M11)</f>
        <v>0</v>
      </c>
      <c r="CO11">
        <f>IF(M11=0,0,COUNTIF('4_imgsummary'!E11:N11,"DIS")*100/M11)</f>
        <v>0</v>
      </c>
      <c r="CQ11">
        <f>IF(M11=0,0,COUNTIF('4_imgsummary'!E11:N11,"GRV")*100/M11)</f>
        <v>0</v>
      </c>
      <c r="CR11">
        <f>IF(M11=0,0,COUNTIF('4_imgsummary'!E11:N11,"R")*100/M11)</f>
        <v>0</v>
      </c>
      <c r="CS11">
        <f>IF(M11=0,0,COUNTIF('4_imgsummary'!E11:N11,"S")*100/M11)</f>
        <v>0</v>
      </c>
      <c r="CT11">
        <f>IF(M11=0,0,COUNTIF('4_imgsummary'!E11:N11,"RCK")*100/M11)</f>
        <v>0</v>
      </c>
      <c r="CU11">
        <f>IF(M11=0,0,COUNTIF('4_imgsummary'!E11:N11,"SI")*100/M11)</f>
        <v>0</v>
      </c>
      <c r="CW11">
        <f>IF(M11=0,0,COUNTIF('4_imgsummary'!E11:N11,"COD")*100/M11)</f>
        <v>0</v>
      </c>
      <c r="CX11">
        <f>IF(M11=0,0,COUNTIF('4_imgsummary'!E11:N11,"KAPP")*100/M11)</f>
        <v>0</v>
      </c>
      <c r="CY11">
        <f>IF(M11=0,0,COUNTIF('4_imgsummary'!E11:N11,"MA")*100/M11)</f>
        <v>0</v>
      </c>
      <c r="CZ11">
        <f>IF(M11=0,0,COUNTIF('4_imgsummary'!E11:N11,"SARG")*100/M11)</f>
        <v>0</v>
      </c>
      <c r="DB11">
        <f>IF(M11=0,0,COUNTIF('4_imgsummary'!E11:N11,"HA")*100/M11)</f>
        <v>0</v>
      </c>
      <c r="DD11">
        <f>IF(M11=0,0,COUNTIF('4_imgsummary'!E11:N11,"COTS")*100/M11)</f>
        <v>0</v>
      </c>
      <c r="DE11">
        <f>IF(M11=0,0,COUNTIF('4_imgsummary'!E11:N11,"COR")*100/M11)</f>
        <v>0</v>
      </c>
      <c r="DF11">
        <f>IF(M11=0,0,COUNTIF('4_imgsummary'!E11:N11,"DIA")*100/M11)</f>
        <v>0</v>
      </c>
      <c r="DG11">
        <f>IF(M11=0,0,COUNTIF('4_imgsummary'!E11:N11,"GORG")*100/M11)</f>
        <v>0</v>
      </c>
      <c r="DH11">
        <f>IF(M11=0,0,COUNTIF('4_imgsummary'!E11:N11,"ISIS")*100/M11)</f>
        <v>0</v>
      </c>
      <c r="DI11">
        <f>IF(M11=0,0,COUNTIF('4_imgsummary'!E11:N11,"OT")*100/M11)</f>
        <v>0</v>
      </c>
      <c r="DJ11">
        <f>IF(M11=0,0,COUNTIF('4_imgsummary'!E11:N11,"SG")*100/M11)</f>
        <v>0</v>
      </c>
      <c r="DK11" s="26">
        <f>IF(M11=0,0,COUNTIF('4_imgsummary'!E11:N11,"SC")*100/M11)</f>
        <v>10</v>
      </c>
      <c r="DL11" s="26">
        <f>IF(M11=0,0,COUNTIF('4_imgsummary'!E11:N11,"SP")*100/M11)</f>
        <v>10</v>
      </c>
      <c r="DM11">
        <f>IF(M11=0,0,COUNTIF('4_imgsummary'!E11:N11,"ZO")*100/M11)</f>
        <v>0</v>
      </c>
      <c r="DO11">
        <f>IF(M11=0,0,COUNTIF('4_imgsummary'!E11:N11,"TWB")*100/M11)</f>
        <v>0</v>
      </c>
      <c r="DQ11">
        <f>IF(M11=0,0,COUNTIF('4_imgsummary'!Y11:AH11,"COR")*100/M11)</f>
        <v>0</v>
      </c>
      <c r="DR11">
        <f>IF(M11=0,0,COUNTIF('4_imgsummary'!Y11:AH11,"COTS")*100/M11)</f>
        <v>0</v>
      </c>
      <c r="DS11">
        <f>IF(M11=0,0,COUNTIF('4_imgsummary'!Y11:AH11,"DIA")*100/M11)</f>
        <v>0</v>
      </c>
      <c r="DT11">
        <f>IF(M11=0,0,COUNTIF('4_imgsummary'!Y11:AH11,"GORG")*100/M11)</f>
        <v>0</v>
      </c>
      <c r="DU11">
        <f>IF(M11=0,0,COUNTIF('4_imgsummary'!Y11:AH11,"ISIS")*100/M11)</f>
        <v>0</v>
      </c>
      <c r="DV11">
        <f>IF(M11=0,0,COUNTIF('4_imgsummary'!Y11:AH11,"DIS")*100/M11)</f>
        <v>0</v>
      </c>
      <c r="DW11">
        <f>IF(M11=0,0,COUNTIF('4_imgsummary'!Y11:AH11,"BLEC")*100/M11)</f>
        <v>0</v>
      </c>
      <c r="DX11">
        <f>IF(M11=0,0,COUNTIF('4_imgsummary'!Y11:AH11,"COD")*100/M11)</f>
        <v>0</v>
      </c>
      <c r="DY11">
        <f>IF(M11=0,0,COUNTIF('4_imgsummary'!Y11:AH11,"KAPP")*100/M11)</f>
        <v>0</v>
      </c>
      <c r="DZ11">
        <f>IF(M11=0,0,COUNTIF('4_imgsummary'!Y11:AH11,"SARG")*100/M11)</f>
        <v>0</v>
      </c>
      <c r="EA11">
        <f>IF(M11=0,0,COUNTIF('4_imgsummary'!Y11:AH11,"ZACRF")*100/M11)</f>
        <v>0</v>
      </c>
      <c r="EB11">
        <f>IF(M11=0,0,COUNTIF('4_imgsummary'!Y11:AH11,"ZAGARF")*100/M11)</f>
        <v>0</v>
      </c>
      <c r="EC11">
        <f>IF(M11=0,0,COUNTIF('4_imgsummary'!Y11:AH11,"ZAGATF")*100/M11)</f>
        <v>0</v>
      </c>
      <c r="ED11">
        <f>IF(M11=0,0,COUNTIF('4_imgsummary'!Y11:AH11,"ZCMRF")*100/M11)</f>
        <v>0</v>
      </c>
      <c r="EE11">
        <f>IF(M11=0,0,COUNTIF('4_imgsummary'!Y11:AH11,"ZDENF")*100/M11)</f>
        <v>0</v>
      </c>
      <c r="EF11">
        <f>IF(M11=0,0,COUNTIF('4_imgsummary'!Y11:AH11,"ZEUPF")*100/M11)</f>
        <v>0</v>
      </c>
      <c r="EG11">
        <f>IF(M11=0,0,COUNTIF('4_imgsummary'!Y11:AH11,"ZFAVF")*100/M11)</f>
        <v>0</v>
      </c>
      <c r="EH11">
        <f>IF(M11=0,0,COUNTIF('4_imgsummary'!Y11:AH11,"ZMUSF")*100/M11)</f>
        <v>0</v>
      </c>
      <c r="EI11">
        <f>IF(M11=0,0,COUNTIF('4_imgsummary'!Y11:AH11,"ZNSC")*100/M11)</f>
        <v>0</v>
      </c>
      <c r="EJ11">
        <f>IF(M11=0,0,COUNTIF('4_imgsummary'!Y11:AH11,"ZOC")*100/M11)</f>
        <v>0</v>
      </c>
      <c r="EK11">
        <f>IF(M11=0,0,COUNTIF('4_imgsummary'!Y11:AH11,"ZPOCF")*100/M11)</f>
        <v>0</v>
      </c>
      <c r="EL11">
        <f>IF(M11=0,0,COUNTIF('4_imgsummary'!Y11:AH11,"ZPORF")*100/M11)</f>
        <v>0</v>
      </c>
    </row>
    <row r="12" spans="1:142" x14ac:dyDescent="0.35">
      <c r="A12">
        <v>10</v>
      </c>
      <c r="B12" t="s">
        <v>79</v>
      </c>
      <c r="F12" s="26">
        <f>IF(M12=0,0,COUNTIF('4_imgsummary'!O12:X12,"HC")*100/M12)</f>
        <v>80</v>
      </c>
      <c r="G12">
        <f>IF(M12=0,0,COUNTIF('4_imgsummary'!O12:X12,"AA")*100/M12)</f>
        <v>0</v>
      </c>
      <c r="H12">
        <f>IF(M12=0,0,COUNTIF('4_imgsummary'!O12:X12,"AB")*100/M12)</f>
        <v>0</v>
      </c>
      <c r="I12">
        <f>IF(M12=0,0,COUNTIF('4_imgsummary'!O12:X12,"MA")*100/M12)</f>
        <v>0</v>
      </c>
      <c r="J12">
        <f>IF(M12=0,0,COUNTIF('4_imgsummary'!O12:X12,"HA")*100/M12)</f>
        <v>0</v>
      </c>
      <c r="K12">
        <f>IF(M12=0,0,COUNTIF('4_imgsummary'!O12:X12,"OB")*100/M12)</f>
        <v>0</v>
      </c>
      <c r="L12" s="26">
        <f>IF(M12=0,0,COUNTIF('4_imgsummary'!O12:X12,"TWB")*100/M12)</f>
        <v>20</v>
      </c>
      <c r="M12">
        <f>10-COUNTIF('4_imgsummary'!O12:X12,"TWS")</f>
        <v>10</v>
      </c>
      <c r="P12">
        <f>IF(M12=0,0,COUNTIF('4_imgsummary'!E12:N12,"ACAN")*100/M12)</f>
        <v>0</v>
      </c>
      <c r="Q12" s="26">
        <f>IF(M12=0,0,COUNTIF('4_imgsummary'!E12:N12,"ACB")*100/M12)</f>
        <v>70</v>
      </c>
      <c r="R12">
        <f>IF(M12=0,0,COUNTIF('4_imgsummary'!E12:N12,"ACC")*100/M12)</f>
        <v>0</v>
      </c>
      <c r="S12">
        <f>IF(M12=0,0,COUNTIF('4_imgsummary'!E12:N12,"ACD")*100/M12)</f>
        <v>0</v>
      </c>
      <c r="T12">
        <f>IF(M12=0,0,COUNTIF('4_imgsummary'!E12:N12,"ACH")*100/M12)</f>
        <v>0</v>
      </c>
      <c r="U12">
        <f>IF(M12=0,0,COUNTIF('4_imgsummary'!E12:N12,"ACT")*100/M12)</f>
        <v>0</v>
      </c>
      <c r="V12">
        <f>IF(M12=0,0,COUNTIF('4_imgsummary'!E12:N12,"ACR")*100/M12)</f>
        <v>0</v>
      </c>
      <c r="W12">
        <f>IF(M12=0,0,COUNTIF('4_imgsummary'!E12:N12,"AST")*100/M12)</f>
        <v>0</v>
      </c>
      <c r="X12">
        <f>IF(M12=0,0,COUNTIF('4_imgsummary'!E12:N12,"AF")*100/M12)</f>
        <v>0</v>
      </c>
      <c r="Y12">
        <f>IF(M12=0,0,COUNTIF('4_imgsummary'!E12:N12,"BLEC")*100/M12)</f>
        <v>0</v>
      </c>
      <c r="Z12">
        <f>IF(M12=0,0,COUNTIF('4_imgsummary'!E12:N12,"CAU")*100/M12)</f>
        <v>0</v>
      </c>
      <c r="AA12">
        <f>IF(M12=0,0,COUNTIF('4_imgsummary'!E12:N12,"COE")*100/M12)</f>
        <v>0</v>
      </c>
      <c r="AB12">
        <f>IF(M12=0,0,COUNTIF('4_imgsummary'!E12:N12,"COS")*100/M12)</f>
        <v>0</v>
      </c>
      <c r="AC12">
        <f>IF(M12=0,0,COUNTIF('4_imgsummary'!E12:N12,"CYP")*100/M12)</f>
        <v>0</v>
      </c>
      <c r="AD12">
        <f>IF(M12=0,0,COUNTIF('4_imgsummary'!E12:N12,"DIP")*100/M12)</f>
        <v>0</v>
      </c>
      <c r="AE12">
        <f>IF(M12=0,0,COUNTIF('4_imgsummary'!E12:N12,"ECHY")*100/M12)</f>
        <v>0</v>
      </c>
      <c r="AF12">
        <f>IF(M12=0,0,COUNTIF('4_imgsummary'!E12:N12,"ECHI")*100/M12)</f>
        <v>0</v>
      </c>
      <c r="AG12">
        <f>IF(M12=0,0,COUNTIF('4_imgsummary'!E12:N12,"EUP")*100/M12)</f>
        <v>0</v>
      </c>
      <c r="AH12">
        <f>IF(M12=0,0,COUNTIF('4_imgsummary'!E12:N12,"FAV")*100/M12)</f>
        <v>0</v>
      </c>
      <c r="AI12">
        <f>IF(M12=0,0,COUNTIF('4_imgsummary'!E12:N12,"FVI")*100/M12)</f>
        <v>0</v>
      </c>
      <c r="AJ12">
        <f>IF(M12=0,0,COUNTIF('4_imgsummary'!E12:N12,"CMR")*100/M12)</f>
        <v>0</v>
      </c>
      <c r="AK12">
        <f>IF(M12=0,0,COUNTIF('4_imgsummary'!E12:N12,"GAL")*100/M12)</f>
        <v>0</v>
      </c>
      <c r="AL12">
        <f>IF(M12=0,0,COUNTIF('4_imgsummary'!E12:N12,"GONIA")*100/M12)</f>
        <v>0</v>
      </c>
      <c r="AM12">
        <f>IF(M12=0,0,COUNTIF('4_imgsummary'!E12:N12,"GONIO")*100/M12)</f>
        <v>0</v>
      </c>
      <c r="AN12">
        <f>IF(M12=0,0,COUNTIF('4_imgsummary'!E12:N12,"HEL")*100/M12)</f>
        <v>0</v>
      </c>
      <c r="AO12">
        <f>IF(M12=0,0,COUNTIF('4_imgsummary'!E12:N12,"HYD")*100/M12)</f>
        <v>0</v>
      </c>
      <c r="AP12">
        <f>IF(M12=0,0,COUNTIF('4_imgsummary'!E12:N12,"ISO")*100/M12)</f>
        <v>0</v>
      </c>
      <c r="AQ12">
        <f>IF(M12=0,0,COUNTIF('4_imgsummary'!E12:N12,"LEPA")*100/M12)</f>
        <v>0</v>
      </c>
      <c r="AR12">
        <f>IF(M12=0,0,COUNTIF('4_imgsummary'!E12:N12,"LEPS")*100/M12)</f>
        <v>0</v>
      </c>
      <c r="AS12">
        <f>IF(M12=0,0,COUNTIF('4_imgsummary'!E12:N12,"LOB")*100/M12)</f>
        <v>0</v>
      </c>
      <c r="AT12">
        <f>IF(M12=0,0,COUNTIF('4_imgsummary'!E12:N12,"MER")*100/M12)</f>
        <v>0</v>
      </c>
      <c r="AU12">
        <f>IF(M12=0,0,COUNTIF('4_imgsummary'!E12:N12,"MILL")*100/M12)</f>
        <v>0</v>
      </c>
      <c r="AV12">
        <f>IF(M12=0,0,COUNTIF('4_imgsummary'!E12:N12,"MON")*100/M12)</f>
        <v>0</v>
      </c>
      <c r="AW12">
        <f>IF(M12=0,0,COUNTIF('4_imgsummary'!E12:N12,"MONTB")*100/M12)</f>
        <v>0</v>
      </c>
      <c r="AX12">
        <f>IF(M12=0,0,COUNTIF('4_imgsummary'!E12:N12,"MONTE")*100/M12)</f>
        <v>0</v>
      </c>
      <c r="AY12">
        <f>IF(M12=0,0,COUNTIF('4_imgsummary'!E12:N12,"MONTF")*100/M12)</f>
        <v>0</v>
      </c>
      <c r="AZ12">
        <f>IF(M12=0,0,COUNTIF('4_imgsummary'!E12:N12,"MYC")*100/M12)</f>
        <v>0</v>
      </c>
      <c r="BA12">
        <f>IF(M12=0,0,COUNTIF('4_imgsummary'!E12:N12,"CB")*100/M12)</f>
        <v>0</v>
      </c>
      <c r="BB12">
        <f>IF(M12=0,0,COUNTIF('4_imgsummary'!E12:N12,"BUB")*100/M12)</f>
        <v>0</v>
      </c>
      <c r="BC12">
        <f>IF(M12=0,0,COUNTIF('4_imgsummary'!E12:N12,"CE")*100/M12)</f>
        <v>0</v>
      </c>
      <c r="BD12">
        <f>IF(M12=0,0,COUNTIF('4_imgsummary'!E12:N12,"CF")*100/M12)</f>
        <v>0</v>
      </c>
      <c r="BE12">
        <f>IF(M12=0,0,COUNTIF('4_imgsummary'!E12:N12,"FOT")*100/M12)</f>
        <v>0</v>
      </c>
      <c r="BF12">
        <f>IF(M12=0,0,COUNTIF('4_imgsummary'!E12:N12,"CM")*100/M12)</f>
        <v>0</v>
      </c>
      <c r="BG12">
        <f>IF(M12=0,0,COUNTIF('4_imgsummary'!E12:N12,"OULA")*100/M12)</f>
        <v>0</v>
      </c>
      <c r="BH12">
        <f>IF(M12=0,0,COUNTIF('4_imgsummary'!E12:N12,"OULO")*100/M12)</f>
        <v>0</v>
      </c>
      <c r="BI12">
        <f>IF(M12=0,0,COUNTIF('4_imgsummary'!E12:N12,"OXY")*100/M12)</f>
        <v>0</v>
      </c>
      <c r="BJ12" s="26">
        <f>IF(M12=0,0,COUNTIF('4_imgsummary'!E12:N12,"PACE")*100/M12)</f>
        <v>10</v>
      </c>
      <c r="BK12">
        <f>IF(M12=0,0,COUNTIF('4_imgsummary'!E12:N12,"PACF")*100/M12)</f>
        <v>0</v>
      </c>
      <c r="BL12">
        <f>IF(M12=0,0,COUNTIF('4_imgsummary'!E12:N12,"PAV")*100/M12)</f>
        <v>0</v>
      </c>
      <c r="BM12">
        <f>IF(M12=0,0,COUNTIF('4_imgsummary'!E12:N12,"PEC")*100/M12)</f>
        <v>0</v>
      </c>
      <c r="BN12">
        <f>IF(M12=0,0,COUNTIF('4_imgsummary'!E12:N12,"PLAT")*100/M12)</f>
        <v>0</v>
      </c>
      <c r="BO12">
        <f>IF(M12=0,0,COUNTIF('4_imgsummary'!E12:N12,"POC")*100/M12)</f>
        <v>0</v>
      </c>
      <c r="BP12">
        <f>IF(M12=0,0,COUNTIF('4_imgsummary'!E12:N12,"PORB")*100/M12)</f>
        <v>0</v>
      </c>
      <c r="BQ12">
        <f>IF(M12=0,0,COUNTIF('4_imgsummary'!E12:N12,"PORE")*100/M12)</f>
        <v>0</v>
      </c>
      <c r="BR12">
        <f>IF(M12=0,0,COUNTIF('4_imgsummary'!E12:N12,"PORM")*100/M12)</f>
        <v>0</v>
      </c>
      <c r="BS12">
        <f>IF(M12=0,0,COUNTIF('4_imgsummary'!E12:N12,"SER")*100/M12)</f>
        <v>0</v>
      </c>
      <c r="BT12">
        <f>IF(M12=0,0,COUNTIF('4_imgsummary'!E12:N12,"STY")*100/M12)</f>
        <v>0</v>
      </c>
      <c r="BU12">
        <f>IF(M12=0,0,COUNTIF('4_imgsummary'!E12:N12,"SYM")*100/M12)</f>
        <v>0</v>
      </c>
      <c r="BV12">
        <f>IF(M12=0,0,COUNTIF('4_imgsummary'!E12:N12,"TUBI")*100/M12)</f>
        <v>0</v>
      </c>
      <c r="BW12">
        <f>IF(M12=0,0,COUNTIF('4_imgsummary'!E12:N12,"TURB")*100/M12)</f>
        <v>0</v>
      </c>
      <c r="BX12">
        <f>IF(M12=0,0,COUNTIF('4_imgsummary'!E12:N12,"ZACRF")*100/M12)</f>
        <v>0</v>
      </c>
      <c r="BY12">
        <f>IF(M12=0,0,COUNTIF('4_imgsummary'!E12:N12,"ZAGARF")*100/M12)</f>
        <v>0</v>
      </c>
      <c r="BZ12">
        <f>IF(M12=0,0,COUNTIF('4_imgsummary'!E12:N12,"ZAGATF")*100/M12)</f>
        <v>0</v>
      </c>
      <c r="CA12">
        <f>IF(M12=0,0,COUNTIF('4_imgsummary'!E12:N12,"ZDENF")*100/M12)</f>
        <v>0</v>
      </c>
      <c r="CB12">
        <f>IF(M12=0,0,COUNTIF('4_imgsummary'!E12:N12,"ZEUPF")*100/M12)</f>
        <v>0</v>
      </c>
      <c r="CC12">
        <f>IF(M12=0,0,COUNTIF('4_imgsummary'!E12:N12,"ZFAVF")*100/M12)</f>
        <v>0</v>
      </c>
      <c r="CD12">
        <f>IF(M12=0,0,COUNTIF('4_imgsummary'!E12:N12,"ZCMRF")*100/M12)</f>
        <v>0</v>
      </c>
      <c r="CE12">
        <f>IF(M12=0,0,COUNTIF('4_imgsummary'!E12:N12,"ZMUSF")*100/M12)</f>
        <v>0</v>
      </c>
      <c r="CF12">
        <f>IF(M12=0,0,COUNTIF('4_imgsummary'!E12:N12,"ZNSC")*100/M12)</f>
        <v>0</v>
      </c>
      <c r="CG12">
        <f>IF(M12=0,0,COUNTIF('4_imgsummary'!E12:N12,"ZOC")*100/M12)</f>
        <v>0</v>
      </c>
      <c r="CH12">
        <f>IF(M12=0,0,COUNTIF('4_imgsummary'!E12:N12,"ZPOCF")*100/M12)</f>
        <v>0</v>
      </c>
      <c r="CI12">
        <f>IF(M12=0,0,COUNTIF('4_imgsummary'!E12:N12,"ZPORF")*100/M12)</f>
        <v>0</v>
      </c>
      <c r="CK12">
        <f>IF(M12=0,0,COUNTIF('4_imgsummary'!E12:N12,"AA")*100/M12)</f>
        <v>0</v>
      </c>
      <c r="CL12">
        <f>IF(M12=0,0,COUNTIF('4_imgsummary'!E12:N12,"CA")*100/M12)</f>
        <v>0</v>
      </c>
      <c r="CM12">
        <f>IF(M12=0,0,COUNTIF('4_imgsummary'!E12:N12,"DC")*100/M12)</f>
        <v>0</v>
      </c>
      <c r="CN12">
        <f>IF(M12=0,0,COUNTIF('4_imgsummary'!E12:N12,"DCA")*100/M12)</f>
        <v>0</v>
      </c>
      <c r="CO12">
        <f>IF(M12=0,0,COUNTIF('4_imgsummary'!E12:N12,"DIS")*100/M12)</f>
        <v>0</v>
      </c>
      <c r="CQ12">
        <f>IF(M12=0,0,COUNTIF('4_imgsummary'!E12:N12,"GRV")*100/M12)</f>
        <v>0</v>
      </c>
      <c r="CR12">
        <f>IF(M12=0,0,COUNTIF('4_imgsummary'!E12:N12,"R")*100/M12)</f>
        <v>0</v>
      </c>
      <c r="CS12">
        <f>IF(M12=0,0,COUNTIF('4_imgsummary'!E12:N12,"S")*100/M12)</f>
        <v>0</v>
      </c>
      <c r="CT12">
        <f>IF(M12=0,0,COUNTIF('4_imgsummary'!E12:N12,"RCK")*100/M12)</f>
        <v>0</v>
      </c>
      <c r="CU12">
        <f>IF(M12=0,0,COUNTIF('4_imgsummary'!E12:N12,"SI")*100/M12)</f>
        <v>0</v>
      </c>
      <c r="CW12">
        <f>IF(M12=0,0,COUNTIF('4_imgsummary'!E12:N12,"COD")*100/M12)</f>
        <v>0</v>
      </c>
      <c r="CX12">
        <f>IF(M12=0,0,COUNTIF('4_imgsummary'!E12:N12,"KAPP")*100/M12)</f>
        <v>0</v>
      </c>
      <c r="CY12">
        <f>IF(M12=0,0,COUNTIF('4_imgsummary'!E12:N12,"MA")*100/M12)</f>
        <v>0</v>
      </c>
      <c r="CZ12">
        <f>IF(M12=0,0,COUNTIF('4_imgsummary'!E12:N12,"SARG")*100/M12)</f>
        <v>0</v>
      </c>
      <c r="DB12">
        <f>IF(M12=0,0,COUNTIF('4_imgsummary'!E12:N12,"HA")*100/M12)</f>
        <v>0</v>
      </c>
      <c r="DD12">
        <f>IF(M12=0,0,COUNTIF('4_imgsummary'!E12:N12,"COTS")*100/M12)</f>
        <v>0</v>
      </c>
      <c r="DE12">
        <f>IF(M12=0,0,COUNTIF('4_imgsummary'!E12:N12,"COR")*100/M12)</f>
        <v>0</v>
      </c>
      <c r="DF12">
        <f>IF(M12=0,0,COUNTIF('4_imgsummary'!E12:N12,"DIA")*100/M12)</f>
        <v>0</v>
      </c>
      <c r="DG12">
        <f>IF(M12=0,0,COUNTIF('4_imgsummary'!E12:N12,"GORG")*100/M12)</f>
        <v>0</v>
      </c>
      <c r="DH12">
        <f>IF(M12=0,0,COUNTIF('4_imgsummary'!E12:N12,"ISIS")*100/M12)</f>
        <v>0</v>
      </c>
      <c r="DI12">
        <f>IF(M12=0,0,COUNTIF('4_imgsummary'!E12:N12,"OT")*100/M12)</f>
        <v>0</v>
      </c>
      <c r="DJ12">
        <f>IF(M12=0,0,COUNTIF('4_imgsummary'!E12:N12,"SG")*100/M12)</f>
        <v>0</v>
      </c>
      <c r="DK12">
        <f>IF(M12=0,0,COUNTIF('4_imgsummary'!E12:N12,"SC")*100/M12)</f>
        <v>0</v>
      </c>
      <c r="DL12">
        <f>IF(M12=0,0,COUNTIF('4_imgsummary'!E12:N12,"SP")*100/M12)</f>
        <v>0</v>
      </c>
      <c r="DM12">
        <f>IF(M12=0,0,COUNTIF('4_imgsummary'!E12:N12,"ZO")*100/M12)</f>
        <v>0</v>
      </c>
      <c r="DO12" s="26">
        <f>IF(M12=0,0,COUNTIF('4_imgsummary'!E12:N12,"TWB")*100/M12)</f>
        <v>20</v>
      </c>
      <c r="DQ12">
        <f>IF(M12=0,0,COUNTIF('4_imgsummary'!Y12:AH12,"COR")*100/M12)</f>
        <v>0</v>
      </c>
      <c r="DR12">
        <f>IF(M12=0,0,COUNTIF('4_imgsummary'!Y12:AH12,"COTS")*100/M12)</f>
        <v>0</v>
      </c>
      <c r="DS12">
        <f>IF(M12=0,0,COUNTIF('4_imgsummary'!Y12:AH12,"DIA")*100/M12)</f>
        <v>0</v>
      </c>
      <c r="DT12">
        <f>IF(M12=0,0,COUNTIF('4_imgsummary'!Y12:AH12,"GORG")*100/M12)</f>
        <v>0</v>
      </c>
      <c r="DU12">
        <f>IF(M12=0,0,COUNTIF('4_imgsummary'!Y12:AH12,"ISIS")*100/M12)</f>
        <v>0</v>
      </c>
      <c r="DV12">
        <f>IF(M12=0,0,COUNTIF('4_imgsummary'!Y12:AH12,"DIS")*100/M12)</f>
        <v>0</v>
      </c>
      <c r="DW12">
        <f>IF(M12=0,0,COUNTIF('4_imgsummary'!Y12:AH12,"BLEC")*100/M12)</f>
        <v>0</v>
      </c>
      <c r="DX12">
        <f>IF(M12=0,0,COUNTIF('4_imgsummary'!Y12:AH12,"COD")*100/M12)</f>
        <v>0</v>
      </c>
      <c r="DY12">
        <f>IF(M12=0,0,COUNTIF('4_imgsummary'!Y12:AH12,"KAPP")*100/M12)</f>
        <v>0</v>
      </c>
      <c r="DZ12">
        <f>IF(M12=0,0,COUNTIF('4_imgsummary'!Y12:AH12,"SARG")*100/M12)</f>
        <v>0</v>
      </c>
      <c r="EA12">
        <f>IF(M12=0,0,COUNTIF('4_imgsummary'!Y12:AH12,"ZACRF")*100/M12)</f>
        <v>0</v>
      </c>
      <c r="EB12">
        <f>IF(M12=0,0,COUNTIF('4_imgsummary'!Y12:AH12,"ZAGARF")*100/M12)</f>
        <v>0</v>
      </c>
      <c r="EC12">
        <f>IF(M12=0,0,COUNTIF('4_imgsummary'!Y12:AH12,"ZAGATF")*100/M12)</f>
        <v>0</v>
      </c>
      <c r="ED12">
        <f>IF(M12=0,0,COUNTIF('4_imgsummary'!Y12:AH12,"ZCMRF")*100/M12)</f>
        <v>0</v>
      </c>
      <c r="EE12">
        <f>IF(M12=0,0,COUNTIF('4_imgsummary'!Y12:AH12,"ZDENF")*100/M12)</f>
        <v>0</v>
      </c>
      <c r="EF12">
        <f>IF(M12=0,0,COUNTIF('4_imgsummary'!Y12:AH12,"ZEUPF")*100/M12)</f>
        <v>0</v>
      </c>
      <c r="EG12">
        <f>IF(M12=0,0,COUNTIF('4_imgsummary'!Y12:AH12,"ZFAVF")*100/M12)</f>
        <v>0</v>
      </c>
      <c r="EH12">
        <f>IF(M12=0,0,COUNTIF('4_imgsummary'!Y12:AH12,"ZMUSF")*100/M12)</f>
        <v>0</v>
      </c>
      <c r="EI12">
        <f>IF(M12=0,0,COUNTIF('4_imgsummary'!Y12:AH12,"ZNSC")*100/M12)</f>
        <v>0</v>
      </c>
      <c r="EJ12">
        <f>IF(M12=0,0,COUNTIF('4_imgsummary'!Y12:AH12,"ZOC")*100/M12)</f>
        <v>0</v>
      </c>
      <c r="EK12">
        <f>IF(M12=0,0,COUNTIF('4_imgsummary'!Y12:AH12,"ZPOCF")*100/M12)</f>
        <v>0</v>
      </c>
      <c r="EL12">
        <f>IF(M12=0,0,COUNTIF('4_imgsummary'!Y12:AH12,"ZPORF")*100/M12)</f>
        <v>0</v>
      </c>
    </row>
    <row r="13" spans="1:142" x14ac:dyDescent="0.35">
      <c r="A13">
        <v>11</v>
      </c>
      <c r="B13" t="s">
        <v>81</v>
      </c>
      <c r="F13" s="26">
        <f>IF(M13=0,0,COUNTIF('4_imgsummary'!O13:X13,"HC")*100/M13)</f>
        <v>60</v>
      </c>
      <c r="G13" s="26">
        <f>IF(M13=0,0,COUNTIF('4_imgsummary'!O13:X13,"AA")*100/M13)</f>
        <v>30</v>
      </c>
      <c r="H13">
        <f>IF(M13=0,0,COUNTIF('4_imgsummary'!O13:X13,"AB")*100/M13)</f>
        <v>0</v>
      </c>
      <c r="I13">
        <f>IF(M13=0,0,COUNTIF('4_imgsummary'!O13:X13,"MA")*100/M13)</f>
        <v>0</v>
      </c>
      <c r="J13">
        <f>IF(M13=0,0,COUNTIF('4_imgsummary'!O13:X13,"HA")*100/M13)</f>
        <v>0</v>
      </c>
      <c r="K13" s="26">
        <f>IF(M13=0,0,COUNTIF('4_imgsummary'!O13:X13,"OB")*100/M13)</f>
        <v>10</v>
      </c>
      <c r="L13">
        <f>IF(M13=0,0,COUNTIF('4_imgsummary'!O13:X13,"TWB")*100/M13)</f>
        <v>0</v>
      </c>
      <c r="M13">
        <f>10-COUNTIF('4_imgsummary'!O13:X13,"TWS")</f>
        <v>10</v>
      </c>
      <c r="P13">
        <f>IF(M13=0,0,COUNTIF('4_imgsummary'!E13:N13,"ACAN")*100/M13)</f>
        <v>0</v>
      </c>
      <c r="Q13" s="26">
        <f>IF(M13=0,0,COUNTIF('4_imgsummary'!E13:N13,"ACB")*100/M13)</f>
        <v>40</v>
      </c>
      <c r="R13">
        <f>IF(M13=0,0,COUNTIF('4_imgsummary'!E13:N13,"ACC")*100/M13)</f>
        <v>0</v>
      </c>
      <c r="S13">
        <f>IF(M13=0,0,COUNTIF('4_imgsummary'!E13:N13,"ACD")*100/M13)</f>
        <v>0</v>
      </c>
      <c r="T13">
        <f>IF(M13=0,0,COUNTIF('4_imgsummary'!E13:N13,"ACH")*100/M13)</f>
        <v>0</v>
      </c>
      <c r="U13">
        <f>IF(M13=0,0,COUNTIF('4_imgsummary'!E13:N13,"ACT")*100/M13)</f>
        <v>0</v>
      </c>
      <c r="V13">
        <f>IF(M13=0,0,COUNTIF('4_imgsummary'!E13:N13,"ACR")*100/M13)</f>
        <v>0</v>
      </c>
      <c r="W13">
        <f>IF(M13=0,0,COUNTIF('4_imgsummary'!E13:N13,"AST")*100/M13)</f>
        <v>0</v>
      </c>
      <c r="X13">
        <f>IF(M13=0,0,COUNTIF('4_imgsummary'!E13:N13,"AF")*100/M13)</f>
        <v>0</v>
      </c>
      <c r="Y13">
        <f>IF(M13=0,0,COUNTIF('4_imgsummary'!E13:N13,"BLEC")*100/M13)</f>
        <v>0</v>
      </c>
      <c r="Z13">
        <f>IF(M13=0,0,COUNTIF('4_imgsummary'!E13:N13,"CAU")*100/M13)</f>
        <v>0</v>
      </c>
      <c r="AA13">
        <f>IF(M13=0,0,COUNTIF('4_imgsummary'!E13:N13,"COE")*100/M13)</f>
        <v>0</v>
      </c>
      <c r="AB13">
        <f>IF(M13=0,0,COUNTIF('4_imgsummary'!E13:N13,"COS")*100/M13)</f>
        <v>0</v>
      </c>
      <c r="AC13">
        <f>IF(M13=0,0,COUNTIF('4_imgsummary'!E13:N13,"CYP")*100/M13)</f>
        <v>0</v>
      </c>
      <c r="AD13">
        <f>IF(M13=0,0,COUNTIF('4_imgsummary'!E13:N13,"DIP")*100/M13)</f>
        <v>0</v>
      </c>
      <c r="AE13">
        <f>IF(M13=0,0,COUNTIF('4_imgsummary'!E13:N13,"ECHY")*100/M13)</f>
        <v>0</v>
      </c>
      <c r="AF13">
        <f>IF(M13=0,0,COUNTIF('4_imgsummary'!E13:N13,"ECHI")*100/M13)</f>
        <v>0</v>
      </c>
      <c r="AG13">
        <f>IF(M13=0,0,COUNTIF('4_imgsummary'!E13:N13,"EUP")*100/M13)</f>
        <v>0</v>
      </c>
      <c r="AH13">
        <f>IF(M13=0,0,COUNTIF('4_imgsummary'!E13:N13,"FAV")*100/M13)</f>
        <v>0</v>
      </c>
      <c r="AI13">
        <f>IF(M13=0,0,COUNTIF('4_imgsummary'!E13:N13,"FVI")*100/M13)</f>
        <v>0</v>
      </c>
      <c r="AJ13">
        <f>IF(M13=0,0,COUNTIF('4_imgsummary'!E13:N13,"CMR")*100/M13)</f>
        <v>0</v>
      </c>
      <c r="AK13">
        <f>IF(M13=0,0,COUNTIF('4_imgsummary'!E13:N13,"GAL")*100/M13)</f>
        <v>0</v>
      </c>
      <c r="AL13">
        <f>IF(M13=0,0,COUNTIF('4_imgsummary'!E13:N13,"GONIA")*100/M13)</f>
        <v>0</v>
      </c>
      <c r="AM13">
        <f>IF(M13=0,0,COUNTIF('4_imgsummary'!E13:N13,"GONIO")*100/M13)</f>
        <v>0</v>
      </c>
      <c r="AN13">
        <f>IF(M13=0,0,COUNTIF('4_imgsummary'!E13:N13,"HEL")*100/M13)</f>
        <v>0</v>
      </c>
      <c r="AO13">
        <f>IF(M13=0,0,COUNTIF('4_imgsummary'!E13:N13,"HYD")*100/M13)</f>
        <v>0</v>
      </c>
      <c r="AP13">
        <f>IF(M13=0,0,COUNTIF('4_imgsummary'!E13:N13,"ISO")*100/M13)</f>
        <v>0</v>
      </c>
      <c r="AQ13">
        <f>IF(M13=0,0,COUNTIF('4_imgsummary'!E13:N13,"LEPA")*100/M13)</f>
        <v>0</v>
      </c>
      <c r="AR13">
        <f>IF(M13=0,0,COUNTIF('4_imgsummary'!E13:N13,"LEPS")*100/M13)</f>
        <v>0</v>
      </c>
      <c r="AS13">
        <f>IF(M13=0,0,COUNTIF('4_imgsummary'!E13:N13,"LOB")*100/M13)</f>
        <v>0</v>
      </c>
      <c r="AT13" s="26">
        <f>IF(M13=0,0,COUNTIF('4_imgsummary'!E13:N13,"MER")*100/M13)</f>
        <v>10</v>
      </c>
      <c r="AU13">
        <f>IF(M13=0,0,COUNTIF('4_imgsummary'!E13:N13,"MILL")*100/M13)</f>
        <v>0</v>
      </c>
      <c r="AV13">
        <f>IF(M13=0,0,COUNTIF('4_imgsummary'!E13:N13,"MON")*100/M13)</f>
        <v>0</v>
      </c>
      <c r="AW13">
        <f>IF(M13=0,0,COUNTIF('4_imgsummary'!E13:N13,"MONTB")*100/M13)</f>
        <v>0</v>
      </c>
      <c r="AX13">
        <f>IF(M13=0,0,COUNTIF('4_imgsummary'!E13:N13,"MONTE")*100/M13)</f>
        <v>0</v>
      </c>
      <c r="AY13">
        <f>IF(M13=0,0,COUNTIF('4_imgsummary'!E13:N13,"MONTF")*100/M13)</f>
        <v>0</v>
      </c>
      <c r="AZ13">
        <f>IF(M13=0,0,COUNTIF('4_imgsummary'!E13:N13,"MYC")*100/M13)</f>
        <v>0</v>
      </c>
      <c r="BA13">
        <f>IF(M13=0,0,COUNTIF('4_imgsummary'!E13:N13,"CB")*100/M13)</f>
        <v>0</v>
      </c>
      <c r="BB13">
        <f>IF(M13=0,0,COUNTIF('4_imgsummary'!E13:N13,"BUB")*100/M13)</f>
        <v>0</v>
      </c>
      <c r="BC13">
        <f>IF(M13=0,0,COUNTIF('4_imgsummary'!E13:N13,"CE")*100/M13)</f>
        <v>0</v>
      </c>
      <c r="BD13">
        <f>IF(M13=0,0,COUNTIF('4_imgsummary'!E13:N13,"CF")*100/M13)</f>
        <v>0</v>
      </c>
      <c r="BE13">
        <f>IF(M13=0,0,COUNTIF('4_imgsummary'!E13:N13,"FOT")*100/M13)</f>
        <v>0</v>
      </c>
      <c r="BF13">
        <f>IF(M13=0,0,COUNTIF('4_imgsummary'!E13:N13,"CM")*100/M13)</f>
        <v>0</v>
      </c>
      <c r="BG13">
        <f>IF(M13=0,0,COUNTIF('4_imgsummary'!E13:N13,"OULA")*100/M13)</f>
        <v>0</v>
      </c>
      <c r="BH13">
        <f>IF(M13=0,0,COUNTIF('4_imgsummary'!E13:N13,"OULO")*100/M13)</f>
        <v>0</v>
      </c>
      <c r="BI13">
        <f>IF(M13=0,0,COUNTIF('4_imgsummary'!E13:N13,"OXY")*100/M13)</f>
        <v>0</v>
      </c>
      <c r="BJ13">
        <f>IF(M13=0,0,COUNTIF('4_imgsummary'!E13:N13,"PACE")*100/M13)</f>
        <v>0</v>
      </c>
      <c r="BK13" s="26">
        <f>IF(M13=0,0,COUNTIF('4_imgsummary'!E13:N13,"PACF")*100/M13)</f>
        <v>10</v>
      </c>
      <c r="BL13">
        <f>IF(M13=0,0,COUNTIF('4_imgsummary'!E13:N13,"PAV")*100/M13)</f>
        <v>0</v>
      </c>
      <c r="BM13">
        <f>IF(M13=0,0,COUNTIF('4_imgsummary'!E13:N13,"PEC")*100/M13)</f>
        <v>0</v>
      </c>
      <c r="BN13">
        <f>IF(M13=0,0,COUNTIF('4_imgsummary'!E13:N13,"PLAT")*100/M13)</f>
        <v>0</v>
      </c>
      <c r="BO13">
        <f>IF(M13=0,0,COUNTIF('4_imgsummary'!E13:N13,"POC")*100/M13)</f>
        <v>0</v>
      </c>
      <c r="BP13">
        <f>IF(M13=0,0,COUNTIF('4_imgsummary'!E13:N13,"PORB")*100/M13)</f>
        <v>0</v>
      </c>
      <c r="BQ13">
        <f>IF(M13=0,0,COUNTIF('4_imgsummary'!E13:N13,"PORE")*100/M13)</f>
        <v>0</v>
      </c>
      <c r="BR13">
        <f>IF(M13=0,0,COUNTIF('4_imgsummary'!E13:N13,"PORM")*100/M13)</f>
        <v>0</v>
      </c>
      <c r="BS13">
        <f>IF(M13=0,0,COUNTIF('4_imgsummary'!E13:N13,"SER")*100/M13)</f>
        <v>0</v>
      </c>
      <c r="BT13">
        <f>IF(M13=0,0,COUNTIF('4_imgsummary'!E13:N13,"STY")*100/M13)</f>
        <v>0</v>
      </c>
      <c r="BU13">
        <f>IF(M13=0,0,COUNTIF('4_imgsummary'!E13:N13,"SYM")*100/M13)</f>
        <v>0</v>
      </c>
      <c r="BV13">
        <f>IF(M13=0,0,COUNTIF('4_imgsummary'!E13:N13,"TUBI")*100/M13)</f>
        <v>0</v>
      </c>
      <c r="BW13">
        <f>IF(M13=0,0,COUNTIF('4_imgsummary'!E13:N13,"TURB")*100/M13)</f>
        <v>0</v>
      </c>
      <c r="BX13">
        <f>IF(M13=0,0,COUNTIF('4_imgsummary'!E13:N13,"ZACRF")*100/M13)</f>
        <v>0</v>
      </c>
      <c r="BY13">
        <f>IF(M13=0,0,COUNTIF('4_imgsummary'!E13:N13,"ZAGARF")*100/M13)</f>
        <v>0</v>
      </c>
      <c r="BZ13">
        <f>IF(M13=0,0,COUNTIF('4_imgsummary'!E13:N13,"ZAGATF")*100/M13)</f>
        <v>0</v>
      </c>
      <c r="CA13">
        <f>IF(M13=0,0,COUNTIF('4_imgsummary'!E13:N13,"ZDENF")*100/M13)</f>
        <v>0</v>
      </c>
      <c r="CB13">
        <f>IF(M13=0,0,COUNTIF('4_imgsummary'!E13:N13,"ZEUPF")*100/M13)</f>
        <v>0</v>
      </c>
      <c r="CC13">
        <f>IF(M13=0,0,COUNTIF('4_imgsummary'!E13:N13,"ZFAVF")*100/M13)</f>
        <v>0</v>
      </c>
      <c r="CD13">
        <f>IF(M13=0,0,COUNTIF('4_imgsummary'!E13:N13,"ZCMRF")*100/M13)</f>
        <v>0</v>
      </c>
      <c r="CE13">
        <f>IF(M13=0,0,COUNTIF('4_imgsummary'!E13:N13,"ZMUSF")*100/M13)</f>
        <v>0</v>
      </c>
      <c r="CF13">
        <f>IF(M13=0,0,COUNTIF('4_imgsummary'!E13:N13,"ZNSC")*100/M13)</f>
        <v>0</v>
      </c>
      <c r="CG13">
        <f>IF(M13=0,0,COUNTIF('4_imgsummary'!E13:N13,"ZOC")*100/M13)</f>
        <v>0</v>
      </c>
      <c r="CH13">
        <f>IF(M13=0,0,COUNTIF('4_imgsummary'!E13:N13,"ZPOCF")*100/M13)</f>
        <v>0</v>
      </c>
      <c r="CI13">
        <f>IF(M13=0,0,COUNTIF('4_imgsummary'!E13:N13,"ZPORF")*100/M13)</f>
        <v>0</v>
      </c>
      <c r="CK13" s="26">
        <f>IF(M13=0,0,COUNTIF('4_imgsummary'!E13:N13,"AA")*100/M13)</f>
        <v>20</v>
      </c>
      <c r="CL13" s="26">
        <f>IF(M13=0,0,COUNTIF('4_imgsummary'!E13:N13,"CA")*100/M13)</f>
        <v>10</v>
      </c>
      <c r="CM13">
        <f>IF(M13=0,0,COUNTIF('4_imgsummary'!E13:N13,"DC")*100/M13)</f>
        <v>0</v>
      </c>
      <c r="CN13">
        <f>IF(M13=0,0,COUNTIF('4_imgsummary'!E13:N13,"DCA")*100/M13)</f>
        <v>0</v>
      </c>
      <c r="CO13">
        <f>IF(M13=0,0,COUNTIF('4_imgsummary'!E13:N13,"DIS")*100/M13)</f>
        <v>0</v>
      </c>
      <c r="CQ13">
        <f>IF(M13=0,0,COUNTIF('4_imgsummary'!E13:N13,"GRV")*100/M13)</f>
        <v>0</v>
      </c>
      <c r="CR13">
        <f>IF(M13=0,0,COUNTIF('4_imgsummary'!E13:N13,"R")*100/M13)</f>
        <v>0</v>
      </c>
      <c r="CS13">
        <f>IF(M13=0,0,COUNTIF('4_imgsummary'!E13:N13,"S")*100/M13)</f>
        <v>0</v>
      </c>
      <c r="CT13">
        <f>IF(M13=0,0,COUNTIF('4_imgsummary'!E13:N13,"RCK")*100/M13)</f>
        <v>0</v>
      </c>
      <c r="CU13">
        <f>IF(M13=0,0,COUNTIF('4_imgsummary'!E13:N13,"SI")*100/M13)</f>
        <v>0</v>
      </c>
      <c r="CW13">
        <f>IF(M13=0,0,COUNTIF('4_imgsummary'!E13:N13,"COD")*100/M13)</f>
        <v>0</v>
      </c>
      <c r="CX13">
        <f>IF(M13=0,0,COUNTIF('4_imgsummary'!E13:N13,"KAPP")*100/M13)</f>
        <v>0</v>
      </c>
      <c r="CY13">
        <f>IF(M13=0,0,COUNTIF('4_imgsummary'!E13:N13,"MA")*100/M13)</f>
        <v>0</v>
      </c>
      <c r="CZ13">
        <f>IF(M13=0,0,COUNTIF('4_imgsummary'!E13:N13,"SARG")*100/M13)</f>
        <v>0</v>
      </c>
      <c r="DB13">
        <f>IF(M13=0,0,COUNTIF('4_imgsummary'!E13:N13,"HA")*100/M13)</f>
        <v>0</v>
      </c>
      <c r="DD13">
        <f>IF(M13=0,0,COUNTIF('4_imgsummary'!E13:N13,"COTS")*100/M13)</f>
        <v>0</v>
      </c>
      <c r="DE13">
        <f>IF(M13=0,0,COUNTIF('4_imgsummary'!E13:N13,"COR")*100/M13)</f>
        <v>0</v>
      </c>
      <c r="DF13">
        <f>IF(M13=0,0,COUNTIF('4_imgsummary'!E13:N13,"DIA")*100/M13)</f>
        <v>0</v>
      </c>
      <c r="DG13">
        <f>IF(M13=0,0,COUNTIF('4_imgsummary'!E13:N13,"GORG")*100/M13)</f>
        <v>0</v>
      </c>
      <c r="DH13">
        <f>IF(M13=0,0,COUNTIF('4_imgsummary'!E13:N13,"ISIS")*100/M13)</f>
        <v>0</v>
      </c>
      <c r="DI13">
        <f>IF(M13=0,0,COUNTIF('4_imgsummary'!E13:N13,"OT")*100/M13)</f>
        <v>0</v>
      </c>
      <c r="DJ13">
        <f>IF(M13=0,0,COUNTIF('4_imgsummary'!E13:N13,"SG")*100/M13)</f>
        <v>0</v>
      </c>
      <c r="DK13">
        <f>IF(M13=0,0,COUNTIF('4_imgsummary'!E13:N13,"SC")*100/M13)</f>
        <v>0</v>
      </c>
      <c r="DL13" s="26">
        <f>IF(M13=0,0,COUNTIF('4_imgsummary'!E13:N13,"SP")*100/M13)</f>
        <v>10</v>
      </c>
      <c r="DM13">
        <f>IF(M13=0,0,COUNTIF('4_imgsummary'!E13:N13,"ZO")*100/M13)</f>
        <v>0</v>
      </c>
      <c r="DO13">
        <f>IF(M13=0,0,COUNTIF('4_imgsummary'!E13:N13,"TWB")*100/M13)</f>
        <v>0</v>
      </c>
      <c r="DQ13">
        <f>IF(M13=0,0,COUNTIF('4_imgsummary'!Y13:AH13,"COR")*100/M13)</f>
        <v>0</v>
      </c>
      <c r="DR13">
        <f>IF(M13=0,0,COUNTIF('4_imgsummary'!Y13:AH13,"COTS")*100/M13)</f>
        <v>0</v>
      </c>
      <c r="DS13">
        <f>IF(M13=0,0,COUNTIF('4_imgsummary'!Y13:AH13,"DIA")*100/M13)</f>
        <v>0</v>
      </c>
      <c r="DT13">
        <f>IF(M13=0,0,COUNTIF('4_imgsummary'!Y13:AH13,"GORG")*100/M13)</f>
        <v>0</v>
      </c>
      <c r="DU13">
        <f>IF(M13=0,0,COUNTIF('4_imgsummary'!Y13:AH13,"ISIS")*100/M13)</f>
        <v>0</v>
      </c>
      <c r="DV13">
        <f>IF(M13=0,0,COUNTIF('4_imgsummary'!Y13:AH13,"DIS")*100/M13)</f>
        <v>0</v>
      </c>
      <c r="DW13">
        <f>IF(M13=0,0,COUNTIF('4_imgsummary'!Y13:AH13,"BLEC")*100/M13)</f>
        <v>0</v>
      </c>
      <c r="DX13">
        <f>IF(M13=0,0,COUNTIF('4_imgsummary'!Y13:AH13,"COD")*100/M13)</f>
        <v>0</v>
      </c>
      <c r="DY13">
        <f>IF(M13=0,0,COUNTIF('4_imgsummary'!Y13:AH13,"KAPP")*100/M13)</f>
        <v>0</v>
      </c>
      <c r="DZ13">
        <f>IF(M13=0,0,COUNTIF('4_imgsummary'!Y13:AH13,"SARG")*100/M13)</f>
        <v>0</v>
      </c>
      <c r="EA13">
        <f>IF(M13=0,0,COUNTIF('4_imgsummary'!Y13:AH13,"ZACRF")*100/M13)</f>
        <v>0</v>
      </c>
      <c r="EB13">
        <f>IF(M13=0,0,COUNTIF('4_imgsummary'!Y13:AH13,"ZAGARF")*100/M13)</f>
        <v>0</v>
      </c>
      <c r="EC13">
        <f>IF(M13=0,0,COUNTIF('4_imgsummary'!Y13:AH13,"ZAGATF")*100/M13)</f>
        <v>0</v>
      </c>
      <c r="ED13">
        <f>IF(M13=0,0,COUNTIF('4_imgsummary'!Y13:AH13,"ZCMRF")*100/M13)</f>
        <v>0</v>
      </c>
      <c r="EE13">
        <f>IF(M13=0,0,COUNTIF('4_imgsummary'!Y13:AH13,"ZDENF")*100/M13)</f>
        <v>0</v>
      </c>
      <c r="EF13">
        <f>IF(M13=0,0,COUNTIF('4_imgsummary'!Y13:AH13,"ZEUPF")*100/M13)</f>
        <v>0</v>
      </c>
      <c r="EG13">
        <f>IF(M13=0,0,COUNTIF('4_imgsummary'!Y13:AH13,"ZFAVF")*100/M13)</f>
        <v>0</v>
      </c>
      <c r="EH13">
        <f>IF(M13=0,0,COUNTIF('4_imgsummary'!Y13:AH13,"ZMUSF")*100/M13)</f>
        <v>0</v>
      </c>
      <c r="EI13">
        <f>IF(M13=0,0,COUNTIF('4_imgsummary'!Y13:AH13,"ZNSC")*100/M13)</f>
        <v>0</v>
      </c>
      <c r="EJ13">
        <f>IF(M13=0,0,COUNTIF('4_imgsummary'!Y13:AH13,"ZOC")*100/M13)</f>
        <v>0</v>
      </c>
      <c r="EK13">
        <f>IF(M13=0,0,COUNTIF('4_imgsummary'!Y13:AH13,"ZPOCF")*100/M13)</f>
        <v>0</v>
      </c>
      <c r="EL13">
        <f>IF(M13=0,0,COUNTIF('4_imgsummary'!Y13:AH13,"ZPORF")*100/M13)</f>
        <v>0</v>
      </c>
    </row>
    <row r="14" spans="1:142" x14ac:dyDescent="0.35">
      <c r="A14">
        <v>12</v>
      </c>
      <c r="B14" t="s">
        <v>82</v>
      </c>
      <c r="F14" s="26">
        <f>IF(M14=0,0,COUNTIF('4_imgsummary'!O14:X14,"HC")*100/M14)</f>
        <v>70</v>
      </c>
      <c r="G14" s="26">
        <f>IF(M14=0,0,COUNTIF('4_imgsummary'!O14:X14,"AA")*100/M14)</f>
        <v>30</v>
      </c>
      <c r="H14">
        <f>IF(M14=0,0,COUNTIF('4_imgsummary'!O14:X14,"AB")*100/M14)</f>
        <v>0</v>
      </c>
      <c r="I14">
        <f>IF(M14=0,0,COUNTIF('4_imgsummary'!O14:X14,"MA")*100/M14)</f>
        <v>0</v>
      </c>
      <c r="J14">
        <f>IF(M14=0,0,COUNTIF('4_imgsummary'!O14:X14,"HA")*100/M14)</f>
        <v>0</v>
      </c>
      <c r="K14">
        <f>IF(M14=0,0,COUNTIF('4_imgsummary'!O14:X14,"OB")*100/M14)</f>
        <v>0</v>
      </c>
      <c r="L14">
        <f>IF(M14=0,0,COUNTIF('4_imgsummary'!O14:X14,"TWB")*100/M14)</f>
        <v>0</v>
      </c>
      <c r="M14">
        <f>10-COUNTIF('4_imgsummary'!O14:X14,"TWS")</f>
        <v>10</v>
      </c>
      <c r="P14">
        <f>IF(M14=0,0,COUNTIF('4_imgsummary'!E14:N14,"ACAN")*100/M14)</f>
        <v>0</v>
      </c>
      <c r="Q14">
        <f>IF(M14=0,0,COUNTIF('4_imgsummary'!E14:N14,"ACB")*100/M14)</f>
        <v>0</v>
      </c>
      <c r="R14">
        <f>IF(M14=0,0,COUNTIF('4_imgsummary'!E14:N14,"ACC")*100/M14)</f>
        <v>0</v>
      </c>
      <c r="S14">
        <f>IF(M14=0,0,COUNTIF('4_imgsummary'!E14:N14,"ACD")*100/M14)</f>
        <v>0</v>
      </c>
      <c r="T14">
        <f>IF(M14=0,0,COUNTIF('4_imgsummary'!E14:N14,"ACH")*100/M14)</f>
        <v>0</v>
      </c>
      <c r="U14">
        <f>IF(M14=0,0,COUNTIF('4_imgsummary'!E14:N14,"ACT")*100/M14)</f>
        <v>0</v>
      </c>
      <c r="V14">
        <f>IF(M14=0,0,COUNTIF('4_imgsummary'!E14:N14,"ACR")*100/M14)</f>
        <v>0</v>
      </c>
      <c r="W14">
        <f>IF(M14=0,0,COUNTIF('4_imgsummary'!E14:N14,"AST")*100/M14)</f>
        <v>0</v>
      </c>
      <c r="X14">
        <f>IF(M14=0,0,COUNTIF('4_imgsummary'!E14:N14,"AF")*100/M14)</f>
        <v>0</v>
      </c>
      <c r="Y14">
        <f>IF(M14=0,0,COUNTIF('4_imgsummary'!E14:N14,"BLEC")*100/M14)</f>
        <v>0</v>
      </c>
      <c r="Z14">
        <f>IF(M14=0,0,COUNTIF('4_imgsummary'!E14:N14,"CAU")*100/M14)</f>
        <v>0</v>
      </c>
      <c r="AA14">
        <f>IF(M14=0,0,COUNTIF('4_imgsummary'!E14:N14,"COE")*100/M14)</f>
        <v>0</v>
      </c>
      <c r="AB14">
        <f>IF(M14=0,0,COUNTIF('4_imgsummary'!E14:N14,"COS")*100/M14)</f>
        <v>0</v>
      </c>
      <c r="AC14">
        <f>IF(M14=0,0,COUNTIF('4_imgsummary'!E14:N14,"CYP")*100/M14)</f>
        <v>0</v>
      </c>
      <c r="AD14">
        <f>IF(M14=0,0,COUNTIF('4_imgsummary'!E14:N14,"DIP")*100/M14)</f>
        <v>0</v>
      </c>
      <c r="AE14" s="26">
        <f>IF(M14=0,0,COUNTIF('4_imgsummary'!E14:N14,"ECHY")*100/M14)</f>
        <v>10</v>
      </c>
      <c r="AF14">
        <f>IF(M14=0,0,COUNTIF('4_imgsummary'!E14:N14,"ECHI")*100/M14)</f>
        <v>0</v>
      </c>
      <c r="AG14">
        <f>IF(M14=0,0,COUNTIF('4_imgsummary'!E14:N14,"EUP")*100/M14)</f>
        <v>0</v>
      </c>
      <c r="AH14">
        <f>IF(M14=0,0,COUNTIF('4_imgsummary'!E14:N14,"FAV")*100/M14)</f>
        <v>0</v>
      </c>
      <c r="AI14">
        <f>IF(M14=0,0,COUNTIF('4_imgsummary'!E14:N14,"FVI")*100/M14)</f>
        <v>0</v>
      </c>
      <c r="AJ14">
        <f>IF(M14=0,0,COUNTIF('4_imgsummary'!E14:N14,"CMR")*100/M14)</f>
        <v>0</v>
      </c>
      <c r="AK14">
        <f>IF(M14=0,0,COUNTIF('4_imgsummary'!E14:N14,"GAL")*100/M14)</f>
        <v>0</v>
      </c>
      <c r="AL14">
        <f>IF(M14=0,0,COUNTIF('4_imgsummary'!E14:N14,"GONIA")*100/M14)</f>
        <v>0</v>
      </c>
      <c r="AM14">
        <f>IF(M14=0,0,COUNTIF('4_imgsummary'!E14:N14,"GONIO")*100/M14)</f>
        <v>0</v>
      </c>
      <c r="AN14">
        <f>IF(M14=0,0,COUNTIF('4_imgsummary'!E14:N14,"HEL")*100/M14)</f>
        <v>0</v>
      </c>
      <c r="AO14">
        <f>IF(M14=0,0,COUNTIF('4_imgsummary'!E14:N14,"HYD")*100/M14)</f>
        <v>0</v>
      </c>
      <c r="AP14">
        <f>IF(M14=0,0,COUNTIF('4_imgsummary'!E14:N14,"ISO")*100/M14)</f>
        <v>0</v>
      </c>
      <c r="AQ14">
        <f>IF(M14=0,0,COUNTIF('4_imgsummary'!E14:N14,"LEPA")*100/M14)</f>
        <v>0</v>
      </c>
      <c r="AR14">
        <f>IF(M14=0,0,COUNTIF('4_imgsummary'!E14:N14,"LEPS")*100/M14)</f>
        <v>0</v>
      </c>
      <c r="AS14">
        <f>IF(M14=0,0,COUNTIF('4_imgsummary'!E14:N14,"LOB")*100/M14)</f>
        <v>0</v>
      </c>
      <c r="AT14" s="26">
        <f>IF(M14=0,0,COUNTIF('4_imgsummary'!E14:N14,"MER")*100/M14)</f>
        <v>20</v>
      </c>
      <c r="AU14">
        <f>IF(M14=0,0,COUNTIF('4_imgsummary'!E14:N14,"MILL")*100/M14)</f>
        <v>0</v>
      </c>
      <c r="AV14">
        <f>IF(M14=0,0,COUNTIF('4_imgsummary'!E14:N14,"MON")*100/M14)</f>
        <v>0</v>
      </c>
      <c r="AW14" s="26">
        <f>IF(M14=0,0,COUNTIF('4_imgsummary'!E14:N14,"MONTB")*100/M14)</f>
        <v>10</v>
      </c>
      <c r="AX14">
        <f>IF(M14=0,0,COUNTIF('4_imgsummary'!E14:N14,"MONTE")*100/M14)</f>
        <v>0</v>
      </c>
      <c r="AY14">
        <f>IF(M14=0,0,COUNTIF('4_imgsummary'!E14:N14,"MONTF")*100/M14)</f>
        <v>0</v>
      </c>
      <c r="AZ14">
        <f>IF(M14=0,0,COUNTIF('4_imgsummary'!E14:N14,"MYC")*100/M14)</f>
        <v>0</v>
      </c>
      <c r="BA14">
        <f>IF(M14=0,0,COUNTIF('4_imgsummary'!E14:N14,"CB")*100/M14)</f>
        <v>0</v>
      </c>
      <c r="BB14" s="26">
        <f>IF(M14=0,0,COUNTIF('4_imgsummary'!E14:N14,"BUB")*100/M14)</f>
        <v>10</v>
      </c>
      <c r="BC14">
        <f>IF(M14=0,0,COUNTIF('4_imgsummary'!E14:N14,"CE")*100/M14)</f>
        <v>0</v>
      </c>
      <c r="BD14">
        <f>IF(M14=0,0,COUNTIF('4_imgsummary'!E14:N14,"CF")*100/M14)</f>
        <v>0</v>
      </c>
      <c r="BE14">
        <f>IF(M14=0,0,COUNTIF('4_imgsummary'!E14:N14,"FOT")*100/M14)</f>
        <v>0</v>
      </c>
      <c r="BF14">
        <f>IF(M14=0,0,COUNTIF('4_imgsummary'!E14:N14,"CM")*100/M14)</f>
        <v>0</v>
      </c>
      <c r="BG14">
        <f>IF(M14=0,0,COUNTIF('4_imgsummary'!E14:N14,"OULA")*100/M14)</f>
        <v>0</v>
      </c>
      <c r="BH14">
        <f>IF(M14=0,0,COUNTIF('4_imgsummary'!E14:N14,"OULO")*100/M14)</f>
        <v>0</v>
      </c>
      <c r="BI14">
        <f>IF(M14=0,0,COUNTIF('4_imgsummary'!E14:N14,"OXY")*100/M14)</f>
        <v>0</v>
      </c>
      <c r="BJ14" s="26">
        <f>IF(M14=0,0,COUNTIF('4_imgsummary'!E14:N14,"PACE")*100/M14)</f>
        <v>10</v>
      </c>
      <c r="BK14">
        <f>IF(M14=0,0,COUNTIF('4_imgsummary'!E14:N14,"PACF")*100/M14)</f>
        <v>0</v>
      </c>
      <c r="BL14">
        <f>IF(M14=0,0,COUNTIF('4_imgsummary'!E14:N14,"PAV")*100/M14)</f>
        <v>0</v>
      </c>
      <c r="BM14" s="26">
        <f>IF(M14=0,0,COUNTIF('4_imgsummary'!E14:N14,"PEC")*100/M14)</f>
        <v>10</v>
      </c>
      <c r="BN14">
        <f>IF(M14=0,0,COUNTIF('4_imgsummary'!E14:N14,"PLAT")*100/M14)</f>
        <v>0</v>
      </c>
      <c r="BO14">
        <f>IF(M14=0,0,COUNTIF('4_imgsummary'!E14:N14,"POC")*100/M14)</f>
        <v>0</v>
      </c>
      <c r="BP14">
        <f>IF(M14=0,0,COUNTIF('4_imgsummary'!E14:N14,"PORB")*100/M14)</f>
        <v>0</v>
      </c>
      <c r="BQ14">
        <f>IF(M14=0,0,COUNTIF('4_imgsummary'!E14:N14,"PORE")*100/M14)</f>
        <v>0</v>
      </c>
      <c r="BR14">
        <f>IF(M14=0,0,COUNTIF('4_imgsummary'!E14:N14,"PORM")*100/M14)</f>
        <v>0</v>
      </c>
      <c r="BS14">
        <f>IF(M14=0,0,COUNTIF('4_imgsummary'!E14:N14,"SER")*100/M14)</f>
        <v>0</v>
      </c>
      <c r="BT14">
        <f>IF(M14=0,0,COUNTIF('4_imgsummary'!E14:N14,"STY")*100/M14)</f>
        <v>0</v>
      </c>
      <c r="BU14">
        <f>IF(M14=0,0,COUNTIF('4_imgsummary'!E14:N14,"SYM")*100/M14)</f>
        <v>0</v>
      </c>
      <c r="BV14">
        <f>IF(M14=0,0,COUNTIF('4_imgsummary'!E14:N14,"TUBI")*100/M14)</f>
        <v>0</v>
      </c>
      <c r="BW14">
        <f>IF(M14=0,0,COUNTIF('4_imgsummary'!E14:N14,"TURB")*100/M14)</f>
        <v>0</v>
      </c>
      <c r="BX14">
        <f>IF(M14=0,0,COUNTIF('4_imgsummary'!E14:N14,"ZACRF")*100/M14)</f>
        <v>0</v>
      </c>
      <c r="BY14">
        <f>IF(M14=0,0,COUNTIF('4_imgsummary'!E14:N14,"ZAGARF")*100/M14)</f>
        <v>0</v>
      </c>
      <c r="BZ14">
        <f>IF(M14=0,0,COUNTIF('4_imgsummary'!E14:N14,"ZAGATF")*100/M14)</f>
        <v>0</v>
      </c>
      <c r="CA14">
        <f>IF(M14=0,0,COUNTIF('4_imgsummary'!E14:N14,"ZDENF")*100/M14)</f>
        <v>0</v>
      </c>
      <c r="CB14">
        <f>IF(M14=0,0,COUNTIF('4_imgsummary'!E14:N14,"ZEUPF")*100/M14)</f>
        <v>0</v>
      </c>
      <c r="CC14">
        <f>IF(M14=0,0,COUNTIF('4_imgsummary'!E14:N14,"ZFAVF")*100/M14)</f>
        <v>0</v>
      </c>
      <c r="CD14">
        <f>IF(M14=0,0,COUNTIF('4_imgsummary'!E14:N14,"ZCMRF")*100/M14)</f>
        <v>0</v>
      </c>
      <c r="CE14">
        <f>IF(M14=0,0,COUNTIF('4_imgsummary'!E14:N14,"ZMUSF")*100/M14)</f>
        <v>0</v>
      </c>
      <c r="CF14">
        <f>IF(M14=0,0,COUNTIF('4_imgsummary'!E14:N14,"ZNSC")*100/M14)</f>
        <v>0</v>
      </c>
      <c r="CG14">
        <f>IF(M14=0,0,COUNTIF('4_imgsummary'!E14:N14,"ZOC")*100/M14)</f>
        <v>0</v>
      </c>
      <c r="CH14">
        <f>IF(M14=0,0,COUNTIF('4_imgsummary'!E14:N14,"ZPOCF")*100/M14)</f>
        <v>0</v>
      </c>
      <c r="CI14">
        <f>IF(M14=0,0,COUNTIF('4_imgsummary'!E14:N14,"ZPORF")*100/M14)</f>
        <v>0</v>
      </c>
      <c r="CK14" s="26">
        <f>IF(M14=0,0,COUNTIF('4_imgsummary'!E14:N14,"AA")*100/M14)</f>
        <v>10</v>
      </c>
      <c r="CL14" s="26">
        <f>IF(M14=0,0,COUNTIF('4_imgsummary'!E14:N14,"CA")*100/M14)</f>
        <v>20</v>
      </c>
      <c r="CM14">
        <f>IF(M14=0,0,COUNTIF('4_imgsummary'!E14:N14,"DC")*100/M14)</f>
        <v>0</v>
      </c>
      <c r="CN14">
        <f>IF(M14=0,0,COUNTIF('4_imgsummary'!E14:N14,"DCA")*100/M14)</f>
        <v>0</v>
      </c>
      <c r="CO14">
        <f>IF(M14=0,0,COUNTIF('4_imgsummary'!E14:N14,"DIS")*100/M14)</f>
        <v>0</v>
      </c>
      <c r="CQ14">
        <f>IF(M14=0,0,COUNTIF('4_imgsummary'!E14:N14,"GRV")*100/M14)</f>
        <v>0</v>
      </c>
      <c r="CR14">
        <f>IF(M14=0,0,COUNTIF('4_imgsummary'!E14:N14,"R")*100/M14)</f>
        <v>0</v>
      </c>
      <c r="CS14">
        <f>IF(M14=0,0,COUNTIF('4_imgsummary'!E14:N14,"S")*100/M14)</f>
        <v>0</v>
      </c>
      <c r="CT14">
        <f>IF(M14=0,0,COUNTIF('4_imgsummary'!E14:N14,"RCK")*100/M14)</f>
        <v>0</v>
      </c>
      <c r="CU14">
        <f>IF(M14=0,0,COUNTIF('4_imgsummary'!E14:N14,"SI")*100/M14)</f>
        <v>0</v>
      </c>
      <c r="CW14">
        <f>IF(M14=0,0,COUNTIF('4_imgsummary'!E14:N14,"COD")*100/M14)</f>
        <v>0</v>
      </c>
      <c r="CX14">
        <f>IF(M14=0,0,COUNTIF('4_imgsummary'!E14:N14,"KAPP")*100/M14)</f>
        <v>0</v>
      </c>
      <c r="CY14">
        <f>IF(M14=0,0,COUNTIF('4_imgsummary'!E14:N14,"MA")*100/M14)</f>
        <v>0</v>
      </c>
      <c r="CZ14">
        <f>IF(M14=0,0,COUNTIF('4_imgsummary'!E14:N14,"SARG")*100/M14)</f>
        <v>0</v>
      </c>
      <c r="DB14">
        <f>IF(M14=0,0,COUNTIF('4_imgsummary'!E14:N14,"HA")*100/M14)</f>
        <v>0</v>
      </c>
      <c r="DD14">
        <f>IF(M14=0,0,COUNTIF('4_imgsummary'!E14:N14,"COTS")*100/M14)</f>
        <v>0</v>
      </c>
      <c r="DE14">
        <f>IF(M14=0,0,COUNTIF('4_imgsummary'!E14:N14,"COR")*100/M14)</f>
        <v>0</v>
      </c>
      <c r="DF14">
        <f>IF(M14=0,0,COUNTIF('4_imgsummary'!E14:N14,"DIA")*100/M14)</f>
        <v>0</v>
      </c>
      <c r="DG14">
        <f>IF(M14=0,0,COUNTIF('4_imgsummary'!E14:N14,"GORG")*100/M14)</f>
        <v>0</v>
      </c>
      <c r="DH14">
        <f>IF(M14=0,0,COUNTIF('4_imgsummary'!E14:N14,"ISIS")*100/M14)</f>
        <v>0</v>
      </c>
      <c r="DI14">
        <f>IF(M14=0,0,COUNTIF('4_imgsummary'!E14:N14,"OT")*100/M14)</f>
        <v>0</v>
      </c>
      <c r="DJ14">
        <f>IF(M14=0,0,COUNTIF('4_imgsummary'!E14:N14,"SG")*100/M14)</f>
        <v>0</v>
      </c>
      <c r="DK14">
        <f>IF(M14=0,0,COUNTIF('4_imgsummary'!E14:N14,"SC")*100/M14)</f>
        <v>0</v>
      </c>
      <c r="DL14">
        <f>IF(M14=0,0,COUNTIF('4_imgsummary'!E14:N14,"SP")*100/M14)</f>
        <v>0</v>
      </c>
      <c r="DM14">
        <f>IF(M14=0,0,COUNTIF('4_imgsummary'!E14:N14,"ZO")*100/M14)</f>
        <v>0</v>
      </c>
      <c r="DO14">
        <f>IF(M14=0,0,COUNTIF('4_imgsummary'!E14:N14,"TWB")*100/M14)</f>
        <v>0</v>
      </c>
      <c r="DQ14">
        <f>IF(M14=0,0,COUNTIF('4_imgsummary'!Y14:AH14,"COR")*100/M14)</f>
        <v>0</v>
      </c>
      <c r="DR14">
        <f>IF(M14=0,0,COUNTIF('4_imgsummary'!Y14:AH14,"COTS")*100/M14)</f>
        <v>0</v>
      </c>
      <c r="DS14">
        <f>IF(M14=0,0,COUNTIF('4_imgsummary'!Y14:AH14,"DIA")*100/M14)</f>
        <v>0</v>
      </c>
      <c r="DT14">
        <f>IF(M14=0,0,COUNTIF('4_imgsummary'!Y14:AH14,"GORG")*100/M14)</f>
        <v>0</v>
      </c>
      <c r="DU14">
        <f>IF(M14=0,0,COUNTIF('4_imgsummary'!Y14:AH14,"ISIS")*100/M14)</f>
        <v>0</v>
      </c>
      <c r="DV14">
        <f>IF(M14=0,0,COUNTIF('4_imgsummary'!Y14:AH14,"DIS")*100/M14)</f>
        <v>0</v>
      </c>
      <c r="DW14">
        <f>IF(M14=0,0,COUNTIF('4_imgsummary'!Y14:AH14,"BLEC")*100/M14)</f>
        <v>0</v>
      </c>
      <c r="DX14">
        <f>IF(M14=0,0,COUNTIF('4_imgsummary'!Y14:AH14,"COD")*100/M14)</f>
        <v>0</v>
      </c>
      <c r="DY14">
        <f>IF(M14=0,0,COUNTIF('4_imgsummary'!Y14:AH14,"KAPP")*100/M14)</f>
        <v>0</v>
      </c>
      <c r="DZ14">
        <f>IF(M14=0,0,COUNTIF('4_imgsummary'!Y14:AH14,"SARG")*100/M14)</f>
        <v>0</v>
      </c>
      <c r="EA14">
        <f>IF(M14=0,0,COUNTIF('4_imgsummary'!Y14:AH14,"ZACRF")*100/M14)</f>
        <v>0</v>
      </c>
      <c r="EB14">
        <f>IF(M14=0,0,COUNTIF('4_imgsummary'!Y14:AH14,"ZAGARF")*100/M14)</f>
        <v>0</v>
      </c>
      <c r="EC14">
        <f>IF(M14=0,0,COUNTIF('4_imgsummary'!Y14:AH14,"ZAGATF")*100/M14)</f>
        <v>0</v>
      </c>
      <c r="ED14">
        <f>IF(M14=0,0,COUNTIF('4_imgsummary'!Y14:AH14,"ZCMRF")*100/M14)</f>
        <v>0</v>
      </c>
      <c r="EE14">
        <f>IF(M14=0,0,COUNTIF('4_imgsummary'!Y14:AH14,"ZDENF")*100/M14)</f>
        <v>0</v>
      </c>
      <c r="EF14">
        <f>IF(M14=0,0,COUNTIF('4_imgsummary'!Y14:AH14,"ZEUPF")*100/M14)</f>
        <v>0</v>
      </c>
      <c r="EG14">
        <f>IF(M14=0,0,COUNTIF('4_imgsummary'!Y14:AH14,"ZFAVF")*100/M14)</f>
        <v>0</v>
      </c>
      <c r="EH14">
        <f>IF(M14=0,0,COUNTIF('4_imgsummary'!Y14:AH14,"ZMUSF")*100/M14)</f>
        <v>0</v>
      </c>
      <c r="EI14">
        <f>IF(M14=0,0,COUNTIF('4_imgsummary'!Y14:AH14,"ZNSC")*100/M14)</f>
        <v>0</v>
      </c>
      <c r="EJ14">
        <f>IF(M14=0,0,COUNTIF('4_imgsummary'!Y14:AH14,"ZOC")*100/M14)</f>
        <v>0</v>
      </c>
      <c r="EK14">
        <f>IF(M14=0,0,COUNTIF('4_imgsummary'!Y14:AH14,"ZPOCF")*100/M14)</f>
        <v>0</v>
      </c>
      <c r="EL14">
        <f>IF(M14=0,0,COUNTIF('4_imgsummary'!Y14:AH14,"ZPORF")*100/M14)</f>
        <v>0</v>
      </c>
    </row>
    <row r="15" spans="1:142" x14ac:dyDescent="0.35">
      <c r="A15">
        <v>13</v>
      </c>
      <c r="B15" t="s">
        <v>83</v>
      </c>
      <c r="F15" s="26">
        <f>IF(M15=0,0,COUNTIF('4_imgsummary'!O15:X15,"HC")*100/M15)</f>
        <v>30</v>
      </c>
      <c r="G15" s="26">
        <f>IF(M15=0,0,COUNTIF('4_imgsummary'!O15:X15,"AA")*100/M15)</f>
        <v>20</v>
      </c>
      <c r="H15">
        <f>IF(M15=0,0,COUNTIF('4_imgsummary'!O15:X15,"AB")*100/M15)</f>
        <v>0</v>
      </c>
      <c r="I15">
        <f>IF(M15=0,0,COUNTIF('4_imgsummary'!O15:X15,"MA")*100/M15)</f>
        <v>0</v>
      </c>
      <c r="J15">
        <f>IF(M15=0,0,COUNTIF('4_imgsummary'!O15:X15,"HA")*100/M15)</f>
        <v>0</v>
      </c>
      <c r="K15" s="26">
        <f>IF(M15=0,0,COUNTIF('4_imgsummary'!O15:X15,"OB")*100/M15)</f>
        <v>40</v>
      </c>
      <c r="L15" s="26">
        <f>IF(M15=0,0,COUNTIF('4_imgsummary'!O15:X15,"TWB")*100/M15)</f>
        <v>10</v>
      </c>
      <c r="M15">
        <f>10-COUNTIF('4_imgsummary'!O15:X15,"TWS")</f>
        <v>10</v>
      </c>
      <c r="P15">
        <f>IF(M15=0,0,COUNTIF('4_imgsummary'!E15:N15,"ACAN")*100/M15)</f>
        <v>0</v>
      </c>
      <c r="Q15">
        <f>IF(M15=0,0,COUNTIF('4_imgsummary'!E15:N15,"ACB")*100/M15)</f>
        <v>0</v>
      </c>
      <c r="R15">
        <f>IF(M15=0,0,COUNTIF('4_imgsummary'!E15:N15,"ACC")*100/M15)</f>
        <v>0</v>
      </c>
      <c r="S15">
        <f>IF(M15=0,0,COUNTIF('4_imgsummary'!E15:N15,"ACD")*100/M15)</f>
        <v>0</v>
      </c>
      <c r="T15">
        <f>IF(M15=0,0,COUNTIF('4_imgsummary'!E15:N15,"ACH")*100/M15)</f>
        <v>0</v>
      </c>
      <c r="U15">
        <f>IF(M15=0,0,COUNTIF('4_imgsummary'!E15:N15,"ACT")*100/M15)</f>
        <v>0</v>
      </c>
      <c r="V15">
        <f>IF(M15=0,0,COUNTIF('4_imgsummary'!E15:N15,"ACR")*100/M15)</f>
        <v>0</v>
      </c>
      <c r="W15">
        <f>IF(M15=0,0,COUNTIF('4_imgsummary'!E15:N15,"AST")*100/M15)</f>
        <v>0</v>
      </c>
      <c r="X15">
        <f>IF(M15=0,0,COUNTIF('4_imgsummary'!E15:N15,"AF")*100/M15)</f>
        <v>0</v>
      </c>
      <c r="Y15">
        <f>IF(M15=0,0,COUNTIF('4_imgsummary'!E15:N15,"BLEC")*100/M15)</f>
        <v>0</v>
      </c>
      <c r="Z15">
        <f>IF(M15=0,0,COUNTIF('4_imgsummary'!E15:N15,"CAU")*100/M15)</f>
        <v>0</v>
      </c>
      <c r="AA15">
        <f>IF(M15=0,0,COUNTIF('4_imgsummary'!E15:N15,"COE")*100/M15)</f>
        <v>0</v>
      </c>
      <c r="AB15">
        <f>IF(M15=0,0,COUNTIF('4_imgsummary'!E15:N15,"COS")*100/M15)</f>
        <v>0</v>
      </c>
      <c r="AC15">
        <f>IF(M15=0,0,COUNTIF('4_imgsummary'!E15:N15,"CYP")*100/M15)</f>
        <v>0</v>
      </c>
      <c r="AD15">
        <f>IF(M15=0,0,COUNTIF('4_imgsummary'!E15:N15,"DIP")*100/M15)</f>
        <v>0</v>
      </c>
      <c r="AE15">
        <f>IF(M15=0,0,COUNTIF('4_imgsummary'!E15:N15,"ECHY")*100/M15)</f>
        <v>0</v>
      </c>
      <c r="AF15" s="26">
        <f>IF(M15=0,0,COUNTIF('4_imgsummary'!E15:N15,"ECHI")*100/M15)</f>
        <v>10</v>
      </c>
      <c r="AG15">
        <f>IF(M15=0,0,COUNTIF('4_imgsummary'!E15:N15,"EUP")*100/M15)</f>
        <v>0</v>
      </c>
      <c r="AH15">
        <f>IF(M15=0,0,COUNTIF('4_imgsummary'!E15:N15,"FAV")*100/M15)</f>
        <v>0</v>
      </c>
      <c r="AI15">
        <f>IF(M15=0,0,COUNTIF('4_imgsummary'!E15:N15,"FVI")*100/M15)</f>
        <v>0</v>
      </c>
      <c r="AJ15">
        <f>IF(M15=0,0,COUNTIF('4_imgsummary'!E15:N15,"CMR")*100/M15)</f>
        <v>0</v>
      </c>
      <c r="AK15">
        <f>IF(M15=0,0,COUNTIF('4_imgsummary'!E15:N15,"GAL")*100/M15)</f>
        <v>0</v>
      </c>
      <c r="AL15">
        <f>IF(M15=0,0,COUNTIF('4_imgsummary'!E15:N15,"GONIA")*100/M15)</f>
        <v>0</v>
      </c>
      <c r="AM15">
        <f>IF(M15=0,0,COUNTIF('4_imgsummary'!E15:N15,"GONIO")*100/M15)</f>
        <v>0</v>
      </c>
      <c r="AN15">
        <f>IF(M15=0,0,COUNTIF('4_imgsummary'!E15:N15,"HEL")*100/M15)</f>
        <v>0</v>
      </c>
      <c r="AO15">
        <f>IF(M15=0,0,COUNTIF('4_imgsummary'!E15:N15,"HYD")*100/M15)</f>
        <v>0</v>
      </c>
      <c r="AP15" s="26">
        <f>IF(M15=0,0,COUNTIF('4_imgsummary'!E15:N15,"ISO")*100/M15)</f>
        <v>10</v>
      </c>
      <c r="AQ15">
        <f>IF(M15=0,0,COUNTIF('4_imgsummary'!E15:N15,"LEPA")*100/M15)</f>
        <v>0</v>
      </c>
      <c r="AR15">
        <f>IF(M15=0,0,COUNTIF('4_imgsummary'!E15:N15,"LEPS")*100/M15)</f>
        <v>0</v>
      </c>
      <c r="AS15">
        <f>IF(M15=0,0,COUNTIF('4_imgsummary'!E15:N15,"LOB")*100/M15)</f>
        <v>0</v>
      </c>
      <c r="AT15">
        <f>IF(M15=0,0,COUNTIF('4_imgsummary'!E15:N15,"MER")*100/M15)</f>
        <v>0</v>
      </c>
      <c r="AU15">
        <f>IF(M15=0,0,COUNTIF('4_imgsummary'!E15:N15,"MILL")*100/M15)</f>
        <v>0</v>
      </c>
      <c r="AV15">
        <f>IF(M15=0,0,COUNTIF('4_imgsummary'!E15:N15,"MON")*100/M15)</f>
        <v>0</v>
      </c>
      <c r="AW15">
        <f>IF(M15=0,0,COUNTIF('4_imgsummary'!E15:N15,"MONTB")*100/M15)</f>
        <v>0</v>
      </c>
      <c r="AX15">
        <f>IF(M15=0,0,COUNTIF('4_imgsummary'!E15:N15,"MONTE")*100/M15)</f>
        <v>0</v>
      </c>
      <c r="AY15">
        <f>IF(M15=0,0,COUNTIF('4_imgsummary'!E15:N15,"MONTF")*100/M15)</f>
        <v>0</v>
      </c>
      <c r="AZ15">
        <f>IF(M15=0,0,COUNTIF('4_imgsummary'!E15:N15,"MYC")*100/M15)</f>
        <v>0</v>
      </c>
      <c r="BA15" s="26">
        <f>IF(M15=0,0,COUNTIF('4_imgsummary'!E15:N15,"CB")*100/M15)</f>
        <v>10</v>
      </c>
      <c r="BB15">
        <f>IF(M15=0,0,COUNTIF('4_imgsummary'!E15:N15,"BUB")*100/M15)</f>
        <v>0</v>
      </c>
      <c r="BC15">
        <f>IF(M15=0,0,COUNTIF('4_imgsummary'!E15:N15,"CE")*100/M15)</f>
        <v>0</v>
      </c>
      <c r="BD15">
        <f>IF(M15=0,0,COUNTIF('4_imgsummary'!E15:N15,"CF")*100/M15)</f>
        <v>0</v>
      </c>
      <c r="BE15">
        <f>IF(M15=0,0,COUNTIF('4_imgsummary'!E15:N15,"FOT")*100/M15)</f>
        <v>0</v>
      </c>
      <c r="BF15">
        <f>IF(M15=0,0,COUNTIF('4_imgsummary'!E15:N15,"CM")*100/M15)</f>
        <v>0</v>
      </c>
      <c r="BG15">
        <f>IF(M15=0,0,COUNTIF('4_imgsummary'!E15:N15,"OULA")*100/M15)</f>
        <v>0</v>
      </c>
      <c r="BH15">
        <f>IF(M15=0,0,COUNTIF('4_imgsummary'!E15:N15,"OULO")*100/M15)</f>
        <v>0</v>
      </c>
      <c r="BI15">
        <f>IF(M15=0,0,COUNTIF('4_imgsummary'!E15:N15,"OXY")*100/M15)</f>
        <v>0</v>
      </c>
      <c r="BJ15">
        <f>IF(M15=0,0,COUNTIF('4_imgsummary'!E15:N15,"PACE")*100/M15)</f>
        <v>0</v>
      </c>
      <c r="BK15">
        <f>IF(M15=0,0,COUNTIF('4_imgsummary'!E15:N15,"PACF")*100/M15)</f>
        <v>0</v>
      </c>
      <c r="BL15">
        <f>IF(M15=0,0,COUNTIF('4_imgsummary'!E15:N15,"PAV")*100/M15)</f>
        <v>0</v>
      </c>
      <c r="BM15">
        <f>IF(M15=0,0,COUNTIF('4_imgsummary'!E15:N15,"PEC")*100/M15)</f>
        <v>0</v>
      </c>
      <c r="BN15">
        <f>IF(M15=0,0,COUNTIF('4_imgsummary'!E15:N15,"PLAT")*100/M15)</f>
        <v>0</v>
      </c>
      <c r="BO15">
        <f>IF(M15=0,0,COUNTIF('4_imgsummary'!E15:N15,"POC")*100/M15)</f>
        <v>0</v>
      </c>
      <c r="BP15">
        <f>IF(M15=0,0,COUNTIF('4_imgsummary'!E15:N15,"PORB")*100/M15)</f>
        <v>0</v>
      </c>
      <c r="BQ15">
        <f>IF(M15=0,0,COUNTIF('4_imgsummary'!E15:N15,"PORE")*100/M15)</f>
        <v>0</v>
      </c>
      <c r="BR15">
        <f>IF(M15=0,0,COUNTIF('4_imgsummary'!E15:N15,"PORM")*100/M15)</f>
        <v>0</v>
      </c>
      <c r="BS15">
        <f>IF(M15=0,0,COUNTIF('4_imgsummary'!E15:N15,"SER")*100/M15)</f>
        <v>0</v>
      </c>
      <c r="BT15">
        <f>IF(M15=0,0,COUNTIF('4_imgsummary'!E15:N15,"STY")*100/M15)</f>
        <v>0</v>
      </c>
      <c r="BU15">
        <f>IF(M15=0,0,COUNTIF('4_imgsummary'!E15:N15,"SYM")*100/M15)</f>
        <v>0</v>
      </c>
      <c r="BV15">
        <f>IF(M15=0,0,COUNTIF('4_imgsummary'!E15:N15,"TUBI")*100/M15)</f>
        <v>0</v>
      </c>
      <c r="BW15">
        <f>IF(M15=0,0,COUNTIF('4_imgsummary'!E15:N15,"TURB")*100/M15)</f>
        <v>0</v>
      </c>
      <c r="BX15">
        <f>IF(M15=0,0,COUNTIF('4_imgsummary'!E15:N15,"ZACRF")*100/M15)</f>
        <v>0</v>
      </c>
      <c r="BY15">
        <f>IF(M15=0,0,COUNTIF('4_imgsummary'!E15:N15,"ZAGARF")*100/M15)</f>
        <v>0</v>
      </c>
      <c r="BZ15">
        <f>IF(M15=0,0,COUNTIF('4_imgsummary'!E15:N15,"ZAGATF")*100/M15)</f>
        <v>0</v>
      </c>
      <c r="CA15">
        <f>IF(M15=0,0,COUNTIF('4_imgsummary'!E15:N15,"ZDENF")*100/M15)</f>
        <v>0</v>
      </c>
      <c r="CB15">
        <f>IF(M15=0,0,COUNTIF('4_imgsummary'!E15:N15,"ZEUPF")*100/M15)</f>
        <v>0</v>
      </c>
      <c r="CC15">
        <f>IF(M15=0,0,COUNTIF('4_imgsummary'!E15:N15,"ZFAVF")*100/M15)</f>
        <v>0</v>
      </c>
      <c r="CD15">
        <f>IF(M15=0,0,COUNTIF('4_imgsummary'!E15:N15,"ZCMRF")*100/M15)</f>
        <v>0</v>
      </c>
      <c r="CE15">
        <f>IF(M15=0,0,COUNTIF('4_imgsummary'!E15:N15,"ZMUSF")*100/M15)</f>
        <v>0</v>
      </c>
      <c r="CF15">
        <f>IF(M15=0,0,COUNTIF('4_imgsummary'!E15:N15,"ZNSC")*100/M15)</f>
        <v>0</v>
      </c>
      <c r="CG15">
        <f>IF(M15=0,0,COUNTIF('4_imgsummary'!E15:N15,"ZOC")*100/M15)</f>
        <v>0</v>
      </c>
      <c r="CH15">
        <f>IF(M15=0,0,COUNTIF('4_imgsummary'!E15:N15,"ZPOCF")*100/M15)</f>
        <v>0</v>
      </c>
      <c r="CI15">
        <f>IF(M15=0,0,COUNTIF('4_imgsummary'!E15:N15,"ZPORF")*100/M15)</f>
        <v>0</v>
      </c>
      <c r="CK15" s="26">
        <f>IF(M15=0,0,COUNTIF('4_imgsummary'!E15:N15,"AA")*100/M15)</f>
        <v>10</v>
      </c>
      <c r="CL15" s="26">
        <f>IF(M15=0,0,COUNTIF('4_imgsummary'!E15:N15,"CA")*100/M15)</f>
        <v>10</v>
      </c>
      <c r="CM15">
        <f>IF(M15=0,0,COUNTIF('4_imgsummary'!E15:N15,"DC")*100/M15)</f>
        <v>0</v>
      </c>
      <c r="CN15">
        <f>IF(M15=0,0,COUNTIF('4_imgsummary'!E15:N15,"DCA")*100/M15)</f>
        <v>0</v>
      </c>
      <c r="CO15">
        <f>IF(M15=0,0,COUNTIF('4_imgsummary'!E15:N15,"DIS")*100/M15)</f>
        <v>0</v>
      </c>
      <c r="CQ15">
        <f>IF(M15=0,0,COUNTIF('4_imgsummary'!E15:N15,"GRV")*100/M15)</f>
        <v>0</v>
      </c>
      <c r="CR15">
        <f>IF(M15=0,0,COUNTIF('4_imgsummary'!E15:N15,"R")*100/M15)</f>
        <v>0</v>
      </c>
      <c r="CS15">
        <f>IF(M15=0,0,COUNTIF('4_imgsummary'!E15:N15,"S")*100/M15)</f>
        <v>0</v>
      </c>
      <c r="CT15">
        <f>IF(M15=0,0,COUNTIF('4_imgsummary'!E15:N15,"RCK")*100/M15)</f>
        <v>0</v>
      </c>
      <c r="CU15">
        <f>IF(M15=0,0,COUNTIF('4_imgsummary'!E15:N15,"SI")*100/M15)</f>
        <v>0</v>
      </c>
      <c r="CW15">
        <f>IF(M15=0,0,COUNTIF('4_imgsummary'!E15:N15,"COD")*100/M15)</f>
        <v>0</v>
      </c>
      <c r="CX15">
        <f>IF(M15=0,0,COUNTIF('4_imgsummary'!E15:N15,"KAPP")*100/M15)</f>
        <v>0</v>
      </c>
      <c r="CY15">
        <f>IF(M15=0,0,COUNTIF('4_imgsummary'!E15:N15,"MA")*100/M15)</f>
        <v>0</v>
      </c>
      <c r="CZ15">
        <f>IF(M15=0,0,COUNTIF('4_imgsummary'!E15:N15,"SARG")*100/M15)</f>
        <v>0</v>
      </c>
      <c r="DB15">
        <f>IF(M15=0,0,COUNTIF('4_imgsummary'!E15:N15,"HA")*100/M15)</f>
        <v>0</v>
      </c>
      <c r="DD15">
        <f>IF(M15=0,0,COUNTIF('4_imgsummary'!E15:N15,"COTS")*100/M15)</f>
        <v>0</v>
      </c>
      <c r="DE15">
        <f>IF(M15=0,0,COUNTIF('4_imgsummary'!E15:N15,"COR")*100/M15)</f>
        <v>0</v>
      </c>
      <c r="DF15">
        <f>IF(M15=0,0,COUNTIF('4_imgsummary'!E15:N15,"DIA")*100/M15)</f>
        <v>0</v>
      </c>
      <c r="DG15">
        <f>IF(M15=0,0,COUNTIF('4_imgsummary'!E15:N15,"GORG")*100/M15)</f>
        <v>0</v>
      </c>
      <c r="DH15">
        <f>IF(M15=0,0,COUNTIF('4_imgsummary'!E15:N15,"ISIS")*100/M15)</f>
        <v>0</v>
      </c>
      <c r="DI15" s="26">
        <f>IF(M15=0,0,COUNTIF('4_imgsummary'!E15:N15,"OT")*100/M15)</f>
        <v>10</v>
      </c>
      <c r="DJ15">
        <f>IF(M15=0,0,COUNTIF('4_imgsummary'!E15:N15,"SG")*100/M15)</f>
        <v>0</v>
      </c>
      <c r="DK15">
        <f>IF(M15=0,0,COUNTIF('4_imgsummary'!E15:N15,"SC")*100/M15)</f>
        <v>0</v>
      </c>
      <c r="DL15" s="26">
        <f>IF(M15=0,0,COUNTIF('4_imgsummary'!E15:N15,"SP")*100/M15)</f>
        <v>30</v>
      </c>
      <c r="DM15">
        <f>IF(M15=0,0,COUNTIF('4_imgsummary'!E15:N15,"ZO")*100/M15)</f>
        <v>0</v>
      </c>
      <c r="DO15" s="26">
        <f>IF(M15=0,0,COUNTIF('4_imgsummary'!E15:N15,"TWB")*100/M15)</f>
        <v>10</v>
      </c>
      <c r="DQ15">
        <f>IF(M15=0,0,COUNTIF('4_imgsummary'!Y15:AH15,"COR")*100/M15)</f>
        <v>0</v>
      </c>
      <c r="DR15">
        <f>IF(M15=0,0,COUNTIF('4_imgsummary'!Y15:AH15,"COTS")*100/M15)</f>
        <v>0</v>
      </c>
      <c r="DS15">
        <f>IF(M15=0,0,COUNTIF('4_imgsummary'!Y15:AH15,"DIA")*100/M15)</f>
        <v>0</v>
      </c>
      <c r="DT15">
        <f>IF(M15=0,0,COUNTIF('4_imgsummary'!Y15:AH15,"GORG")*100/M15)</f>
        <v>10</v>
      </c>
      <c r="DU15">
        <f>IF(M15=0,0,COUNTIF('4_imgsummary'!Y15:AH15,"ISIS")*100/M15)</f>
        <v>0</v>
      </c>
      <c r="DV15">
        <f>IF(M15=0,0,COUNTIF('4_imgsummary'!Y15:AH15,"DIS")*100/M15)</f>
        <v>0</v>
      </c>
      <c r="DW15">
        <f>IF(M15=0,0,COUNTIF('4_imgsummary'!Y15:AH15,"BLEC")*100/M15)</f>
        <v>0</v>
      </c>
      <c r="DX15">
        <f>IF(M15=0,0,COUNTIF('4_imgsummary'!Y15:AH15,"COD")*100/M15)</f>
        <v>0</v>
      </c>
      <c r="DY15">
        <f>IF(M15=0,0,COUNTIF('4_imgsummary'!Y15:AH15,"KAPP")*100/M15)</f>
        <v>0</v>
      </c>
      <c r="DZ15">
        <f>IF(M15=0,0,COUNTIF('4_imgsummary'!Y15:AH15,"SARG")*100/M15)</f>
        <v>0</v>
      </c>
      <c r="EA15">
        <f>IF(M15=0,0,COUNTIF('4_imgsummary'!Y15:AH15,"ZACRF")*100/M15)</f>
        <v>0</v>
      </c>
      <c r="EB15">
        <f>IF(M15=0,0,COUNTIF('4_imgsummary'!Y15:AH15,"ZAGARF")*100/M15)</f>
        <v>0</v>
      </c>
      <c r="EC15">
        <f>IF(M15=0,0,COUNTIF('4_imgsummary'!Y15:AH15,"ZAGATF")*100/M15)</f>
        <v>0</v>
      </c>
      <c r="ED15">
        <f>IF(M15=0,0,COUNTIF('4_imgsummary'!Y15:AH15,"ZCMRF")*100/M15)</f>
        <v>0</v>
      </c>
      <c r="EE15">
        <f>IF(M15=0,0,COUNTIF('4_imgsummary'!Y15:AH15,"ZDENF")*100/M15)</f>
        <v>0</v>
      </c>
      <c r="EF15">
        <f>IF(M15=0,0,COUNTIF('4_imgsummary'!Y15:AH15,"ZEUPF")*100/M15)</f>
        <v>0</v>
      </c>
      <c r="EG15">
        <f>IF(M15=0,0,COUNTIF('4_imgsummary'!Y15:AH15,"ZFAVF")*100/M15)</f>
        <v>0</v>
      </c>
      <c r="EH15">
        <f>IF(M15=0,0,COUNTIF('4_imgsummary'!Y15:AH15,"ZMUSF")*100/M15)</f>
        <v>0</v>
      </c>
      <c r="EI15">
        <f>IF(M15=0,0,COUNTIF('4_imgsummary'!Y15:AH15,"ZNSC")*100/M15)</f>
        <v>0</v>
      </c>
      <c r="EJ15">
        <f>IF(M15=0,0,COUNTIF('4_imgsummary'!Y15:AH15,"ZOC")*100/M15)</f>
        <v>0</v>
      </c>
      <c r="EK15">
        <f>IF(M15=0,0,COUNTIF('4_imgsummary'!Y15:AH15,"ZPOCF")*100/M15)</f>
        <v>0</v>
      </c>
      <c r="EL15">
        <f>IF(M15=0,0,COUNTIF('4_imgsummary'!Y15:AH15,"ZPORF")*100/M15)</f>
        <v>0</v>
      </c>
    </row>
    <row r="16" spans="1:142" x14ac:dyDescent="0.35">
      <c r="A16">
        <v>14</v>
      </c>
      <c r="B16" t="s">
        <v>85</v>
      </c>
      <c r="F16" s="26">
        <f>IF(M16=0,0,COUNTIF('4_imgsummary'!O16:X16,"HC")*100/M16)</f>
        <v>90</v>
      </c>
      <c r="G16" s="26">
        <f>IF(M16=0,0,COUNTIF('4_imgsummary'!O16:X16,"AA")*100/M16)</f>
        <v>10</v>
      </c>
      <c r="H16">
        <f>IF(M16=0,0,COUNTIF('4_imgsummary'!O16:X16,"AB")*100/M16)</f>
        <v>0</v>
      </c>
      <c r="I16">
        <f>IF(M16=0,0,COUNTIF('4_imgsummary'!O16:X16,"MA")*100/M16)</f>
        <v>0</v>
      </c>
      <c r="J16">
        <f>IF(M16=0,0,COUNTIF('4_imgsummary'!O16:X16,"HA")*100/M16)</f>
        <v>0</v>
      </c>
      <c r="K16">
        <f>IF(M16=0,0,COUNTIF('4_imgsummary'!O16:X16,"OB")*100/M16)</f>
        <v>0</v>
      </c>
      <c r="L16">
        <f>IF(M16=0,0,COUNTIF('4_imgsummary'!O16:X16,"TWB")*100/M16)</f>
        <v>0</v>
      </c>
      <c r="M16">
        <f>10-COUNTIF('4_imgsummary'!O16:X16,"TWS")</f>
        <v>10</v>
      </c>
      <c r="P16">
        <f>IF(M16=0,0,COUNTIF('4_imgsummary'!E16:N16,"ACAN")*100/M16)</f>
        <v>0</v>
      </c>
      <c r="Q16">
        <f>IF(M16=0,0,COUNTIF('4_imgsummary'!E16:N16,"ACB")*100/M16)</f>
        <v>0</v>
      </c>
      <c r="R16">
        <f>IF(M16=0,0,COUNTIF('4_imgsummary'!E16:N16,"ACC")*100/M16)</f>
        <v>0</v>
      </c>
      <c r="S16">
        <f>IF(M16=0,0,COUNTIF('4_imgsummary'!E16:N16,"ACD")*100/M16)</f>
        <v>0</v>
      </c>
      <c r="T16">
        <f>IF(M16=0,0,COUNTIF('4_imgsummary'!E16:N16,"ACH")*100/M16)</f>
        <v>0</v>
      </c>
      <c r="U16">
        <f>IF(M16=0,0,COUNTIF('4_imgsummary'!E16:N16,"ACT")*100/M16)</f>
        <v>0</v>
      </c>
      <c r="V16">
        <f>IF(M16=0,0,COUNTIF('4_imgsummary'!E16:N16,"ACR")*100/M16)</f>
        <v>0</v>
      </c>
      <c r="W16">
        <f>IF(M16=0,0,COUNTIF('4_imgsummary'!E16:N16,"AST")*100/M16)</f>
        <v>0</v>
      </c>
      <c r="X16">
        <f>IF(M16=0,0,COUNTIF('4_imgsummary'!E16:N16,"AF")*100/M16)</f>
        <v>0</v>
      </c>
      <c r="Y16">
        <f>IF(M16=0,0,COUNTIF('4_imgsummary'!E16:N16,"BLEC")*100/M16)</f>
        <v>0</v>
      </c>
      <c r="Z16">
        <f>IF(M16=0,0,COUNTIF('4_imgsummary'!E16:N16,"CAU")*100/M16)</f>
        <v>0</v>
      </c>
      <c r="AA16">
        <f>IF(M16=0,0,COUNTIF('4_imgsummary'!E16:N16,"COE")*100/M16)</f>
        <v>0</v>
      </c>
      <c r="AB16">
        <f>IF(M16=0,0,COUNTIF('4_imgsummary'!E16:N16,"COS")*100/M16)</f>
        <v>0</v>
      </c>
      <c r="AC16">
        <f>IF(M16=0,0,COUNTIF('4_imgsummary'!E16:N16,"CYP")*100/M16)</f>
        <v>0</v>
      </c>
      <c r="AD16">
        <f>IF(M16=0,0,COUNTIF('4_imgsummary'!E16:N16,"DIP")*100/M16)</f>
        <v>0</v>
      </c>
      <c r="AE16">
        <f>IF(M16=0,0,COUNTIF('4_imgsummary'!E16:N16,"ECHY")*100/M16)</f>
        <v>0</v>
      </c>
      <c r="AF16">
        <f>IF(M16=0,0,COUNTIF('4_imgsummary'!E16:N16,"ECHI")*100/M16)</f>
        <v>0</v>
      </c>
      <c r="AG16">
        <f>IF(M16=0,0,COUNTIF('4_imgsummary'!E16:N16,"EUP")*100/M16)</f>
        <v>0</v>
      </c>
      <c r="AH16">
        <f>IF(M16=0,0,COUNTIF('4_imgsummary'!E16:N16,"FAV")*100/M16)</f>
        <v>0</v>
      </c>
      <c r="AI16">
        <f>IF(M16=0,0,COUNTIF('4_imgsummary'!E16:N16,"FVI")*100/M16)</f>
        <v>0</v>
      </c>
      <c r="AJ16">
        <f>IF(M16=0,0,COUNTIF('4_imgsummary'!E16:N16,"CMR")*100/M16)</f>
        <v>0</v>
      </c>
      <c r="AK16">
        <f>IF(M16=0,0,COUNTIF('4_imgsummary'!E16:N16,"GAL")*100/M16)</f>
        <v>0</v>
      </c>
      <c r="AL16">
        <f>IF(M16=0,0,COUNTIF('4_imgsummary'!E16:N16,"GONIA")*100/M16)</f>
        <v>0</v>
      </c>
      <c r="AM16">
        <f>IF(M16=0,0,COUNTIF('4_imgsummary'!E16:N16,"GONIO")*100/M16)</f>
        <v>0</v>
      </c>
      <c r="AN16">
        <f>IF(M16=0,0,COUNTIF('4_imgsummary'!E16:N16,"HEL")*100/M16)</f>
        <v>0</v>
      </c>
      <c r="AO16">
        <f>IF(M16=0,0,COUNTIF('4_imgsummary'!E16:N16,"HYD")*100/M16)</f>
        <v>0</v>
      </c>
      <c r="AP16">
        <f>IF(M16=0,0,COUNTIF('4_imgsummary'!E16:N16,"ISO")*100/M16)</f>
        <v>0</v>
      </c>
      <c r="AQ16">
        <f>IF(M16=0,0,COUNTIF('4_imgsummary'!E16:N16,"LEPA")*100/M16)</f>
        <v>0</v>
      </c>
      <c r="AR16">
        <f>IF(M16=0,0,COUNTIF('4_imgsummary'!E16:N16,"LEPS")*100/M16)</f>
        <v>0</v>
      </c>
      <c r="AS16">
        <f>IF(M16=0,0,COUNTIF('4_imgsummary'!E16:N16,"LOB")*100/M16)</f>
        <v>0</v>
      </c>
      <c r="AT16">
        <f>IF(M16=0,0,COUNTIF('4_imgsummary'!E16:N16,"MER")*100/M16)</f>
        <v>0</v>
      </c>
      <c r="AU16">
        <f>IF(M16=0,0,COUNTIF('4_imgsummary'!E16:N16,"MILL")*100/M16)</f>
        <v>0</v>
      </c>
      <c r="AV16">
        <f>IF(M16=0,0,COUNTIF('4_imgsummary'!E16:N16,"MON")*100/M16)</f>
        <v>0</v>
      </c>
      <c r="AW16">
        <f>IF(M16=0,0,COUNTIF('4_imgsummary'!E16:N16,"MONTB")*100/M16)</f>
        <v>0</v>
      </c>
      <c r="AX16">
        <f>IF(M16=0,0,COUNTIF('4_imgsummary'!E16:N16,"MONTE")*100/M16)</f>
        <v>0</v>
      </c>
      <c r="AY16">
        <f>IF(M16=0,0,COUNTIF('4_imgsummary'!E16:N16,"MONTF")*100/M16)</f>
        <v>0</v>
      </c>
      <c r="AZ16">
        <f>IF(M16=0,0,COUNTIF('4_imgsummary'!E16:N16,"MYC")*100/M16)</f>
        <v>0</v>
      </c>
      <c r="BA16">
        <f>IF(M16=0,0,COUNTIF('4_imgsummary'!E16:N16,"CB")*100/M16)</f>
        <v>0</v>
      </c>
      <c r="BB16">
        <f>IF(M16=0,0,COUNTIF('4_imgsummary'!E16:N16,"BUB")*100/M16)</f>
        <v>0</v>
      </c>
      <c r="BC16">
        <f>IF(M16=0,0,COUNTIF('4_imgsummary'!E16:N16,"CE")*100/M16)</f>
        <v>0</v>
      </c>
      <c r="BD16">
        <f>IF(M16=0,0,COUNTIF('4_imgsummary'!E16:N16,"CF")*100/M16)</f>
        <v>0</v>
      </c>
      <c r="BE16">
        <f>IF(M16=0,0,COUNTIF('4_imgsummary'!E16:N16,"FOT")*100/M16)</f>
        <v>0</v>
      </c>
      <c r="BF16">
        <f>IF(M16=0,0,COUNTIF('4_imgsummary'!E16:N16,"CM")*100/M16)</f>
        <v>0</v>
      </c>
      <c r="BG16">
        <f>IF(M16=0,0,COUNTIF('4_imgsummary'!E16:N16,"OULA")*100/M16)</f>
        <v>0</v>
      </c>
      <c r="BH16">
        <f>IF(M16=0,0,COUNTIF('4_imgsummary'!E16:N16,"OULO")*100/M16)</f>
        <v>0</v>
      </c>
      <c r="BI16">
        <f>IF(M16=0,0,COUNTIF('4_imgsummary'!E16:N16,"OXY")*100/M16)</f>
        <v>0</v>
      </c>
      <c r="BJ16">
        <f>IF(M16=0,0,COUNTIF('4_imgsummary'!E16:N16,"PACE")*100/M16)</f>
        <v>0</v>
      </c>
      <c r="BK16">
        <f>IF(M16=0,0,COUNTIF('4_imgsummary'!E16:N16,"PACF")*100/M16)</f>
        <v>0</v>
      </c>
      <c r="BL16">
        <f>IF(M16=0,0,COUNTIF('4_imgsummary'!E16:N16,"PAV")*100/M16)</f>
        <v>0</v>
      </c>
      <c r="BM16">
        <f>IF(M16=0,0,COUNTIF('4_imgsummary'!E16:N16,"PEC")*100/M16)</f>
        <v>0</v>
      </c>
      <c r="BN16">
        <f>IF(M16=0,0,COUNTIF('4_imgsummary'!E16:N16,"PLAT")*100/M16)</f>
        <v>0</v>
      </c>
      <c r="BO16" s="26">
        <f>IF(M16=0,0,COUNTIF('4_imgsummary'!E16:N16,"POC")*100/M16)</f>
        <v>10</v>
      </c>
      <c r="BP16" s="26">
        <f>IF(M16=0,0,COUNTIF('4_imgsummary'!E16:N16,"PORB")*100/M16)</f>
        <v>20</v>
      </c>
      <c r="BQ16">
        <f>IF(M16=0,0,COUNTIF('4_imgsummary'!E16:N16,"PORE")*100/M16)</f>
        <v>0</v>
      </c>
      <c r="BR16">
        <f>IF(M16=0,0,COUNTIF('4_imgsummary'!E16:N16,"PORM")*100/M16)</f>
        <v>0</v>
      </c>
      <c r="BS16">
        <f>IF(M16=0,0,COUNTIF('4_imgsummary'!E16:N16,"SER")*100/M16)</f>
        <v>0</v>
      </c>
      <c r="BT16">
        <f>IF(M16=0,0,COUNTIF('4_imgsummary'!E16:N16,"STY")*100/M16)</f>
        <v>0</v>
      </c>
      <c r="BU16">
        <f>IF(M16=0,0,COUNTIF('4_imgsummary'!E16:N16,"SYM")*100/M16)</f>
        <v>0</v>
      </c>
      <c r="BV16">
        <f>IF(M16=0,0,COUNTIF('4_imgsummary'!E16:N16,"TUBI")*100/M16)</f>
        <v>0</v>
      </c>
      <c r="BW16" s="26">
        <f>IF(M16=0,0,COUNTIF('4_imgsummary'!E16:N16,"TURB")*100/M16)</f>
        <v>60</v>
      </c>
      <c r="BX16">
        <f>IF(M16=0,0,COUNTIF('4_imgsummary'!E16:N16,"ZACRF")*100/M16)</f>
        <v>0</v>
      </c>
      <c r="BY16">
        <f>IF(M16=0,0,COUNTIF('4_imgsummary'!E16:N16,"ZAGARF")*100/M16)</f>
        <v>0</v>
      </c>
      <c r="BZ16">
        <f>IF(M16=0,0,COUNTIF('4_imgsummary'!E16:N16,"ZAGATF")*100/M16)</f>
        <v>0</v>
      </c>
      <c r="CA16">
        <f>IF(M16=0,0,COUNTIF('4_imgsummary'!E16:N16,"ZDENF")*100/M16)</f>
        <v>0</v>
      </c>
      <c r="CB16">
        <f>IF(M16=0,0,COUNTIF('4_imgsummary'!E16:N16,"ZEUPF")*100/M16)</f>
        <v>0</v>
      </c>
      <c r="CC16">
        <f>IF(M16=0,0,COUNTIF('4_imgsummary'!E16:N16,"ZFAVF")*100/M16)</f>
        <v>0</v>
      </c>
      <c r="CD16">
        <f>IF(M16=0,0,COUNTIF('4_imgsummary'!E16:N16,"ZCMRF")*100/M16)</f>
        <v>0</v>
      </c>
      <c r="CE16">
        <f>IF(M16=0,0,COUNTIF('4_imgsummary'!E16:N16,"ZMUSF")*100/M16)</f>
        <v>0</v>
      </c>
      <c r="CF16">
        <f>IF(M16=0,0,COUNTIF('4_imgsummary'!E16:N16,"ZNSC")*100/M16)</f>
        <v>0</v>
      </c>
      <c r="CG16">
        <f>IF(M16=0,0,COUNTIF('4_imgsummary'!E16:N16,"ZOC")*100/M16)</f>
        <v>0</v>
      </c>
      <c r="CH16">
        <f>IF(M16=0,0,COUNTIF('4_imgsummary'!E16:N16,"ZPOCF")*100/M16)</f>
        <v>0</v>
      </c>
      <c r="CI16">
        <f>IF(M16=0,0,COUNTIF('4_imgsummary'!E16:N16,"ZPORF")*100/M16)</f>
        <v>0</v>
      </c>
      <c r="CK16" s="26">
        <f>IF(M16=0,0,COUNTIF('4_imgsummary'!E16:N16,"AA")*100/M16)</f>
        <v>10</v>
      </c>
      <c r="CL16">
        <f>IF(M16=0,0,COUNTIF('4_imgsummary'!E16:N16,"CA")*100/M16)</f>
        <v>0</v>
      </c>
      <c r="CM16">
        <f>IF(M16=0,0,COUNTIF('4_imgsummary'!E16:N16,"DC")*100/M16)</f>
        <v>0</v>
      </c>
      <c r="CN16">
        <f>IF(M16=0,0,COUNTIF('4_imgsummary'!E16:N16,"DCA")*100/M16)</f>
        <v>0</v>
      </c>
      <c r="CO16">
        <f>IF(M16=0,0,COUNTIF('4_imgsummary'!E16:N16,"DIS")*100/M16)</f>
        <v>0</v>
      </c>
      <c r="CQ16">
        <f>IF(M16=0,0,COUNTIF('4_imgsummary'!E16:N16,"GRV")*100/M16)</f>
        <v>0</v>
      </c>
      <c r="CR16">
        <f>IF(M16=0,0,COUNTIF('4_imgsummary'!E16:N16,"R")*100/M16)</f>
        <v>0</v>
      </c>
      <c r="CS16">
        <f>IF(M16=0,0,COUNTIF('4_imgsummary'!E16:N16,"S")*100/M16)</f>
        <v>0</v>
      </c>
      <c r="CT16">
        <f>IF(M16=0,0,COUNTIF('4_imgsummary'!E16:N16,"RCK")*100/M16)</f>
        <v>0</v>
      </c>
      <c r="CU16">
        <f>IF(M16=0,0,COUNTIF('4_imgsummary'!E16:N16,"SI")*100/M16)</f>
        <v>0</v>
      </c>
      <c r="CW16">
        <f>IF(M16=0,0,COUNTIF('4_imgsummary'!E16:N16,"COD")*100/M16)</f>
        <v>0</v>
      </c>
      <c r="CX16">
        <f>IF(M16=0,0,COUNTIF('4_imgsummary'!E16:N16,"KAPP")*100/M16)</f>
        <v>0</v>
      </c>
      <c r="CY16">
        <f>IF(M16=0,0,COUNTIF('4_imgsummary'!E16:N16,"MA")*100/M16)</f>
        <v>0</v>
      </c>
      <c r="CZ16">
        <f>IF(M16=0,0,COUNTIF('4_imgsummary'!E16:N16,"SARG")*100/M16)</f>
        <v>0</v>
      </c>
      <c r="DB16">
        <f>IF(M16=0,0,COUNTIF('4_imgsummary'!E16:N16,"HA")*100/M16)</f>
        <v>0</v>
      </c>
      <c r="DD16">
        <f>IF(M16=0,0,COUNTIF('4_imgsummary'!E16:N16,"COTS")*100/M16)</f>
        <v>0</v>
      </c>
      <c r="DE16">
        <f>IF(M16=0,0,COUNTIF('4_imgsummary'!E16:N16,"COR")*100/M16)</f>
        <v>0</v>
      </c>
      <c r="DF16">
        <f>IF(M16=0,0,COUNTIF('4_imgsummary'!E16:N16,"DIA")*100/M16)</f>
        <v>0</v>
      </c>
      <c r="DG16">
        <f>IF(M16=0,0,COUNTIF('4_imgsummary'!E16:N16,"GORG")*100/M16)</f>
        <v>0</v>
      </c>
      <c r="DH16">
        <f>IF(M16=0,0,COUNTIF('4_imgsummary'!E16:N16,"ISIS")*100/M16)</f>
        <v>0</v>
      </c>
      <c r="DI16">
        <f>IF(M16=0,0,COUNTIF('4_imgsummary'!E16:N16,"OT")*100/M16)</f>
        <v>0</v>
      </c>
      <c r="DJ16">
        <f>IF(M16=0,0,COUNTIF('4_imgsummary'!E16:N16,"SG")*100/M16)</f>
        <v>0</v>
      </c>
      <c r="DK16">
        <f>IF(M16=0,0,COUNTIF('4_imgsummary'!E16:N16,"SC")*100/M16)</f>
        <v>0</v>
      </c>
      <c r="DL16">
        <f>IF(M16=0,0,COUNTIF('4_imgsummary'!E16:N16,"SP")*100/M16)</f>
        <v>0</v>
      </c>
      <c r="DM16">
        <f>IF(M16=0,0,COUNTIF('4_imgsummary'!E16:N16,"ZO")*100/M16)</f>
        <v>0</v>
      </c>
      <c r="DO16">
        <f>IF(M16=0,0,COUNTIF('4_imgsummary'!E16:N16,"TWB")*100/M16)</f>
        <v>0</v>
      </c>
      <c r="DQ16">
        <f>IF(M16=0,0,COUNTIF('4_imgsummary'!Y16:AH16,"COR")*100/M16)</f>
        <v>0</v>
      </c>
      <c r="DR16">
        <f>IF(M16=0,0,COUNTIF('4_imgsummary'!Y16:AH16,"COTS")*100/M16)</f>
        <v>0</v>
      </c>
      <c r="DS16">
        <f>IF(M16=0,0,COUNTIF('4_imgsummary'!Y16:AH16,"DIA")*100/M16)</f>
        <v>0</v>
      </c>
      <c r="DT16">
        <f>IF(M16=0,0,COUNTIF('4_imgsummary'!Y16:AH16,"GORG")*100/M16)</f>
        <v>0</v>
      </c>
      <c r="DU16">
        <f>IF(M16=0,0,COUNTIF('4_imgsummary'!Y16:AH16,"ISIS")*100/M16)</f>
        <v>0</v>
      </c>
      <c r="DV16">
        <f>IF(M16=0,0,COUNTIF('4_imgsummary'!Y16:AH16,"DIS")*100/M16)</f>
        <v>0</v>
      </c>
      <c r="DW16">
        <f>IF(M16=0,0,COUNTIF('4_imgsummary'!Y16:AH16,"BLEC")*100/M16)</f>
        <v>0</v>
      </c>
      <c r="DX16">
        <f>IF(M16=0,0,COUNTIF('4_imgsummary'!Y16:AH16,"COD")*100/M16)</f>
        <v>0</v>
      </c>
      <c r="DY16">
        <f>IF(M16=0,0,COUNTIF('4_imgsummary'!Y16:AH16,"KAPP")*100/M16)</f>
        <v>0</v>
      </c>
      <c r="DZ16">
        <f>IF(M16=0,0,COUNTIF('4_imgsummary'!Y16:AH16,"SARG")*100/M16)</f>
        <v>0</v>
      </c>
      <c r="EA16">
        <f>IF(M16=0,0,COUNTIF('4_imgsummary'!Y16:AH16,"ZACRF")*100/M16)</f>
        <v>0</v>
      </c>
      <c r="EB16">
        <f>IF(M16=0,0,COUNTIF('4_imgsummary'!Y16:AH16,"ZAGARF")*100/M16)</f>
        <v>0</v>
      </c>
      <c r="EC16">
        <f>IF(M16=0,0,COUNTIF('4_imgsummary'!Y16:AH16,"ZAGATF")*100/M16)</f>
        <v>0</v>
      </c>
      <c r="ED16">
        <f>IF(M16=0,0,COUNTIF('4_imgsummary'!Y16:AH16,"ZCMRF")*100/M16)</f>
        <v>0</v>
      </c>
      <c r="EE16">
        <f>IF(M16=0,0,COUNTIF('4_imgsummary'!Y16:AH16,"ZDENF")*100/M16)</f>
        <v>0</v>
      </c>
      <c r="EF16">
        <f>IF(M16=0,0,COUNTIF('4_imgsummary'!Y16:AH16,"ZEUPF")*100/M16)</f>
        <v>0</v>
      </c>
      <c r="EG16">
        <f>IF(M16=0,0,COUNTIF('4_imgsummary'!Y16:AH16,"ZFAVF")*100/M16)</f>
        <v>0</v>
      </c>
      <c r="EH16">
        <f>IF(M16=0,0,COUNTIF('4_imgsummary'!Y16:AH16,"ZMUSF")*100/M16)</f>
        <v>0</v>
      </c>
      <c r="EI16">
        <f>IF(M16=0,0,COUNTIF('4_imgsummary'!Y16:AH16,"ZNSC")*100/M16)</f>
        <v>0</v>
      </c>
      <c r="EJ16">
        <f>IF(M16=0,0,COUNTIF('4_imgsummary'!Y16:AH16,"ZOC")*100/M16)</f>
        <v>0</v>
      </c>
      <c r="EK16">
        <f>IF(M16=0,0,COUNTIF('4_imgsummary'!Y16:AH16,"ZPOCF")*100/M16)</f>
        <v>0</v>
      </c>
      <c r="EL16">
        <f>IF(M16=0,0,COUNTIF('4_imgsummary'!Y16:AH16,"ZPORF")*100/M16)</f>
        <v>0</v>
      </c>
    </row>
    <row r="17" spans="1:142" x14ac:dyDescent="0.35">
      <c r="A17">
        <v>15</v>
      </c>
      <c r="B17" t="s">
        <v>89</v>
      </c>
      <c r="F17" s="26">
        <f>IF(M17=0,0,COUNTIF('4_imgsummary'!O17:X17,"HC")*100/M17)</f>
        <v>50</v>
      </c>
      <c r="G17" s="26">
        <f>IF(M17=0,0,COUNTIF('4_imgsummary'!O17:X17,"AA")*100/M17)</f>
        <v>30</v>
      </c>
      <c r="H17">
        <f>IF(M17=0,0,COUNTIF('4_imgsummary'!O17:X17,"AB")*100/M17)</f>
        <v>0</v>
      </c>
      <c r="I17">
        <f>IF(M17=0,0,COUNTIF('4_imgsummary'!O17:X17,"MA")*100/M17)</f>
        <v>0</v>
      </c>
      <c r="J17">
        <f>IF(M17=0,0,COUNTIF('4_imgsummary'!O17:X17,"HA")*100/M17)</f>
        <v>0</v>
      </c>
      <c r="K17">
        <f>IF(M17=0,0,COUNTIF('4_imgsummary'!O17:X17,"OB")*100/M17)</f>
        <v>0</v>
      </c>
      <c r="L17" s="26">
        <f>IF(M17=0,0,COUNTIF('4_imgsummary'!O17:X17,"TWB")*100/M17)</f>
        <v>20</v>
      </c>
      <c r="M17">
        <f>10-COUNTIF('4_imgsummary'!O17:X17,"TWS")</f>
        <v>10</v>
      </c>
      <c r="P17">
        <f>IF(M17=0,0,COUNTIF('4_imgsummary'!E17:N17,"ACAN")*100/M17)</f>
        <v>0</v>
      </c>
      <c r="Q17">
        <f>IF(M17=0,0,COUNTIF('4_imgsummary'!E17:N17,"ACB")*100/M17)</f>
        <v>0</v>
      </c>
      <c r="R17">
        <f>IF(M17=0,0,COUNTIF('4_imgsummary'!E17:N17,"ACC")*100/M17)</f>
        <v>0</v>
      </c>
      <c r="S17">
        <f>IF(M17=0,0,COUNTIF('4_imgsummary'!E17:N17,"ACD")*100/M17)</f>
        <v>0</v>
      </c>
      <c r="T17">
        <f>IF(M17=0,0,COUNTIF('4_imgsummary'!E17:N17,"ACH")*100/M17)</f>
        <v>0</v>
      </c>
      <c r="U17">
        <f>IF(M17=0,0,COUNTIF('4_imgsummary'!E17:N17,"ACT")*100/M17)</f>
        <v>0</v>
      </c>
      <c r="V17">
        <f>IF(M17=0,0,COUNTIF('4_imgsummary'!E17:N17,"ACR")*100/M17)</f>
        <v>0</v>
      </c>
      <c r="W17">
        <f>IF(M17=0,0,COUNTIF('4_imgsummary'!E17:N17,"AST")*100/M17)</f>
        <v>0</v>
      </c>
      <c r="X17">
        <f>IF(M17=0,0,COUNTIF('4_imgsummary'!E17:N17,"AF")*100/M17)</f>
        <v>0</v>
      </c>
      <c r="Y17">
        <f>IF(M17=0,0,COUNTIF('4_imgsummary'!E17:N17,"BLEC")*100/M17)</f>
        <v>0</v>
      </c>
      <c r="Z17">
        <f>IF(M17=0,0,COUNTIF('4_imgsummary'!E17:N17,"CAU")*100/M17)</f>
        <v>0</v>
      </c>
      <c r="AA17">
        <f>IF(M17=0,0,COUNTIF('4_imgsummary'!E17:N17,"COE")*100/M17)</f>
        <v>0</v>
      </c>
      <c r="AB17">
        <f>IF(M17=0,0,COUNTIF('4_imgsummary'!E17:N17,"COS")*100/M17)</f>
        <v>0</v>
      </c>
      <c r="AC17">
        <f>IF(M17=0,0,COUNTIF('4_imgsummary'!E17:N17,"CYP")*100/M17)</f>
        <v>0</v>
      </c>
      <c r="AD17">
        <f>IF(M17=0,0,COUNTIF('4_imgsummary'!E17:N17,"DIP")*100/M17)</f>
        <v>0</v>
      </c>
      <c r="AE17">
        <f>IF(M17=0,0,COUNTIF('4_imgsummary'!E17:N17,"ECHY")*100/M17)</f>
        <v>0</v>
      </c>
      <c r="AF17">
        <f>IF(M17=0,0,COUNTIF('4_imgsummary'!E17:N17,"ECHI")*100/M17)</f>
        <v>0</v>
      </c>
      <c r="AG17">
        <f>IF(M17=0,0,COUNTIF('4_imgsummary'!E17:N17,"EUP")*100/M17)</f>
        <v>0</v>
      </c>
      <c r="AH17">
        <f>IF(M17=0,0,COUNTIF('4_imgsummary'!E17:N17,"FAV")*100/M17)</f>
        <v>0</v>
      </c>
      <c r="AI17">
        <f>IF(M17=0,0,COUNTIF('4_imgsummary'!E17:N17,"FVI")*100/M17)</f>
        <v>0</v>
      </c>
      <c r="AJ17">
        <f>IF(M17=0,0,COUNTIF('4_imgsummary'!E17:N17,"CMR")*100/M17)</f>
        <v>0</v>
      </c>
      <c r="AK17">
        <f>IF(M17=0,0,COUNTIF('4_imgsummary'!E17:N17,"GAL")*100/M17)</f>
        <v>0</v>
      </c>
      <c r="AL17">
        <f>IF(M17=0,0,COUNTIF('4_imgsummary'!E17:N17,"GONIA")*100/M17)</f>
        <v>0</v>
      </c>
      <c r="AM17">
        <f>IF(M17=0,0,COUNTIF('4_imgsummary'!E17:N17,"GONIO")*100/M17)</f>
        <v>0</v>
      </c>
      <c r="AN17">
        <f>IF(M17=0,0,COUNTIF('4_imgsummary'!E17:N17,"HEL")*100/M17)</f>
        <v>0</v>
      </c>
      <c r="AO17">
        <f>IF(M17=0,0,COUNTIF('4_imgsummary'!E17:N17,"HYD")*100/M17)</f>
        <v>0</v>
      </c>
      <c r="AP17" s="26">
        <f>IF(M17=0,0,COUNTIF('4_imgsummary'!E17:N17,"ISO")*100/M17)</f>
        <v>10</v>
      </c>
      <c r="AQ17">
        <f>IF(M17=0,0,COUNTIF('4_imgsummary'!E17:N17,"LEPA")*100/M17)</f>
        <v>0</v>
      </c>
      <c r="AR17">
        <f>IF(M17=0,0,COUNTIF('4_imgsummary'!E17:N17,"LEPS")*100/M17)</f>
        <v>0</v>
      </c>
      <c r="AS17">
        <f>IF(M17=0,0,COUNTIF('4_imgsummary'!E17:N17,"LOB")*100/M17)</f>
        <v>0</v>
      </c>
      <c r="AT17">
        <f>IF(M17=0,0,COUNTIF('4_imgsummary'!E17:N17,"MER")*100/M17)</f>
        <v>0</v>
      </c>
      <c r="AU17">
        <f>IF(M17=0,0,COUNTIF('4_imgsummary'!E17:N17,"MILL")*100/M17)</f>
        <v>0</v>
      </c>
      <c r="AV17">
        <f>IF(M17=0,0,COUNTIF('4_imgsummary'!E17:N17,"MON")*100/M17)</f>
        <v>0</v>
      </c>
      <c r="AW17">
        <f>IF(M17=0,0,COUNTIF('4_imgsummary'!E17:N17,"MONTB")*100/M17)</f>
        <v>0</v>
      </c>
      <c r="AX17">
        <f>IF(M17=0,0,COUNTIF('4_imgsummary'!E17:N17,"MONTE")*100/M17)</f>
        <v>0</v>
      </c>
      <c r="AY17">
        <f>IF(M17=0,0,COUNTIF('4_imgsummary'!E17:N17,"MONTF")*100/M17)</f>
        <v>0</v>
      </c>
      <c r="AZ17">
        <f>IF(M17=0,0,COUNTIF('4_imgsummary'!E17:N17,"MYC")*100/M17)</f>
        <v>0</v>
      </c>
      <c r="BA17">
        <f>IF(M17=0,0,COUNTIF('4_imgsummary'!E17:N17,"CB")*100/M17)</f>
        <v>0</v>
      </c>
      <c r="BB17">
        <f>IF(M17=0,0,COUNTIF('4_imgsummary'!E17:N17,"BUB")*100/M17)</f>
        <v>0</v>
      </c>
      <c r="BC17">
        <f>IF(M17=0,0,COUNTIF('4_imgsummary'!E17:N17,"CE")*100/M17)</f>
        <v>0</v>
      </c>
      <c r="BD17">
        <f>IF(M17=0,0,COUNTIF('4_imgsummary'!E17:N17,"CF")*100/M17)</f>
        <v>0</v>
      </c>
      <c r="BE17">
        <f>IF(M17=0,0,COUNTIF('4_imgsummary'!E17:N17,"FOT")*100/M17)</f>
        <v>0</v>
      </c>
      <c r="BF17" s="26">
        <f>IF(M17=0,0,COUNTIF('4_imgsummary'!E17:N17,"CM")*100/M17)</f>
        <v>10</v>
      </c>
      <c r="BG17">
        <f>IF(M17=0,0,COUNTIF('4_imgsummary'!E17:N17,"OULA")*100/M17)</f>
        <v>0</v>
      </c>
      <c r="BH17">
        <f>IF(M17=0,0,COUNTIF('4_imgsummary'!E17:N17,"OULO")*100/M17)</f>
        <v>0</v>
      </c>
      <c r="BI17">
        <f>IF(M17=0,0,COUNTIF('4_imgsummary'!E17:N17,"OXY")*100/M17)</f>
        <v>0</v>
      </c>
      <c r="BJ17" s="26">
        <f>IF(M17=0,0,COUNTIF('4_imgsummary'!E17:N17,"PACE")*100/M17)</f>
        <v>20</v>
      </c>
      <c r="BK17">
        <f>IF(M17=0,0,COUNTIF('4_imgsummary'!E17:N17,"PACF")*100/M17)</f>
        <v>0</v>
      </c>
      <c r="BL17">
        <f>IF(M17=0,0,COUNTIF('4_imgsummary'!E17:N17,"PAV")*100/M17)</f>
        <v>0</v>
      </c>
      <c r="BM17">
        <f>IF(M17=0,0,COUNTIF('4_imgsummary'!E17:N17,"PEC")*100/M17)</f>
        <v>0</v>
      </c>
      <c r="BN17">
        <f>IF(M17=0,0,COUNTIF('4_imgsummary'!E17:N17,"PLAT")*100/M17)</f>
        <v>0</v>
      </c>
      <c r="BO17">
        <f>IF(M17=0,0,COUNTIF('4_imgsummary'!E17:N17,"POC")*100/M17)</f>
        <v>0</v>
      </c>
      <c r="BP17">
        <f>IF(M17=0,0,COUNTIF('4_imgsummary'!E17:N17,"PORB")*100/M17)</f>
        <v>0</v>
      </c>
      <c r="BQ17" s="26">
        <f>IF(M17=0,0,COUNTIF('4_imgsummary'!E17:N17,"PORE")*100/M17)</f>
        <v>10</v>
      </c>
      <c r="BR17">
        <f>IF(M17=0,0,COUNTIF('4_imgsummary'!E17:N17,"PORM")*100/M17)</f>
        <v>0</v>
      </c>
      <c r="BS17">
        <f>IF(M17=0,0,COUNTIF('4_imgsummary'!E17:N17,"SER")*100/M17)</f>
        <v>0</v>
      </c>
      <c r="BT17">
        <f>IF(M17=0,0,COUNTIF('4_imgsummary'!E17:N17,"STY")*100/M17)</f>
        <v>0</v>
      </c>
      <c r="BU17">
        <f>IF(M17=0,0,COUNTIF('4_imgsummary'!E17:N17,"SYM")*100/M17)</f>
        <v>0</v>
      </c>
      <c r="BV17">
        <f>IF(M17=0,0,COUNTIF('4_imgsummary'!E17:N17,"TUBI")*100/M17)</f>
        <v>0</v>
      </c>
      <c r="BW17">
        <f>IF(M17=0,0,COUNTIF('4_imgsummary'!E17:N17,"TURB")*100/M17)</f>
        <v>0</v>
      </c>
      <c r="BX17">
        <f>IF(M17=0,0,COUNTIF('4_imgsummary'!E17:N17,"ZACRF")*100/M17)</f>
        <v>0</v>
      </c>
      <c r="BY17">
        <f>IF(M17=0,0,COUNTIF('4_imgsummary'!E17:N17,"ZAGARF")*100/M17)</f>
        <v>0</v>
      </c>
      <c r="BZ17">
        <f>IF(M17=0,0,COUNTIF('4_imgsummary'!E17:N17,"ZAGATF")*100/M17)</f>
        <v>0</v>
      </c>
      <c r="CA17">
        <f>IF(M17=0,0,COUNTIF('4_imgsummary'!E17:N17,"ZDENF")*100/M17)</f>
        <v>0</v>
      </c>
      <c r="CB17">
        <f>IF(M17=0,0,COUNTIF('4_imgsummary'!E17:N17,"ZEUPF")*100/M17)</f>
        <v>0</v>
      </c>
      <c r="CC17">
        <f>IF(M17=0,0,COUNTIF('4_imgsummary'!E17:N17,"ZFAVF")*100/M17)</f>
        <v>0</v>
      </c>
      <c r="CD17">
        <f>IF(M17=0,0,COUNTIF('4_imgsummary'!E17:N17,"ZCMRF")*100/M17)</f>
        <v>0</v>
      </c>
      <c r="CE17">
        <f>IF(M17=0,0,COUNTIF('4_imgsummary'!E17:N17,"ZMUSF")*100/M17)</f>
        <v>0</v>
      </c>
      <c r="CF17">
        <f>IF(M17=0,0,COUNTIF('4_imgsummary'!E17:N17,"ZNSC")*100/M17)</f>
        <v>0</v>
      </c>
      <c r="CG17">
        <f>IF(M17=0,0,COUNTIF('4_imgsummary'!E17:N17,"ZOC")*100/M17)</f>
        <v>0</v>
      </c>
      <c r="CH17">
        <f>IF(M17=0,0,COUNTIF('4_imgsummary'!E17:N17,"ZPOCF")*100/M17)</f>
        <v>0</v>
      </c>
      <c r="CI17">
        <f>IF(M17=0,0,COUNTIF('4_imgsummary'!E17:N17,"ZPORF")*100/M17)</f>
        <v>0</v>
      </c>
      <c r="CK17" s="26">
        <f>IF(M17=0,0,COUNTIF('4_imgsummary'!E17:N17,"AA")*100/M17)</f>
        <v>20</v>
      </c>
      <c r="CL17" s="26">
        <f>IF(M17=0,0,COUNTIF('4_imgsummary'!E17:N17,"CA")*100/M17)</f>
        <v>10</v>
      </c>
      <c r="CM17">
        <f>IF(M17=0,0,COUNTIF('4_imgsummary'!E17:N17,"DC")*100/M17)</f>
        <v>0</v>
      </c>
      <c r="CN17">
        <f>IF(M17=0,0,COUNTIF('4_imgsummary'!E17:N17,"DCA")*100/M17)</f>
        <v>0</v>
      </c>
      <c r="CO17">
        <f>IF(M17=0,0,COUNTIF('4_imgsummary'!E17:N17,"DIS")*100/M17)</f>
        <v>0</v>
      </c>
      <c r="CQ17">
        <f>IF(M17=0,0,COUNTIF('4_imgsummary'!E17:N17,"GRV")*100/M17)</f>
        <v>0</v>
      </c>
      <c r="CR17">
        <f>IF(M17=0,0,COUNTIF('4_imgsummary'!E17:N17,"R")*100/M17)</f>
        <v>0</v>
      </c>
      <c r="CS17">
        <f>IF(M17=0,0,COUNTIF('4_imgsummary'!E17:N17,"S")*100/M17)</f>
        <v>0</v>
      </c>
      <c r="CT17">
        <f>IF(M17=0,0,COUNTIF('4_imgsummary'!E17:N17,"RCK")*100/M17)</f>
        <v>0</v>
      </c>
      <c r="CU17">
        <f>IF(M17=0,0,COUNTIF('4_imgsummary'!E17:N17,"SI")*100/M17)</f>
        <v>0</v>
      </c>
      <c r="CW17">
        <f>IF(M17=0,0,COUNTIF('4_imgsummary'!E17:N17,"COD")*100/M17)</f>
        <v>0</v>
      </c>
      <c r="CX17">
        <f>IF(M17=0,0,COUNTIF('4_imgsummary'!E17:N17,"KAPP")*100/M17)</f>
        <v>0</v>
      </c>
      <c r="CY17">
        <f>IF(M17=0,0,COUNTIF('4_imgsummary'!E17:N17,"MA")*100/M17)</f>
        <v>0</v>
      </c>
      <c r="CZ17">
        <f>IF(M17=0,0,COUNTIF('4_imgsummary'!E17:N17,"SARG")*100/M17)</f>
        <v>0</v>
      </c>
      <c r="DB17">
        <f>IF(M17=0,0,COUNTIF('4_imgsummary'!E17:N17,"HA")*100/M17)</f>
        <v>0</v>
      </c>
      <c r="DD17">
        <f>IF(M17=0,0,COUNTIF('4_imgsummary'!E17:N17,"COTS")*100/M17)</f>
        <v>0</v>
      </c>
      <c r="DE17">
        <f>IF(M17=0,0,COUNTIF('4_imgsummary'!E17:N17,"COR")*100/M17)</f>
        <v>0</v>
      </c>
      <c r="DF17">
        <f>IF(M17=0,0,COUNTIF('4_imgsummary'!E17:N17,"DIA")*100/M17)</f>
        <v>0</v>
      </c>
      <c r="DG17">
        <f>IF(M17=0,0,COUNTIF('4_imgsummary'!E17:N17,"GORG")*100/M17)</f>
        <v>0</v>
      </c>
      <c r="DH17">
        <f>IF(M17=0,0,COUNTIF('4_imgsummary'!E17:N17,"ISIS")*100/M17)</f>
        <v>0</v>
      </c>
      <c r="DI17">
        <f>IF(M17=0,0,COUNTIF('4_imgsummary'!E17:N17,"OT")*100/M17)</f>
        <v>0</v>
      </c>
      <c r="DJ17">
        <f>IF(M17=0,0,COUNTIF('4_imgsummary'!E17:N17,"SG")*100/M17)</f>
        <v>0</v>
      </c>
      <c r="DK17">
        <f>IF(M17=0,0,COUNTIF('4_imgsummary'!E17:N17,"SC")*100/M17)</f>
        <v>0</v>
      </c>
      <c r="DL17">
        <f>IF(M17=0,0,COUNTIF('4_imgsummary'!E17:N17,"SP")*100/M17)</f>
        <v>0</v>
      </c>
      <c r="DM17">
        <f>IF(M17=0,0,COUNTIF('4_imgsummary'!E17:N17,"ZO")*100/M17)</f>
        <v>0</v>
      </c>
      <c r="DO17" s="26">
        <f>IF(M17=0,0,COUNTIF('4_imgsummary'!E17:N17,"TWB")*100/M17)</f>
        <v>20</v>
      </c>
      <c r="DQ17">
        <f>IF(M17=0,0,COUNTIF('4_imgsummary'!Y17:AH17,"COR")*100/M17)</f>
        <v>0</v>
      </c>
      <c r="DR17">
        <f>IF(M17=0,0,COUNTIF('4_imgsummary'!Y17:AH17,"COTS")*100/M17)</f>
        <v>0</v>
      </c>
      <c r="DS17">
        <f>IF(M17=0,0,COUNTIF('4_imgsummary'!Y17:AH17,"DIA")*100/M17)</f>
        <v>0</v>
      </c>
      <c r="DT17">
        <f>IF(M17=0,0,COUNTIF('4_imgsummary'!Y17:AH17,"GORG")*100/M17)</f>
        <v>0</v>
      </c>
      <c r="DU17">
        <f>IF(M17=0,0,COUNTIF('4_imgsummary'!Y17:AH17,"ISIS")*100/M17)</f>
        <v>0</v>
      </c>
      <c r="DV17">
        <f>IF(M17=0,0,COUNTIF('4_imgsummary'!Y17:AH17,"DIS")*100/M17)</f>
        <v>0</v>
      </c>
      <c r="DW17">
        <f>IF(M17=0,0,COUNTIF('4_imgsummary'!Y17:AH17,"BLEC")*100/M17)</f>
        <v>0</v>
      </c>
      <c r="DX17">
        <f>IF(M17=0,0,COUNTIF('4_imgsummary'!Y17:AH17,"COD")*100/M17)</f>
        <v>0</v>
      </c>
      <c r="DY17">
        <f>IF(M17=0,0,COUNTIF('4_imgsummary'!Y17:AH17,"KAPP")*100/M17)</f>
        <v>0</v>
      </c>
      <c r="DZ17">
        <f>IF(M17=0,0,COUNTIF('4_imgsummary'!Y17:AH17,"SARG")*100/M17)</f>
        <v>0</v>
      </c>
      <c r="EA17">
        <f>IF(M17=0,0,COUNTIF('4_imgsummary'!Y17:AH17,"ZACRF")*100/M17)</f>
        <v>0</v>
      </c>
      <c r="EB17">
        <f>IF(M17=0,0,COUNTIF('4_imgsummary'!Y17:AH17,"ZAGARF")*100/M17)</f>
        <v>0</v>
      </c>
      <c r="EC17">
        <f>IF(M17=0,0,COUNTIF('4_imgsummary'!Y17:AH17,"ZAGATF")*100/M17)</f>
        <v>0</v>
      </c>
      <c r="ED17">
        <f>IF(M17=0,0,COUNTIF('4_imgsummary'!Y17:AH17,"ZCMRF")*100/M17)</f>
        <v>0</v>
      </c>
      <c r="EE17">
        <f>IF(M17=0,0,COUNTIF('4_imgsummary'!Y17:AH17,"ZDENF")*100/M17)</f>
        <v>0</v>
      </c>
      <c r="EF17">
        <f>IF(M17=0,0,COUNTIF('4_imgsummary'!Y17:AH17,"ZEUPF")*100/M17)</f>
        <v>0</v>
      </c>
      <c r="EG17">
        <f>IF(M17=0,0,COUNTIF('4_imgsummary'!Y17:AH17,"ZFAVF")*100/M17)</f>
        <v>0</v>
      </c>
      <c r="EH17">
        <f>IF(M17=0,0,COUNTIF('4_imgsummary'!Y17:AH17,"ZMUSF")*100/M17)</f>
        <v>0</v>
      </c>
      <c r="EI17">
        <f>IF(M17=0,0,COUNTIF('4_imgsummary'!Y17:AH17,"ZNSC")*100/M17)</f>
        <v>0</v>
      </c>
      <c r="EJ17">
        <f>IF(M17=0,0,COUNTIF('4_imgsummary'!Y17:AH17,"ZOC")*100/M17)</f>
        <v>0</v>
      </c>
      <c r="EK17">
        <f>IF(M17=0,0,COUNTIF('4_imgsummary'!Y17:AH17,"ZPOCF")*100/M17)</f>
        <v>0</v>
      </c>
      <c r="EL17">
        <f>IF(M17=0,0,COUNTIF('4_imgsummary'!Y17:AH17,"ZPORF")*100/M17)</f>
        <v>0</v>
      </c>
    </row>
    <row r="18" spans="1:142" x14ac:dyDescent="0.35">
      <c r="A18">
        <v>16</v>
      </c>
      <c r="B18" t="s">
        <v>91</v>
      </c>
      <c r="F18" s="26">
        <f>IF(M18=0,0,COUNTIF('4_imgsummary'!O18:X18,"HC")*100/M18)</f>
        <v>70</v>
      </c>
      <c r="G18" s="26">
        <f>IF(M18=0,0,COUNTIF('4_imgsummary'!O18:X18,"AA")*100/M18)</f>
        <v>20</v>
      </c>
      <c r="H18">
        <f>IF(M18=0,0,COUNTIF('4_imgsummary'!O18:X18,"AB")*100/M18)</f>
        <v>0</v>
      </c>
      <c r="I18">
        <f>IF(M18=0,0,COUNTIF('4_imgsummary'!O18:X18,"MA")*100/M18)</f>
        <v>0</v>
      </c>
      <c r="J18">
        <f>IF(M18=0,0,COUNTIF('4_imgsummary'!O18:X18,"HA")*100/M18)</f>
        <v>0</v>
      </c>
      <c r="K18" s="26">
        <f>IF(M18=0,0,COUNTIF('4_imgsummary'!O18:X18,"OB")*100/M18)</f>
        <v>10</v>
      </c>
      <c r="L18">
        <f>IF(M18=0,0,COUNTIF('4_imgsummary'!O18:X18,"TWB")*100/M18)</f>
        <v>0</v>
      </c>
      <c r="M18">
        <f>10-COUNTIF('4_imgsummary'!O18:X18,"TWS")</f>
        <v>10</v>
      </c>
      <c r="P18">
        <f>IF(M18=0,0,COUNTIF('4_imgsummary'!E18:N18,"ACAN")*100/M18)</f>
        <v>0</v>
      </c>
      <c r="Q18">
        <f>IF(M18=0,0,COUNTIF('4_imgsummary'!E18:N18,"ACB")*100/M18)</f>
        <v>0</v>
      </c>
      <c r="R18">
        <f>IF(M18=0,0,COUNTIF('4_imgsummary'!E18:N18,"ACC")*100/M18)</f>
        <v>0</v>
      </c>
      <c r="S18">
        <f>IF(M18=0,0,COUNTIF('4_imgsummary'!E18:N18,"ACD")*100/M18)</f>
        <v>0</v>
      </c>
      <c r="T18">
        <f>IF(M18=0,0,COUNTIF('4_imgsummary'!E18:N18,"ACH")*100/M18)</f>
        <v>0</v>
      </c>
      <c r="U18">
        <f>IF(M18=0,0,COUNTIF('4_imgsummary'!E18:N18,"ACT")*100/M18)</f>
        <v>0</v>
      </c>
      <c r="V18" s="26">
        <f>IF(M18=0,0,COUNTIF('4_imgsummary'!E18:N18,"ACR")*100/M18)</f>
        <v>20</v>
      </c>
      <c r="W18">
        <f>IF(M18=0,0,COUNTIF('4_imgsummary'!E18:N18,"AST")*100/M18)</f>
        <v>0</v>
      </c>
      <c r="X18">
        <f>IF(M18=0,0,COUNTIF('4_imgsummary'!E18:N18,"AF")*100/M18)</f>
        <v>0</v>
      </c>
      <c r="Y18">
        <f>IF(M18=0,0,COUNTIF('4_imgsummary'!E18:N18,"BLEC")*100/M18)</f>
        <v>0</v>
      </c>
      <c r="Z18">
        <f>IF(M18=0,0,COUNTIF('4_imgsummary'!E18:N18,"CAU")*100/M18)</f>
        <v>0</v>
      </c>
      <c r="AA18" s="26">
        <f>IF(M18=0,0,COUNTIF('4_imgsummary'!E18:N18,"COE")*100/M18)</f>
        <v>20</v>
      </c>
      <c r="AB18">
        <f>IF(M18=0,0,COUNTIF('4_imgsummary'!E18:N18,"COS")*100/M18)</f>
        <v>0</v>
      </c>
      <c r="AC18">
        <f>IF(M18=0,0,COUNTIF('4_imgsummary'!E18:N18,"CYP")*100/M18)</f>
        <v>0</v>
      </c>
      <c r="AD18">
        <f>IF(M18=0,0,COUNTIF('4_imgsummary'!E18:N18,"DIP")*100/M18)</f>
        <v>0</v>
      </c>
      <c r="AE18">
        <f>IF(M18=0,0,COUNTIF('4_imgsummary'!E18:N18,"ECHY")*100/M18)</f>
        <v>0</v>
      </c>
      <c r="AF18">
        <f>IF(M18=0,0,COUNTIF('4_imgsummary'!E18:N18,"ECHI")*100/M18)</f>
        <v>0</v>
      </c>
      <c r="AG18">
        <f>IF(M18=0,0,COUNTIF('4_imgsummary'!E18:N18,"EUP")*100/M18)</f>
        <v>0</v>
      </c>
      <c r="AH18">
        <f>IF(M18=0,0,COUNTIF('4_imgsummary'!E18:N18,"FAV")*100/M18)</f>
        <v>0</v>
      </c>
      <c r="AI18">
        <f>IF(M18=0,0,COUNTIF('4_imgsummary'!E18:N18,"FVI")*100/M18)</f>
        <v>0</v>
      </c>
      <c r="AJ18" s="26">
        <f>IF(M18=0,0,COUNTIF('4_imgsummary'!E18:N18,"CMR")*100/M18)</f>
        <v>10</v>
      </c>
      <c r="AK18">
        <f>IF(M18=0,0,COUNTIF('4_imgsummary'!E18:N18,"GAL")*100/M18)</f>
        <v>0</v>
      </c>
      <c r="AL18">
        <f>IF(M18=0,0,COUNTIF('4_imgsummary'!E18:N18,"GONIA")*100/M18)</f>
        <v>0</v>
      </c>
      <c r="AM18">
        <f>IF(M18=0,0,COUNTIF('4_imgsummary'!E18:N18,"GONIO")*100/M18)</f>
        <v>0</v>
      </c>
      <c r="AN18">
        <f>IF(M18=0,0,COUNTIF('4_imgsummary'!E18:N18,"HEL")*100/M18)</f>
        <v>0</v>
      </c>
      <c r="AO18">
        <f>IF(M18=0,0,COUNTIF('4_imgsummary'!E18:N18,"HYD")*100/M18)</f>
        <v>0</v>
      </c>
      <c r="AP18">
        <f>IF(M18=0,0,COUNTIF('4_imgsummary'!E18:N18,"ISO")*100/M18)</f>
        <v>0</v>
      </c>
      <c r="AQ18">
        <f>IF(M18=0,0,COUNTIF('4_imgsummary'!E18:N18,"LEPA")*100/M18)</f>
        <v>0</v>
      </c>
      <c r="AR18">
        <f>IF(M18=0,0,COUNTIF('4_imgsummary'!E18:N18,"LEPS")*100/M18)</f>
        <v>0</v>
      </c>
      <c r="AS18">
        <f>IF(M18=0,0,COUNTIF('4_imgsummary'!E18:N18,"LOB")*100/M18)</f>
        <v>0</v>
      </c>
      <c r="AT18">
        <f>IF(M18=0,0,COUNTIF('4_imgsummary'!E18:N18,"MER")*100/M18)</f>
        <v>0</v>
      </c>
      <c r="AU18">
        <f>IF(M18=0,0,COUNTIF('4_imgsummary'!E18:N18,"MILL")*100/M18)</f>
        <v>0</v>
      </c>
      <c r="AV18">
        <f>IF(M18=0,0,COUNTIF('4_imgsummary'!E18:N18,"MON")*100/M18)</f>
        <v>0</v>
      </c>
      <c r="AW18">
        <f>IF(M18=0,0,COUNTIF('4_imgsummary'!E18:N18,"MONTB")*100/M18)</f>
        <v>0</v>
      </c>
      <c r="AX18">
        <f>IF(M18=0,0,COUNTIF('4_imgsummary'!E18:N18,"MONTE")*100/M18)</f>
        <v>0</v>
      </c>
      <c r="AY18">
        <f>IF(M18=0,0,COUNTIF('4_imgsummary'!E18:N18,"MONTF")*100/M18)</f>
        <v>0</v>
      </c>
      <c r="AZ18">
        <f>IF(M18=0,0,COUNTIF('4_imgsummary'!E18:N18,"MYC")*100/M18)</f>
        <v>0</v>
      </c>
      <c r="BA18">
        <f>IF(M18=0,0,COUNTIF('4_imgsummary'!E18:N18,"CB")*100/M18)</f>
        <v>0</v>
      </c>
      <c r="BB18">
        <f>IF(M18=0,0,COUNTIF('4_imgsummary'!E18:N18,"BUB")*100/M18)</f>
        <v>0</v>
      </c>
      <c r="BC18">
        <f>IF(M18=0,0,COUNTIF('4_imgsummary'!E18:N18,"CE")*100/M18)</f>
        <v>0</v>
      </c>
      <c r="BD18">
        <f>IF(M18=0,0,COUNTIF('4_imgsummary'!E18:N18,"CF")*100/M18)</f>
        <v>0</v>
      </c>
      <c r="BE18">
        <f>IF(M18=0,0,COUNTIF('4_imgsummary'!E18:N18,"FOT")*100/M18)</f>
        <v>0</v>
      </c>
      <c r="BF18">
        <f>IF(M18=0,0,COUNTIF('4_imgsummary'!E18:N18,"CM")*100/M18)</f>
        <v>0</v>
      </c>
      <c r="BG18">
        <f>IF(M18=0,0,COUNTIF('4_imgsummary'!E18:N18,"OULA")*100/M18)</f>
        <v>0</v>
      </c>
      <c r="BH18">
        <f>IF(M18=0,0,COUNTIF('4_imgsummary'!E18:N18,"OULO")*100/M18)</f>
        <v>0</v>
      </c>
      <c r="BI18">
        <f>IF(M18=0,0,COUNTIF('4_imgsummary'!E18:N18,"OXY")*100/M18)</f>
        <v>0</v>
      </c>
      <c r="BJ18">
        <f>IF(M18=0,0,COUNTIF('4_imgsummary'!E18:N18,"PACE")*100/M18)</f>
        <v>0</v>
      </c>
      <c r="BK18">
        <f>IF(M18=0,0,COUNTIF('4_imgsummary'!E18:N18,"PACF")*100/M18)</f>
        <v>0</v>
      </c>
      <c r="BL18">
        <f>IF(M18=0,0,COUNTIF('4_imgsummary'!E18:N18,"PAV")*100/M18)</f>
        <v>0</v>
      </c>
      <c r="BM18">
        <f>IF(M18=0,0,COUNTIF('4_imgsummary'!E18:N18,"PEC")*100/M18)</f>
        <v>0</v>
      </c>
      <c r="BN18">
        <f>IF(M18=0,0,COUNTIF('4_imgsummary'!E18:N18,"PLAT")*100/M18)</f>
        <v>0</v>
      </c>
      <c r="BO18">
        <f>IF(M18=0,0,COUNTIF('4_imgsummary'!E18:N18,"POC")*100/M18)</f>
        <v>0</v>
      </c>
      <c r="BP18">
        <f>IF(M18=0,0,COUNTIF('4_imgsummary'!E18:N18,"PORB")*100/M18)</f>
        <v>0</v>
      </c>
      <c r="BQ18">
        <f>IF(M18=0,0,COUNTIF('4_imgsummary'!E18:N18,"PORE")*100/M18)</f>
        <v>0</v>
      </c>
      <c r="BR18">
        <f>IF(M18=0,0,COUNTIF('4_imgsummary'!E18:N18,"PORM")*100/M18)</f>
        <v>0</v>
      </c>
      <c r="BS18">
        <f>IF(M18=0,0,COUNTIF('4_imgsummary'!E18:N18,"SER")*100/M18)</f>
        <v>0</v>
      </c>
      <c r="BT18">
        <f>IF(M18=0,0,COUNTIF('4_imgsummary'!E18:N18,"STY")*100/M18)</f>
        <v>0</v>
      </c>
      <c r="BU18">
        <f>IF(M18=0,0,COUNTIF('4_imgsummary'!E18:N18,"SYM")*100/M18)</f>
        <v>0</v>
      </c>
      <c r="BV18">
        <f>IF(M18=0,0,COUNTIF('4_imgsummary'!E18:N18,"TUBI")*100/M18)</f>
        <v>0</v>
      </c>
      <c r="BW18" s="26">
        <f>IF(M18=0,0,COUNTIF('4_imgsummary'!E18:N18,"TURB")*100/M18)</f>
        <v>20</v>
      </c>
      <c r="BX18">
        <f>IF(M18=0,0,COUNTIF('4_imgsummary'!E18:N18,"ZACRF")*100/M18)</f>
        <v>0</v>
      </c>
      <c r="BY18">
        <f>IF(M18=0,0,COUNTIF('4_imgsummary'!E18:N18,"ZAGARF")*100/M18)</f>
        <v>0</v>
      </c>
      <c r="BZ18">
        <f>IF(M18=0,0,COUNTIF('4_imgsummary'!E18:N18,"ZAGATF")*100/M18)</f>
        <v>0</v>
      </c>
      <c r="CA18">
        <f>IF(M18=0,0,COUNTIF('4_imgsummary'!E18:N18,"ZDENF")*100/M18)</f>
        <v>0</v>
      </c>
      <c r="CB18">
        <f>IF(M18=0,0,COUNTIF('4_imgsummary'!E18:N18,"ZEUPF")*100/M18)</f>
        <v>0</v>
      </c>
      <c r="CC18">
        <f>IF(M18=0,0,COUNTIF('4_imgsummary'!E18:N18,"ZFAVF")*100/M18)</f>
        <v>0</v>
      </c>
      <c r="CD18">
        <f>IF(M18=0,0,COUNTIF('4_imgsummary'!E18:N18,"ZCMRF")*100/M18)</f>
        <v>0</v>
      </c>
      <c r="CE18">
        <f>IF(M18=0,0,COUNTIF('4_imgsummary'!E18:N18,"ZMUSF")*100/M18)</f>
        <v>0</v>
      </c>
      <c r="CF18">
        <f>IF(M18=0,0,COUNTIF('4_imgsummary'!E18:N18,"ZNSC")*100/M18)</f>
        <v>0</v>
      </c>
      <c r="CG18">
        <f>IF(M18=0,0,COUNTIF('4_imgsummary'!E18:N18,"ZOC")*100/M18)</f>
        <v>0</v>
      </c>
      <c r="CH18">
        <f>IF(M18=0,0,COUNTIF('4_imgsummary'!E18:N18,"ZPOCF")*100/M18)</f>
        <v>0</v>
      </c>
      <c r="CI18">
        <f>IF(M18=0,0,COUNTIF('4_imgsummary'!E18:N18,"ZPORF")*100/M18)</f>
        <v>0</v>
      </c>
      <c r="CK18" s="26">
        <f>IF(M18=0,0,COUNTIF('4_imgsummary'!E18:N18,"AA")*100/M18)</f>
        <v>20</v>
      </c>
      <c r="CL18">
        <f>IF(M18=0,0,COUNTIF('4_imgsummary'!E18:N18,"CA")*100/M18)</f>
        <v>0</v>
      </c>
      <c r="CM18">
        <f>IF(M18=0,0,COUNTIF('4_imgsummary'!E18:N18,"DC")*100/M18)</f>
        <v>0</v>
      </c>
      <c r="CN18">
        <f>IF(M18=0,0,COUNTIF('4_imgsummary'!E18:N18,"DCA")*100/M18)</f>
        <v>0</v>
      </c>
      <c r="CO18">
        <f>IF(M18=0,0,COUNTIF('4_imgsummary'!E18:N18,"DIS")*100/M18)</f>
        <v>0</v>
      </c>
      <c r="CQ18">
        <f>IF(M18=0,0,COUNTIF('4_imgsummary'!E18:N18,"GRV")*100/M18)</f>
        <v>0</v>
      </c>
      <c r="CR18">
        <f>IF(M18=0,0,COUNTIF('4_imgsummary'!E18:N18,"R")*100/M18)</f>
        <v>0</v>
      </c>
      <c r="CS18">
        <f>IF(M18=0,0,COUNTIF('4_imgsummary'!E18:N18,"S")*100/M18)</f>
        <v>0</v>
      </c>
      <c r="CT18">
        <f>IF(M18=0,0,COUNTIF('4_imgsummary'!E18:N18,"RCK")*100/M18)</f>
        <v>0</v>
      </c>
      <c r="CU18">
        <f>IF(M18=0,0,COUNTIF('4_imgsummary'!E18:N18,"SI")*100/M18)</f>
        <v>0</v>
      </c>
      <c r="CW18">
        <f>IF(M18=0,0,COUNTIF('4_imgsummary'!E18:N18,"COD")*100/M18)</f>
        <v>0</v>
      </c>
      <c r="CX18">
        <f>IF(M18=0,0,COUNTIF('4_imgsummary'!E18:N18,"KAPP")*100/M18)</f>
        <v>0</v>
      </c>
      <c r="CY18">
        <f>IF(M18=0,0,COUNTIF('4_imgsummary'!E18:N18,"MA")*100/M18)</f>
        <v>0</v>
      </c>
      <c r="CZ18">
        <f>IF(M18=0,0,COUNTIF('4_imgsummary'!E18:N18,"SARG")*100/M18)</f>
        <v>0</v>
      </c>
      <c r="DB18">
        <f>IF(M18=0,0,COUNTIF('4_imgsummary'!E18:N18,"HA")*100/M18)</f>
        <v>0</v>
      </c>
      <c r="DD18">
        <f>IF(M18=0,0,COUNTIF('4_imgsummary'!E18:N18,"COTS")*100/M18)</f>
        <v>0</v>
      </c>
      <c r="DE18">
        <f>IF(M18=0,0,COUNTIF('4_imgsummary'!E18:N18,"COR")*100/M18)</f>
        <v>0</v>
      </c>
      <c r="DF18">
        <f>IF(M18=0,0,COUNTIF('4_imgsummary'!E18:N18,"DIA")*100/M18)</f>
        <v>0</v>
      </c>
      <c r="DG18">
        <f>IF(M18=0,0,COUNTIF('4_imgsummary'!E18:N18,"GORG")*100/M18)</f>
        <v>0</v>
      </c>
      <c r="DH18">
        <f>IF(M18=0,0,COUNTIF('4_imgsummary'!E18:N18,"ISIS")*100/M18)</f>
        <v>0</v>
      </c>
      <c r="DI18">
        <f>IF(M18=0,0,COUNTIF('4_imgsummary'!E18:N18,"OT")*100/M18)</f>
        <v>0</v>
      </c>
      <c r="DJ18">
        <f>IF(M18=0,0,COUNTIF('4_imgsummary'!E18:N18,"SG")*100/M18)</f>
        <v>0</v>
      </c>
      <c r="DK18">
        <f>IF(M18=0,0,COUNTIF('4_imgsummary'!E18:N18,"SC")*100/M18)</f>
        <v>0</v>
      </c>
      <c r="DL18" s="26">
        <f>IF(M18=0,0,COUNTIF('4_imgsummary'!E18:N18,"SP")*100/M18)</f>
        <v>10</v>
      </c>
      <c r="DM18">
        <f>IF(M18=0,0,COUNTIF('4_imgsummary'!E18:N18,"ZO")*100/M18)</f>
        <v>0</v>
      </c>
      <c r="DO18">
        <f>IF(M18=0,0,COUNTIF('4_imgsummary'!E18:N18,"TWB")*100/M18)</f>
        <v>0</v>
      </c>
      <c r="DQ18">
        <f>IF(M18=0,0,COUNTIF('4_imgsummary'!Y18:AH18,"COR")*100/M18)</f>
        <v>0</v>
      </c>
      <c r="DR18">
        <f>IF(M18=0,0,COUNTIF('4_imgsummary'!Y18:AH18,"COTS")*100/M18)</f>
        <v>0</v>
      </c>
      <c r="DS18">
        <f>IF(M18=0,0,COUNTIF('4_imgsummary'!Y18:AH18,"DIA")*100/M18)</f>
        <v>0</v>
      </c>
      <c r="DT18">
        <f>IF(M18=0,0,COUNTIF('4_imgsummary'!Y18:AH18,"GORG")*100/M18)</f>
        <v>0</v>
      </c>
      <c r="DU18">
        <f>IF(M18=0,0,COUNTIF('4_imgsummary'!Y18:AH18,"ISIS")*100/M18)</f>
        <v>0</v>
      </c>
      <c r="DV18">
        <f>IF(M18=0,0,COUNTIF('4_imgsummary'!Y18:AH18,"DIS")*100/M18)</f>
        <v>0</v>
      </c>
      <c r="DW18">
        <f>IF(M18=0,0,COUNTIF('4_imgsummary'!Y18:AH18,"BLEC")*100/M18)</f>
        <v>0</v>
      </c>
      <c r="DX18">
        <f>IF(M18=0,0,COUNTIF('4_imgsummary'!Y18:AH18,"COD")*100/M18)</f>
        <v>0</v>
      </c>
      <c r="DY18">
        <f>IF(M18=0,0,COUNTIF('4_imgsummary'!Y18:AH18,"KAPP")*100/M18)</f>
        <v>0</v>
      </c>
      <c r="DZ18">
        <f>IF(M18=0,0,COUNTIF('4_imgsummary'!Y18:AH18,"SARG")*100/M18)</f>
        <v>0</v>
      </c>
      <c r="EA18">
        <f>IF(M18=0,0,COUNTIF('4_imgsummary'!Y18:AH18,"ZACRF")*100/M18)</f>
        <v>0</v>
      </c>
      <c r="EB18">
        <f>IF(M18=0,0,COUNTIF('4_imgsummary'!Y18:AH18,"ZAGARF")*100/M18)</f>
        <v>0</v>
      </c>
      <c r="EC18">
        <f>IF(M18=0,0,COUNTIF('4_imgsummary'!Y18:AH18,"ZAGATF")*100/M18)</f>
        <v>0</v>
      </c>
      <c r="ED18">
        <f>IF(M18=0,0,COUNTIF('4_imgsummary'!Y18:AH18,"ZCMRF")*100/M18)</f>
        <v>0</v>
      </c>
      <c r="EE18">
        <f>IF(M18=0,0,COUNTIF('4_imgsummary'!Y18:AH18,"ZDENF")*100/M18)</f>
        <v>0</v>
      </c>
      <c r="EF18">
        <f>IF(M18=0,0,COUNTIF('4_imgsummary'!Y18:AH18,"ZEUPF")*100/M18)</f>
        <v>0</v>
      </c>
      <c r="EG18">
        <f>IF(M18=0,0,COUNTIF('4_imgsummary'!Y18:AH18,"ZFAVF")*100/M18)</f>
        <v>0</v>
      </c>
      <c r="EH18">
        <f>IF(M18=0,0,COUNTIF('4_imgsummary'!Y18:AH18,"ZMUSF")*100/M18)</f>
        <v>0</v>
      </c>
      <c r="EI18">
        <f>IF(M18=0,0,COUNTIF('4_imgsummary'!Y18:AH18,"ZNSC")*100/M18)</f>
        <v>0</v>
      </c>
      <c r="EJ18">
        <f>IF(M18=0,0,COUNTIF('4_imgsummary'!Y18:AH18,"ZOC")*100/M18)</f>
        <v>0</v>
      </c>
      <c r="EK18">
        <f>IF(M18=0,0,COUNTIF('4_imgsummary'!Y18:AH18,"ZPOCF")*100/M18)</f>
        <v>0</v>
      </c>
      <c r="EL18">
        <f>IF(M18=0,0,COUNTIF('4_imgsummary'!Y18:AH18,"ZPORF")*100/M18)</f>
        <v>0</v>
      </c>
    </row>
    <row r="19" spans="1:142" x14ac:dyDescent="0.35">
      <c r="A19">
        <v>17</v>
      </c>
      <c r="B19" t="s">
        <v>94</v>
      </c>
      <c r="F19" s="26">
        <f>IF(M19=0,0,COUNTIF('4_imgsummary'!O19:X19,"HC")*100/M19)</f>
        <v>60</v>
      </c>
      <c r="G19" s="26">
        <f>IF(M19=0,0,COUNTIF('4_imgsummary'!O19:X19,"AA")*100/M19)</f>
        <v>40</v>
      </c>
      <c r="H19">
        <f>IF(M19=0,0,COUNTIF('4_imgsummary'!O19:X19,"AB")*100/M19)</f>
        <v>0</v>
      </c>
      <c r="I19">
        <f>IF(M19=0,0,COUNTIF('4_imgsummary'!O19:X19,"MA")*100/M19)</f>
        <v>0</v>
      </c>
      <c r="J19">
        <f>IF(M19=0,0,COUNTIF('4_imgsummary'!O19:X19,"HA")*100/M19)</f>
        <v>0</v>
      </c>
      <c r="K19">
        <f>IF(M19=0,0,COUNTIF('4_imgsummary'!O19:X19,"OB")*100/M19)</f>
        <v>0</v>
      </c>
      <c r="L19">
        <f>IF(M19=0,0,COUNTIF('4_imgsummary'!O19:X19,"TWB")*100/M19)</f>
        <v>0</v>
      </c>
      <c r="M19">
        <f>10-COUNTIF('4_imgsummary'!O19:X19,"TWS")</f>
        <v>10</v>
      </c>
      <c r="P19">
        <f>IF(M19=0,0,COUNTIF('4_imgsummary'!E19:N19,"ACAN")*100/M19)</f>
        <v>0</v>
      </c>
      <c r="Q19">
        <f>IF(M19=0,0,COUNTIF('4_imgsummary'!E19:N19,"ACB")*100/M19)</f>
        <v>0</v>
      </c>
      <c r="R19" s="26">
        <f>IF(M19=0,0,COUNTIF('4_imgsummary'!E19:N19,"ACC")*100/M19)</f>
        <v>10</v>
      </c>
      <c r="S19">
        <f>IF(M19=0,0,COUNTIF('4_imgsummary'!E19:N19,"ACD")*100/M19)</f>
        <v>0</v>
      </c>
      <c r="T19">
        <f>IF(M19=0,0,COUNTIF('4_imgsummary'!E19:N19,"ACH")*100/M19)</f>
        <v>0</v>
      </c>
      <c r="U19" s="26">
        <f>IF(M19=0,0,COUNTIF('4_imgsummary'!E19:N19,"ACT")*100/M19)</f>
        <v>30</v>
      </c>
      <c r="V19">
        <f>IF(M19=0,0,COUNTIF('4_imgsummary'!E19:N19,"ACR")*100/M19)</f>
        <v>0</v>
      </c>
      <c r="W19">
        <f>IF(M19=0,0,COUNTIF('4_imgsummary'!E19:N19,"AST")*100/M19)</f>
        <v>0</v>
      </c>
      <c r="X19">
        <f>IF(M19=0,0,COUNTIF('4_imgsummary'!E19:N19,"AF")*100/M19)</f>
        <v>0</v>
      </c>
      <c r="Y19">
        <f>IF(M19=0,0,COUNTIF('4_imgsummary'!E19:N19,"BLEC")*100/M19)</f>
        <v>0</v>
      </c>
      <c r="Z19">
        <f>IF(M19=0,0,COUNTIF('4_imgsummary'!E19:N19,"CAU")*100/M19)</f>
        <v>0</v>
      </c>
      <c r="AA19">
        <f>IF(M19=0,0,COUNTIF('4_imgsummary'!E19:N19,"COE")*100/M19)</f>
        <v>0</v>
      </c>
      <c r="AB19">
        <f>IF(M19=0,0,COUNTIF('4_imgsummary'!E19:N19,"COS")*100/M19)</f>
        <v>0</v>
      </c>
      <c r="AC19">
        <f>IF(M19=0,0,COUNTIF('4_imgsummary'!E19:N19,"CYP")*100/M19)</f>
        <v>0</v>
      </c>
      <c r="AD19">
        <f>IF(M19=0,0,COUNTIF('4_imgsummary'!E19:N19,"DIP")*100/M19)</f>
        <v>0</v>
      </c>
      <c r="AE19">
        <f>IF(M19=0,0,COUNTIF('4_imgsummary'!E19:N19,"ECHY")*100/M19)</f>
        <v>0</v>
      </c>
      <c r="AF19">
        <f>IF(M19=0,0,COUNTIF('4_imgsummary'!E19:N19,"ECHI")*100/M19)</f>
        <v>0</v>
      </c>
      <c r="AG19">
        <f>IF(M19=0,0,COUNTIF('4_imgsummary'!E19:N19,"EUP")*100/M19)</f>
        <v>0</v>
      </c>
      <c r="AH19">
        <f>IF(M19=0,0,COUNTIF('4_imgsummary'!E19:N19,"FAV")*100/M19)</f>
        <v>0</v>
      </c>
      <c r="AI19">
        <f>IF(M19=0,0,COUNTIF('4_imgsummary'!E19:N19,"FVI")*100/M19)</f>
        <v>0</v>
      </c>
      <c r="AJ19" s="26">
        <f>IF(M19=0,0,COUNTIF('4_imgsummary'!E19:N19,"CMR")*100/M19)</f>
        <v>10</v>
      </c>
      <c r="AK19">
        <f>IF(M19=0,0,COUNTIF('4_imgsummary'!E19:N19,"GAL")*100/M19)</f>
        <v>0</v>
      </c>
      <c r="AL19">
        <f>IF(M19=0,0,COUNTIF('4_imgsummary'!E19:N19,"GONIA")*100/M19)</f>
        <v>0</v>
      </c>
      <c r="AM19">
        <f>IF(M19=0,0,COUNTIF('4_imgsummary'!E19:N19,"GONIO")*100/M19)</f>
        <v>0</v>
      </c>
      <c r="AN19">
        <f>IF(M19=0,0,COUNTIF('4_imgsummary'!E19:N19,"HEL")*100/M19)</f>
        <v>0</v>
      </c>
      <c r="AO19">
        <f>IF(M19=0,0,COUNTIF('4_imgsummary'!E19:N19,"HYD")*100/M19)</f>
        <v>0</v>
      </c>
      <c r="AP19">
        <f>IF(M19=0,0,COUNTIF('4_imgsummary'!E19:N19,"ISO")*100/M19)</f>
        <v>0</v>
      </c>
      <c r="AQ19">
        <f>IF(M19=0,0,COUNTIF('4_imgsummary'!E19:N19,"LEPA")*100/M19)</f>
        <v>0</v>
      </c>
      <c r="AR19">
        <f>IF(M19=0,0,COUNTIF('4_imgsummary'!E19:N19,"LEPS")*100/M19)</f>
        <v>0</v>
      </c>
      <c r="AS19">
        <f>IF(M19=0,0,COUNTIF('4_imgsummary'!E19:N19,"LOB")*100/M19)</f>
        <v>0</v>
      </c>
      <c r="AT19">
        <f>IF(M19=0,0,COUNTIF('4_imgsummary'!E19:N19,"MER")*100/M19)</f>
        <v>0</v>
      </c>
      <c r="AU19">
        <f>IF(M19=0,0,COUNTIF('4_imgsummary'!E19:N19,"MILL")*100/M19)</f>
        <v>0</v>
      </c>
      <c r="AV19">
        <f>IF(M19=0,0,COUNTIF('4_imgsummary'!E19:N19,"MON")*100/M19)</f>
        <v>0</v>
      </c>
      <c r="AW19">
        <f>IF(M19=0,0,COUNTIF('4_imgsummary'!E19:N19,"MONTB")*100/M19)</f>
        <v>0</v>
      </c>
      <c r="AX19">
        <f>IF(M19=0,0,COUNTIF('4_imgsummary'!E19:N19,"MONTE")*100/M19)</f>
        <v>0</v>
      </c>
      <c r="AY19">
        <f>IF(M19=0,0,COUNTIF('4_imgsummary'!E19:N19,"MONTF")*100/M19)</f>
        <v>0</v>
      </c>
      <c r="AZ19">
        <f>IF(M19=0,0,COUNTIF('4_imgsummary'!E19:N19,"MYC")*100/M19)</f>
        <v>0</v>
      </c>
      <c r="BA19">
        <f>IF(M19=0,0,COUNTIF('4_imgsummary'!E19:N19,"CB")*100/M19)</f>
        <v>0</v>
      </c>
      <c r="BB19">
        <f>IF(M19=0,0,COUNTIF('4_imgsummary'!E19:N19,"BUB")*100/M19)</f>
        <v>0</v>
      </c>
      <c r="BC19" s="26">
        <f>IF(M19=0,0,COUNTIF('4_imgsummary'!E19:N19,"CE")*100/M19)</f>
        <v>10</v>
      </c>
      <c r="BD19">
        <f>IF(M19=0,0,COUNTIF('4_imgsummary'!E19:N19,"CF")*100/M19)</f>
        <v>0</v>
      </c>
      <c r="BE19">
        <f>IF(M19=0,0,COUNTIF('4_imgsummary'!E19:N19,"FOT")*100/M19)</f>
        <v>0</v>
      </c>
      <c r="BF19">
        <f>IF(M19=0,0,COUNTIF('4_imgsummary'!E19:N19,"CM")*100/M19)</f>
        <v>0</v>
      </c>
      <c r="BG19">
        <f>IF(M19=0,0,COUNTIF('4_imgsummary'!E19:N19,"OULA")*100/M19)</f>
        <v>0</v>
      </c>
      <c r="BH19">
        <f>IF(M19=0,0,COUNTIF('4_imgsummary'!E19:N19,"OULO")*100/M19)</f>
        <v>0</v>
      </c>
      <c r="BI19">
        <f>IF(M19=0,0,COUNTIF('4_imgsummary'!E19:N19,"OXY")*100/M19)</f>
        <v>0</v>
      </c>
      <c r="BJ19">
        <f>IF(M19=0,0,COUNTIF('4_imgsummary'!E19:N19,"PACE")*100/M19)</f>
        <v>0</v>
      </c>
      <c r="BK19">
        <f>IF(M19=0,0,COUNTIF('4_imgsummary'!E19:N19,"PACF")*100/M19)</f>
        <v>0</v>
      </c>
      <c r="BL19">
        <f>IF(M19=0,0,COUNTIF('4_imgsummary'!E19:N19,"PAV")*100/M19)</f>
        <v>0</v>
      </c>
      <c r="BM19">
        <f>IF(M19=0,0,COUNTIF('4_imgsummary'!E19:N19,"PEC")*100/M19)</f>
        <v>0</v>
      </c>
      <c r="BN19">
        <f>IF(M19=0,0,COUNTIF('4_imgsummary'!E19:N19,"PLAT")*100/M19)</f>
        <v>0</v>
      </c>
      <c r="BO19">
        <f>IF(M19=0,0,COUNTIF('4_imgsummary'!E19:N19,"POC")*100/M19)</f>
        <v>0</v>
      </c>
      <c r="BP19">
        <f>IF(M19=0,0,COUNTIF('4_imgsummary'!E19:N19,"PORB")*100/M19)</f>
        <v>0</v>
      </c>
      <c r="BQ19">
        <f>IF(M19=0,0,COUNTIF('4_imgsummary'!E19:N19,"PORE")*100/M19)</f>
        <v>0</v>
      </c>
      <c r="BR19">
        <f>IF(M19=0,0,COUNTIF('4_imgsummary'!E19:N19,"PORM")*100/M19)</f>
        <v>0</v>
      </c>
      <c r="BS19">
        <f>IF(M19=0,0,COUNTIF('4_imgsummary'!E19:N19,"SER")*100/M19)</f>
        <v>0</v>
      </c>
      <c r="BT19">
        <f>IF(M19=0,0,COUNTIF('4_imgsummary'!E19:N19,"STY")*100/M19)</f>
        <v>0</v>
      </c>
      <c r="BU19">
        <f>IF(M19=0,0,COUNTIF('4_imgsummary'!E19:N19,"SYM")*100/M19)</f>
        <v>0</v>
      </c>
      <c r="BV19">
        <f>IF(M19=0,0,COUNTIF('4_imgsummary'!E19:N19,"TUBI")*100/M19)</f>
        <v>0</v>
      </c>
      <c r="BW19">
        <f>IF(M19=0,0,COUNTIF('4_imgsummary'!E19:N19,"TURB")*100/M19)</f>
        <v>0</v>
      </c>
      <c r="BX19">
        <f>IF(M19=0,0,COUNTIF('4_imgsummary'!E19:N19,"ZACRF")*100/M19)</f>
        <v>0</v>
      </c>
      <c r="BY19">
        <f>IF(M19=0,0,COUNTIF('4_imgsummary'!E19:N19,"ZAGARF")*100/M19)</f>
        <v>0</v>
      </c>
      <c r="BZ19">
        <f>IF(M19=0,0,COUNTIF('4_imgsummary'!E19:N19,"ZAGATF")*100/M19)</f>
        <v>0</v>
      </c>
      <c r="CA19">
        <f>IF(M19=0,0,COUNTIF('4_imgsummary'!E19:N19,"ZDENF")*100/M19)</f>
        <v>0</v>
      </c>
      <c r="CB19">
        <f>IF(M19=0,0,COUNTIF('4_imgsummary'!E19:N19,"ZEUPF")*100/M19)</f>
        <v>0</v>
      </c>
      <c r="CC19">
        <f>IF(M19=0,0,COUNTIF('4_imgsummary'!E19:N19,"ZFAVF")*100/M19)</f>
        <v>0</v>
      </c>
      <c r="CD19">
        <f>IF(M19=0,0,COUNTIF('4_imgsummary'!E19:N19,"ZCMRF")*100/M19)</f>
        <v>0</v>
      </c>
      <c r="CE19">
        <f>IF(M19=0,0,COUNTIF('4_imgsummary'!E19:N19,"ZMUSF")*100/M19)</f>
        <v>0</v>
      </c>
      <c r="CF19">
        <f>IF(M19=0,0,COUNTIF('4_imgsummary'!E19:N19,"ZNSC")*100/M19)</f>
        <v>0</v>
      </c>
      <c r="CG19">
        <f>IF(M19=0,0,COUNTIF('4_imgsummary'!E19:N19,"ZOC")*100/M19)</f>
        <v>0</v>
      </c>
      <c r="CH19">
        <f>IF(M19=0,0,COUNTIF('4_imgsummary'!E19:N19,"ZPOCF")*100/M19)</f>
        <v>0</v>
      </c>
      <c r="CI19">
        <f>IF(M19=0,0,COUNTIF('4_imgsummary'!E19:N19,"ZPORF")*100/M19)</f>
        <v>0</v>
      </c>
      <c r="CK19">
        <f>IF(M19=0,0,COUNTIF('4_imgsummary'!E19:N19,"AA")*100/M19)</f>
        <v>0</v>
      </c>
      <c r="CL19" s="26">
        <f>IF(M19=0,0,COUNTIF('4_imgsummary'!E19:N19,"CA")*100/M19)</f>
        <v>40</v>
      </c>
      <c r="CM19">
        <f>IF(M19=0,0,COUNTIF('4_imgsummary'!E19:N19,"DC")*100/M19)</f>
        <v>0</v>
      </c>
      <c r="CN19">
        <f>IF(M19=0,0,COUNTIF('4_imgsummary'!E19:N19,"DCA")*100/M19)</f>
        <v>0</v>
      </c>
      <c r="CO19">
        <f>IF(M19=0,0,COUNTIF('4_imgsummary'!E19:N19,"DIS")*100/M19)</f>
        <v>0</v>
      </c>
      <c r="CQ19">
        <f>IF(M19=0,0,COUNTIF('4_imgsummary'!E19:N19,"GRV")*100/M19)</f>
        <v>0</v>
      </c>
      <c r="CR19">
        <f>IF(M19=0,0,COUNTIF('4_imgsummary'!E19:N19,"R")*100/M19)</f>
        <v>0</v>
      </c>
      <c r="CS19">
        <f>IF(M19=0,0,COUNTIF('4_imgsummary'!E19:N19,"S")*100/M19)</f>
        <v>0</v>
      </c>
      <c r="CT19">
        <f>IF(M19=0,0,COUNTIF('4_imgsummary'!E19:N19,"RCK")*100/M19)</f>
        <v>0</v>
      </c>
      <c r="CU19">
        <f>IF(M19=0,0,COUNTIF('4_imgsummary'!E19:N19,"SI")*100/M19)</f>
        <v>0</v>
      </c>
      <c r="CW19">
        <f>IF(M19=0,0,COUNTIF('4_imgsummary'!E19:N19,"COD")*100/M19)</f>
        <v>0</v>
      </c>
      <c r="CX19">
        <f>IF(M19=0,0,COUNTIF('4_imgsummary'!E19:N19,"KAPP")*100/M19)</f>
        <v>0</v>
      </c>
      <c r="CY19">
        <f>IF(M19=0,0,COUNTIF('4_imgsummary'!E19:N19,"MA")*100/M19)</f>
        <v>0</v>
      </c>
      <c r="CZ19">
        <f>IF(M19=0,0,COUNTIF('4_imgsummary'!E19:N19,"SARG")*100/M19)</f>
        <v>0</v>
      </c>
      <c r="DB19">
        <f>IF(M19=0,0,COUNTIF('4_imgsummary'!E19:N19,"HA")*100/M19)</f>
        <v>0</v>
      </c>
      <c r="DD19">
        <f>IF(M19=0,0,COUNTIF('4_imgsummary'!E19:N19,"COTS")*100/M19)</f>
        <v>0</v>
      </c>
      <c r="DE19">
        <f>IF(M19=0,0,COUNTIF('4_imgsummary'!E19:N19,"COR")*100/M19)</f>
        <v>0</v>
      </c>
      <c r="DF19">
        <f>IF(M19=0,0,COUNTIF('4_imgsummary'!E19:N19,"DIA")*100/M19)</f>
        <v>0</v>
      </c>
      <c r="DG19">
        <f>IF(M19=0,0,COUNTIF('4_imgsummary'!E19:N19,"GORG")*100/M19)</f>
        <v>0</v>
      </c>
      <c r="DH19">
        <f>IF(M19=0,0,COUNTIF('4_imgsummary'!E19:N19,"ISIS")*100/M19)</f>
        <v>0</v>
      </c>
      <c r="DI19">
        <f>IF(M19=0,0,COUNTIF('4_imgsummary'!E19:N19,"OT")*100/M19)</f>
        <v>0</v>
      </c>
      <c r="DJ19">
        <f>IF(M19=0,0,COUNTIF('4_imgsummary'!E19:N19,"SG")*100/M19)</f>
        <v>0</v>
      </c>
      <c r="DK19">
        <f>IF(M19=0,0,COUNTIF('4_imgsummary'!E19:N19,"SC")*100/M19)</f>
        <v>0</v>
      </c>
      <c r="DL19">
        <f>IF(M19=0,0,COUNTIF('4_imgsummary'!E19:N19,"SP")*100/M19)</f>
        <v>0</v>
      </c>
      <c r="DM19">
        <f>IF(M19=0,0,COUNTIF('4_imgsummary'!E19:N19,"ZO")*100/M19)</f>
        <v>0</v>
      </c>
      <c r="DO19">
        <f>IF(M19=0,0,COUNTIF('4_imgsummary'!E19:N19,"TWB")*100/M19)</f>
        <v>0</v>
      </c>
      <c r="DQ19">
        <f>IF(M19=0,0,COUNTIF('4_imgsummary'!Y19:AH19,"COR")*100/M19)</f>
        <v>0</v>
      </c>
      <c r="DR19">
        <f>IF(M19=0,0,COUNTIF('4_imgsummary'!Y19:AH19,"COTS")*100/M19)</f>
        <v>0</v>
      </c>
      <c r="DS19">
        <f>IF(M19=0,0,COUNTIF('4_imgsummary'!Y19:AH19,"DIA")*100/M19)</f>
        <v>0</v>
      </c>
      <c r="DT19">
        <f>IF(M19=0,0,COUNTIF('4_imgsummary'!Y19:AH19,"GORG")*100/M19)</f>
        <v>0</v>
      </c>
      <c r="DU19">
        <f>IF(M19=0,0,COUNTIF('4_imgsummary'!Y19:AH19,"ISIS")*100/M19)</f>
        <v>0</v>
      </c>
      <c r="DV19">
        <f>IF(M19=0,0,COUNTIF('4_imgsummary'!Y19:AH19,"DIS")*100/M19)</f>
        <v>0</v>
      </c>
      <c r="DW19">
        <f>IF(M19=0,0,COUNTIF('4_imgsummary'!Y19:AH19,"BLEC")*100/M19)</f>
        <v>0</v>
      </c>
      <c r="DX19">
        <f>IF(M19=0,0,COUNTIF('4_imgsummary'!Y19:AH19,"COD")*100/M19)</f>
        <v>0</v>
      </c>
      <c r="DY19">
        <f>IF(M19=0,0,COUNTIF('4_imgsummary'!Y19:AH19,"KAPP")*100/M19)</f>
        <v>0</v>
      </c>
      <c r="DZ19">
        <f>IF(M19=0,0,COUNTIF('4_imgsummary'!Y19:AH19,"SARG")*100/M19)</f>
        <v>0</v>
      </c>
      <c r="EA19">
        <f>IF(M19=0,0,COUNTIF('4_imgsummary'!Y19:AH19,"ZACRF")*100/M19)</f>
        <v>0</v>
      </c>
      <c r="EB19">
        <f>IF(M19=0,0,COUNTIF('4_imgsummary'!Y19:AH19,"ZAGARF")*100/M19)</f>
        <v>0</v>
      </c>
      <c r="EC19">
        <f>IF(M19=0,0,COUNTIF('4_imgsummary'!Y19:AH19,"ZAGATF")*100/M19)</f>
        <v>0</v>
      </c>
      <c r="ED19">
        <f>IF(M19=0,0,COUNTIF('4_imgsummary'!Y19:AH19,"ZCMRF")*100/M19)</f>
        <v>0</v>
      </c>
      <c r="EE19">
        <f>IF(M19=0,0,COUNTIF('4_imgsummary'!Y19:AH19,"ZDENF")*100/M19)</f>
        <v>0</v>
      </c>
      <c r="EF19">
        <f>IF(M19=0,0,COUNTIF('4_imgsummary'!Y19:AH19,"ZEUPF")*100/M19)</f>
        <v>0</v>
      </c>
      <c r="EG19">
        <f>IF(M19=0,0,COUNTIF('4_imgsummary'!Y19:AH19,"ZFAVF")*100/M19)</f>
        <v>0</v>
      </c>
      <c r="EH19">
        <f>IF(M19=0,0,COUNTIF('4_imgsummary'!Y19:AH19,"ZMUSF")*100/M19)</f>
        <v>0</v>
      </c>
      <c r="EI19">
        <f>IF(M19=0,0,COUNTIF('4_imgsummary'!Y19:AH19,"ZNSC")*100/M19)</f>
        <v>0</v>
      </c>
      <c r="EJ19">
        <f>IF(M19=0,0,COUNTIF('4_imgsummary'!Y19:AH19,"ZOC")*100/M19)</f>
        <v>0</v>
      </c>
      <c r="EK19">
        <f>IF(M19=0,0,COUNTIF('4_imgsummary'!Y19:AH19,"ZPOCF")*100/M19)</f>
        <v>0</v>
      </c>
      <c r="EL19">
        <f>IF(M19=0,0,COUNTIF('4_imgsummary'!Y19:AH19,"ZPORF")*100/M19)</f>
        <v>0</v>
      </c>
    </row>
    <row r="20" spans="1:142" x14ac:dyDescent="0.35">
      <c r="A20">
        <v>18</v>
      </c>
      <c r="B20" t="s">
        <v>96</v>
      </c>
      <c r="F20" s="26">
        <f>IF(M20=0,0,COUNTIF('4_imgsummary'!O20:X20,"HC")*100/M20)</f>
        <v>60</v>
      </c>
      <c r="G20" s="26">
        <f>IF(M20=0,0,COUNTIF('4_imgsummary'!O20:X20,"AA")*100/M20)</f>
        <v>10</v>
      </c>
      <c r="H20">
        <f>IF(M20=0,0,COUNTIF('4_imgsummary'!O20:X20,"AB")*100/M20)</f>
        <v>0</v>
      </c>
      <c r="I20">
        <f>IF(M20=0,0,COUNTIF('4_imgsummary'!O20:X20,"MA")*100/M20)</f>
        <v>0</v>
      </c>
      <c r="J20">
        <f>IF(M20=0,0,COUNTIF('4_imgsummary'!O20:X20,"HA")*100/M20)</f>
        <v>0</v>
      </c>
      <c r="K20" s="26">
        <f>IF(M20=0,0,COUNTIF('4_imgsummary'!O20:X20,"OB")*100/M20)</f>
        <v>20</v>
      </c>
      <c r="L20" s="26">
        <f>IF(M20=0,0,COUNTIF('4_imgsummary'!O20:X20,"TWB")*100/M20)</f>
        <v>10</v>
      </c>
      <c r="M20">
        <f>10-COUNTIF('4_imgsummary'!O20:X20,"TWS")</f>
        <v>10</v>
      </c>
      <c r="P20">
        <f>IF(M20=0,0,COUNTIF('4_imgsummary'!E20:N20,"ACAN")*100/M20)</f>
        <v>0</v>
      </c>
      <c r="Q20">
        <f>IF(M20=0,0,COUNTIF('4_imgsummary'!E20:N20,"ACB")*100/M20)</f>
        <v>0</v>
      </c>
      <c r="R20">
        <f>IF(M20=0,0,COUNTIF('4_imgsummary'!E20:N20,"ACC")*100/M20)</f>
        <v>0</v>
      </c>
      <c r="S20">
        <f>IF(M20=0,0,COUNTIF('4_imgsummary'!E20:N20,"ACD")*100/M20)</f>
        <v>0</v>
      </c>
      <c r="T20">
        <f>IF(M20=0,0,COUNTIF('4_imgsummary'!E20:N20,"ACH")*100/M20)</f>
        <v>0</v>
      </c>
      <c r="U20" s="26">
        <f>IF(M20=0,0,COUNTIF('4_imgsummary'!E20:N20,"ACT")*100/M20)</f>
        <v>10</v>
      </c>
      <c r="V20">
        <f>IF(M20=0,0,COUNTIF('4_imgsummary'!E20:N20,"ACR")*100/M20)</f>
        <v>0</v>
      </c>
      <c r="W20">
        <f>IF(M20=0,0,COUNTIF('4_imgsummary'!E20:N20,"AST")*100/M20)</f>
        <v>0</v>
      </c>
      <c r="X20">
        <f>IF(M20=0,0,COUNTIF('4_imgsummary'!E20:N20,"AF")*100/M20)</f>
        <v>0</v>
      </c>
      <c r="Y20">
        <f>IF(M20=0,0,COUNTIF('4_imgsummary'!E20:N20,"BLEC")*100/M20)</f>
        <v>0</v>
      </c>
      <c r="Z20">
        <f>IF(M20=0,0,COUNTIF('4_imgsummary'!E20:N20,"CAU")*100/M20)</f>
        <v>0</v>
      </c>
      <c r="AA20">
        <f>IF(M20=0,0,COUNTIF('4_imgsummary'!E20:N20,"COE")*100/M20)</f>
        <v>0</v>
      </c>
      <c r="AB20">
        <f>IF(M20=0,0,COUNTIF('4_imgsummary'!E20:N20,"COS")*100/M20)</f>
        <v>0</v>
      </c>
      <c r="AC20">
        <f>IF(M20=0,0,COUNTIF('4_imgsummary'!E20:N20,"CYP")*100/M20)</f>
        <v>0</v>
      </c>
      <c r="AD20">
        <f>IF(M20=0,0,COUNTIF('4_imgsummary'!E20:N20,"DIP")*100/M20)</f>
        <v>0</v>
      </c>
      <c r="AE20">
        <f>IF(M20=0,0,COUNTIF('4_imgsummary'!E20:N20,"ECHY")*100/M20)</f>
        <v>0</v>
      </c>
      <c r="AF20">
        <f>IF(M20=0,0,COUNTIF('4_imgsummary'!E20:N20,"ECHI")*100/M20)</f>
        <v>0</v>
      </c>
      <c r="AG20">
        <f>IF(M20=0,0,COUNTIF('4_imgsummary'!E20:N20,"EUP")*100/M20)</f>
        <v>0</v>
      </c>
      <c r="AH20">
        <f>IF(M20=0,0,COUNTIF('4_imgsummary'!E20:N20,"FAV")*100/M20)</f>
        <v>0</v>
      </c>
      <c r="AI20">
        <f>IF(M20=0,0,COUNTIF('4_imgsummary'!E20:N20,"FVI")*100/M20)</f>
        <v>0</v>
      </c>
      <c r="AJ20" s="26">
        <f>IF(M20=0,0,COUNTIF('4_imgsummary'!E20:N20,"CMR")*100/M20)</f>
        <v>10</v>
      </c>
      <c r="AK20">
        <f>IF(M20=0,0,COUNTIF('4_imgsummary'!E20:N20,"GAL")*100/M20)</f>
        <v>0</v>
      </c>
      <c r="AL20">
        <f>IF(M20=0,0,COUNTIF('4_imgsummary'!E20:N20,"GONIA")*100/M20)</f>
        <v>0</v>
      </c>
      <c r="AM20">
        <f>IF(M20=0,0,COUNTIF('4_imgsummary'!E20:N20,"GONIO")*100/M20)</f>
        <v>0</v>
      </c>
      <c r="AN20">
        <f>IF(M20=0,0,COUNTIF('4_imgsummary'!E20:N20,"HEL")*100/M20)</f>
        <v>0</v>
      </c>
      <c r="AO20">
        <f>IF(M20=0,0,COUNTIF('4_imgsummary'!E20:N20,"HYD")*100/M20)</f>
        <v>0</v>
      </c>
      <c r="AP20">
        <f>IF(M20=0,0,COUNTIF('4_imgsummary'!E20:N20,"ISO")*100/M20)</f>
        <v>0</v>
      </c>
      <c r="AQ20">
        <f>IF(M20=0,0,COUNTIF('4_imgsummary'!E20:N20,"LEPA")*100/M20)</f>
        <v>0</v>
      </c>
      <c r="AR20">
        <f>IF(M20=0,0,COUNTIF('4_imgsummary'!E20:N20,"LEPS")*100/M20)</f>
        <v>0</v>
      </c>
      <c r="AS20">
        <f>IF(M20=0,0,COUNTIF('4_imgsummary'!E20:N20,"LOB")*100/M20)</f>
        <v>0</v>
      </c>
      <c r="AT20">
        <f>IF(M20=0,0,COUNTIF('4_imgsummary'!E20:N20,"MER")*100/M20)</f>
        <v>0</v>
      </c>
      <c r="AU20">
        <f>IF(M20=0,0,COUNTIF('4_imgsummary'!E20:N20,"MILL")*100/M20)</f>
        <v>0</v>
      </c>
      <c r="AV20">
        <f>IF(M20=0,0,COUNTIF('4_imgsummary'!E20:N20,"MON")*100/M20)</f>
        <v>0</v>
      </c>
      <c r="AW20">
        <f>IF(M20=0,0,COUNTIF('4_imgsummary'!E20:N20,"MONTB")*100/M20)</f>
        <v>0</v>
      </c>
      <c r="AX20">
        <f>IF(M20=0,0,COUNTIF('4_imgsummary'!E20:N20,"MONTE")*100/M20)</f>
        <v>0</v>
      </c>
      <c r="AY20">
        <f>IF(M20=0,0,COUNTIF('4_imgsummary'!E20:N20,"MONTF")*100/M20)</f>
        <v>0</v>
      </c>
      <c r="AZ20">
        <f>IF(M20=0,0,COUNTIF('4_imgsummary'!E20:N20,"MYC")*100/M20)</f>
        <v>0</v>
      </c>
      <c r="BA20">
        <f>IF(M20=0,0,COUNTIF('4_imgsummary'!E20:N20,"CB")*100/M20)</f>
        <v>0</v>
      </c>
      <c r="BB20">
        <f>IF(M20=0,0,COUNTIF('4_imgsummary'!E20:N20,"BUB")*100/M20)</f>
        <v>0</v>
      </c>
      <c r="BC20" s="26">
        <f>IF(M20=0,0,COUNTIF('4_imgsummary'!E20:N20,"CE")*100/M20)</f>
        <v>10</v>
      </c>
      <c r="BD20">
        <f>IF(M20=0,0,COUNTIF('4_imgsummary'!E20:N20,"CF")*100/M20)</f>
        <v>0</v>
      </c>
      <c r="BE20">
        <f>IF(M20=0,0,COUNTIF('4_imgsummary'!E20:N20,"FOT")*100/M20)</f>
        <v>0</v>
      </c>
      <c r="BF20">
        <f>IF(M20=0,0,COUNTIF('4_imgsummary'!E20:N20,"CM")*100/M20)</f>
        <v>0</v>
      </c>
      <c r="BG20">
        <f>IF(M20=0,0,COUNTIF('4_imgsummary'!E20:N20,"OULA")*100/M20)</f>
        <v>0</v>
      </c>
      <c r="BH20">
        <f>IF(M20=0,0,COUNTIF('4_imgsummary'!E20:N20,"OULO")*100/M20)</f>
        <v>0</v>
      </c>
      <c r="BI20" s="26">
        <f>IF(M20=0,0,COUNTIF('4_imgsummary'!E20:N20,"OXY")*100/M20)</f>
        <v>10</v>
      </c>
      <c r="BJ20">
        <f>IF(M20=0,0,COUNTIF('4_imgsummary'!E20:N20,"PACE")*100/M20)</f>
        <v>0</v>
      </c>
      <c r="BK20">
        <f>IF(M20=0,0,COUNTIF('4_imgsummary'!E20:N20,"PACF")*100/M20)</f>
        <v>0</v>
      </c>
      <c r="BL20">
        <f>IF(M20=0,0,COUNTIF('4_imgsummary'!E20:N20,"PAV")*100/M20)</f>
        <v>0</v>
      </c>
      <c r="BM20">
        <f>IF(M20=0,0,COUNTIF('4_imgsummary'!E20:N20,"PEC")*100/M20)</f>
        <v>0</v>
      </c>
      <c r="BN20">
        <f>IF(M20=0,0,COUNTIF('4_imgsummary'!E20:N20,"PLAT")*100/M20)</f>
        <v>0</v>
      </c>
      <c r="BO20">
        <f>IF(M20=0,0,COUNTIF('4_imgsummary'!E20:N20,"POC")*100/M20)</f>
        <v>0</v>
      </c>
      <c r="BP20" s="26">
        <f>IF(M20=0,0,COUNTIF('4_imgsummary'!E20:N20,"PORB")*100/M20)</f>
        <v>20</v>
      </c>
      <c r="BQ20">
        <f>IF(M20=0,0,COUNTIF('4_imgsummary'!E20:N20,"PORE")*100/M20)</f>
        <v>0</v>
      </c>
      <c r="BR20">
        <f>IF(M20=0,0,COUNTIF('4_imgsummary'!E20:N20,"PORM")*100/M20)</f>
        <v>0</v>
      </c>
      <c r="BS20">
        <f>IF(M20=0,0,COUNTIF('4_imgsummary'!E20:N20,"SER")*100/M20)</f>
        <v>0</v>
      </c>
      <c r="BT20">
        <f>IF(M20=0,0,COUNTIF('4_imgsummary'!E20:N20,"STY")*100/M20)</f>
        <v>0</v>
      </c>
      <c r="BU20">
        <f>IF(M20=0,0,COUNTIF('4_imgsummary'!E20:N20,"SYM")*100/M20)</f>
        <v>0</v>
      </c>
      <c r="BV20">
        <f>IF(M20=0,0,COUNTIF('4_imgsummary'!E20:N20,"TUBI")*100/M20)</f>
        <v>0</v>
      </c>
      <c r="BW20">
        <f>IF(M20=0,0,COUNTIF('4_imgsummary'!E20:N20,"TURB")*100/M20)</f>
        <v>0</v>
      </c>
      <c r="BX20">
        <f>IF(M20=0,0,COUNTIF('4_imgsummary'!E20:N20,"ZACRF")*100/M20)</f>
        <v>0</v>
      </c>
      <c r="BY20">
        <f>IF(M20=0,0,COUNTIF('4_imgsummary'!E20:N20,"ZAGARF")*100/M20)</f>
        <v>0</v>
      </c>
      <c r="BZ20">
        <f>IF(M20=0,0,COUNTIF('4_imgsummary'!E20:N20,"ZAGATF")*100/M20)</f>
        <v>0</v>
      </c>
      <c r="CA20">
        <f>IF(M20=0,0,COUNTIF('4_imgsummary'!E20:N20,"ZDENF")*100/M20)</f>
        <v>0</v>
      </c>
      <c r="CB20">
        <f>IF(M20=0,0,COUNTIF('4_imgsummary'!E20:N20,"ZEUPF")*100/M20)</f>
        <v>0</v>
      </c>
      <c r="CC20">
        <f>IF(M20=0,0,COUNTIF('4_imgsummary'!E20:N20,"ZFAVF")*100/M20)</f>
        <v>0</v>
      </c>
      <c r="CD20">
        <f>IF(M20=0,0,COUNTIF('4_imgsummary'!E20:N20,"ZCMRF")*100/M20)</f>
        <v>0</v>
      </c>
      <c r="CE20">
        <f>IF(M20=0,0,COUNTIF('4_imgsummary'!E20:N20,"ZMUSF")*100/M20)</f>
        <v>0</v>
      </c>
      <c r="CF20">
        <f>IF(M20=0,0,COUNTIF('4_imgsummary'!E20:N20,"ZNSC")*100/M20)</f>
        <v>0</v>
      </c>
      <c r="CG20">
        <f>IF(M20=0,0,COUNTIF('4_imgsummary'!E20:N20,"ZOC")*100/M20)</f>
        <v>0</v>
      </c>
      <c r="CH20">
        <f>IF(M20=0,0,COUNTIF('4_imgsummary'!E20:N20,"ZPOCF")*100/M20)</f>
        <v>0</v>
      </c>
      <c r="CI20">
        <f>IF(M20=0,0,COUNTIF('4_imgsummary'!E20:N20,"ZPORF")*100/M20)</f>
        <v>0</v>
      </c>
      <c r="CK20">
        <f>IF(M20=0,0,COUNTIF('4_imgsummary'!E20:N20,"AA")*100/M20)</f>
        <v>0</v>
      </c>
      <c r="CL20" s="26">
        <f>IF(M20=0,0,COUNTIF('4_imgsummary'!E20:N20,"CA")*100/M20)</f>
        <v>10</v>
      </c>
      <c r="CM20">
        <f>IF(M20=0,0,COUNTIF('4_imgsummary'!E20:N20,"DC")*100/M20)</f>
        <v>0</v>
      </c>
      <c r="CN20">
        <f>IF(M20=0,0,COUNTIF('4_imgsummary'!E20:N20,"DCA")*100/M20)</f>
        <v>0</v>
      </c>
      <c r="CO20">
        <f>IF(M20=0,0,COUNTIF('4_imgsummary'!E20:N20,"DIS")*100/M20)</f>
        <v>0</v>
      </c>
      <c r="CQ20">
        <f>IF(M20=0,0,COUNTIF('4_imgsummary'!E20:N20,"GRV")*100/M20)</f>
        <v>0</v>
      </c>
      <c r="CR20">
        <f>IF(M20=0,0,COUNTIF('4_imgsummary'!E20:N20,"R")*100/M20)</f>
        <v>0</v>
      </c>
      <c r="CS20">
        <f>IF(M20=0,0,COUNTIF('4_imgsummary'!E20:N20,"S")*100/M20)</f>
        <v>0</v>
      </c>
      <c r="CT20">
        <f>IF(M20=0,0,COUNTIF('4_imgsummary'!E20:N20,"RCK")*100/M20)</f>
        <v>0</v>
      </c>
      <c r="CU20">
        <f>IF(M20=0,0,COUNTIF('4_imgsummary'!E20:N20,"SI")*100/M20)</f>
        <v>0</v>
      </c>
      <c r="CW20">
        <f>IF(M20=0,0,COUNTIF('4_imgsummary'!E20:N20,"COD")*100/M20)</f>
        <v>0</v>
      </c>
      <c r="CX20">
        <f>IF(M20=0,0,COUNTIF('4_imgsummary'!E20:N20,"KAPP")*100/M20)</f>
        <v>0</v>
      </c>
      <c r="CY20">
        <f>IF(M20=0,0,COUNTIF('4_imgsummary'!E20:N20,"MA")*100/M20)</f>
        <v>0</v>
      </c>
      <c r="CZ20">
        <f>IF(M20=0,0,COUNTIF('4_imgsummary'!E20:N20,"SARG")*100/M20)</f>
        <v>0</v>
      </c>
      <c r="DB20">
        <f>IF(M20=0,0,COUNTIF('4_imgsummary'!E20:N20,"HA")*100/M20)</f>
        <v>0</v>
      </c>
      <c r="DD20">
        <f>IF(M20=0,0,COUNTIF('4_imgsummary'!E20:N20,"COTS")*100/M20)</f>
        <v>0</v>
      </c>
      <c r="DE20">
        <f>IF(M20=0,0,COUNTIF('4_imgsummary'!E20:N20,"COR")*100/M20)</f>
        <v>0</v>
      </c>
      <c r="DF20">
        <f>IF(M20=0,0,COUNTIF('4_imgsummary'!E20:N20,"DIA")*100/M20)</f>
        <v>0</v>
      </c>
      <c r="DG20">
        <f>IF(M20=0,0,COUNTIF('4_imgsummary'!E20:N20,"GORG")*100/M20)</f>
        <v>0</v>
      </c>
      <c r="DH20">
        <f>IF(M20=0,0,COUNTIF('4_imgsummary'!E20:N20,"ISIS")*100/M20)</f>
        <v>0</v>
      </c>
      <c r="DI20">
        <f>IF(M20=0,0,COUNTIF('4_imgsummary'!E20:N20,"OT")*100/M20)</f>
        <v>0</v>
      </c>
      <c r="DJ20">
        <f>IF(M20=0,0,COUNTIF('4_imgsummary'!E20:N20,"SG")*100/M20)</f>
        <v>0</v>
      </c>
      <c r="DK20">
        <f>IF(M20=0,0,COUNTIF('4_imgsummary'!E20:N20,"SC")*100/M20)</f>
        <v>0</v>
      </c>
      <c r="DL20" s="26">
        <f>IF(M20=0,0,COUNTIF('4_imgsummary'!E20:N20,"SP")*100/M20)</f>
        <v>20</v>
      </c>
      <c r="DM20">
        <f>IF(M20=0,0,COUNTIF('4_imgsummary'!E20:N20,"ZO")*100/M20)</f>
        <v>0</v>
      </c>
      <c r="DO20" s="26">
        <f>IF(M20=0,0,COUNTIF('4_imgsummary'!E20:N20,"TWB")*100/M20)</f>
        <v>10</v>
      </c>
      <c r="DQ20">
        <f>IF(M20=0,0,COUNTIF('4_imgsummary'!Y20:AH20,"COR")*100/M20)</f>
        <v>0</v>
      </c>
      <c r="DR20">
        <f>IF(M20=0,0,COUNTIF('4_imgsummary'!Y20:AH20,"COTS")*100/M20)</f>
        <v>0</v>
      </c>
      <c r="DS20">
        <f>IF(M20=0,0,COUNTIF('4_imgsummary'!Y20:AH20,"DIA")*100/M20)</f>
        <v>0</v>
      </c>
      <c r="DT20">
        <f>IF(M20=0,0,COUNTIF('4_imgsummary'!Y20:AH20,"GORG")*100/M20)</f>
        <v>0</v>
      </c>
      <c r="DU20">
        <f>IF(M20=0,0,COUNTIF('4_imgsummary'!Y20:AH20,"ISIS")*100/M20)</f>
        <v>0</v>
      </c>
      <c r="DV20">
        <f>IF(M20=0,0,COUNTIF('4_imgsummary'!Y20:AH20,"DIS")*100/M20)</f>
        <v>0</v>
      </c>
      <c r="DW20">
        <f>IF(M20=0,0,COUNTIF('4_imgsummary'!Y20:AH20,"BLEC")*100/M20)</f>
        <v>0</v>
      </c>
      <c r="DX20">
        <f>IF(M20=0,0,COUNTIF('4_imgsummary'!Y20:AH20,"COD")*100/M20)</f>
        <v>0</v>
      </c>
      <c r="DY20">
        <f>IF(M20=0,0,COUNTIF('4_imgsummary'!Y20:AH20,"KAPP")*100/M20)</f>
        <v>0</v>
      </c>
      <c r="DZ20">
        <f>IF(M20=0,0,COUNTIF('4_imgsummary'!Y20:AH20,"SARG")*100/M20)</f>
        <v>0</v>
      </c>
      <c r="EA20">
        <f>IF(M20=0,0,COUNTIF('4_imgsummary'!Y20:AH20,"ZACRF")*100/M20)</f>
        <v>0</v>
      </c>
      <c r="EB20">
        <f>IF(M20=0,0,COUNTIF('4_imgsummary'!Y20:AH20,"ZAGARF")*100/M20)</f>
        <v>0</v>
      </c>
      <c r="EC20">
        <f>IF(M20=0,0,COUNTIF('4_imgsummary'!Y20:AH20,"ZAGATF")*100/M20)</f>
        <v>0</v>
      </c>
      <c r="ED20">
        <f>IF(M20=0,0,COUNTIF('4_imgsummary'!Y20:AH20,"ZCMRF")*100/M20)</f>
        <v>0</v>
      </c>
      <c r="EE20">
        <f>IF(M20=0,0,COUNTIF('4_imgsummary'!Y20:AH20,"ZDENF")*100/M20)</f>
        <v>0</v>
      </c>
      <c r="EF20">
        <f>IF(M20=0,0,COUNTIF('4_imgsummary'!Y20:AH20,"ZEUPF")*100/M20)</f>
        <v>0</v>
      </c>
      <c r="EG20">
        <f>IF(M20=0,0,COUNTIF('4_imgsummary'!Y20:AH20,"ZFAVF")*100/M20)</f>
        <v>0</v>
      </c>
      <c r="EH20">
        <f>IF(M20=0,0,COUNTIF('4_imgsummary'!Y20:AH20,"ZMUSF")*100/M20)</f>
        <v>0</v>
      </c>
      <c r="EI20">
        <f>IF(M20=0,0,COUNTIF('4_imgsummary'!Y20:AH20,"ZNSC")*100/M20)</f>
        <v>0</v>
      </c>
      <c r="EJ20">
        <f>IF(M20=0,0,COUNTIF('4_imgsummary'!Y20:AH20,"ZOC")*100/M20)</f>
        <v>0</v>
      </c>
      <c r="EK20">
        <f>IF(M20=0,0,COUNTIF('4_imgsummary'!Y20:AH20,"ZPOCF")*100/M20)</f>
        <v>0</v>
      </c>
      <c r="EL20">
        <f>IF(M20=0,0,COUNTIF('4_imgsummary'!Y20:AH20,"ZPORF")*100/M20)</f>
        <v>0</v>
      </c>
    </row>
    <row r="21" spans="1:142" x14ac:dyDescent="0.35">
      <c r="A21">
        <v>19</v>
      </c>
      <c r="B21" t="s">
        <v>98</v>
      </c>
      <c r="F21" s="26">
        <f>IF(M21=0,0,COUNTIF('4_imgsummary'!O21:X21,"HC")*100/M21)</f>
        <v>60</v>
      </c>
      <c r="G21" s="26">
        <f>IF(M21=0,0,COUNTIF('4_imgsummary'!O21:X21,"AA")*100/M21)</f>
        <v>20</v>
      </c>
      <c r="H21">
        <f>IF(M21=0,0,COUNTIF('4_imgsummary'!O21:X21,"AB")*100/M21)</f>
        <v>0</v>
      </c>
      <c r="I21">
        <f>IF(M21=0,0,COUNTIF('4_imgsummary'!O21:X21,"MA")*100/M21)</f>
        <v>0</v>
      </c>
      <c r="J21">
        <f>IF(M21=0,0,COUNTIF('4_imgsummary'!O21:X21,"HA")*100/M21)</f>
        <v>0</v>
      </c>
      <c r="K21" s="26">
        <f>IF(M21=0,0,COUNTIF('4_imgsummary'!O21:X21,"OB")*100/M21)</f>
        <v>10</v>
      </c>
      <c r="L21" s="26">
        <f>IF(M21=0,0,COUNTIF('4_imgsummary'!O21:X21,"TWB")*100/M21)</f>
        <v>10</v>
      </c>
      <c r="M21">
        <f>10-COUNTIF('4_imgsummary'!O21:X21,"TWS")</f>
        <v>10</v>
      </c>
      <c r="P21">
        <f>IF(M21=0,0,COUNTIF('4_imgsummary'!E21:N21,"ACAN")*100/M21)</f>
        <v>0</v>
      </c>
      <c r="Q21">
        <f>IF(M21=0,0,COUNTIF('4_imgsummary'!E21:N21,"ACB")*100/M21)</f>
        <v>0</v>
      </c>
      <c r="R21">
        <f>IF(M21=0,0,COUNTIF('4_imgsummary'!E21:N21,"ACC")*100/M21)</f>
        <v>0</v>
      </c>
      <c r="S21">
        <f>IF(M21=0,0,COUNTIF('4_imgsummary'!E21:N21,"ACD")*100/M21)</f>
        <v>0</v>
      </c>
      <c r="T21">
        <f>IF(M21=0,0,COUNTIF('4_imgsummary'!E21:N21,"ACH")*100/M21)</f>
        <v>0</v>
      </c>
      <c r="U21" s="26">
        <f>IF(M21=0,0,COUNTIF('4_imgsummary'!E21:N21,"ACT")*100/M21)</f>
        <v>10</v>
      </c>
      <c r="V21">
        <f>IF(M21=0,0,COUNTIF('4_imgsummary'!E21:N21,"ACR")*100/M21)</f>
        <v>0</v>
      </c>
      <c r="W21">
        <f>IF(M21=0,0,COUNTIF('4_imgsummary'!E21:N21,"AST")*100/M21)</f>
        <v>0</v>
      </c>
      <c r="X21">
        <f>IF(M21=0,0,COUNTIF('4_imgsummary'!E21:N21,"AF")*100/M21)</f>
        <v>0</v>
      </c>
      <c r="Y21">
        <f>IF(M21=0,0,COUNTIF('4_imgsummary'!E21:N21,"BLEC")*100/M21)</f>
        <v>0</v>
      </c>
      <c r="Z21">
        <f>IF(M21=0,0,COUNTIF('4_imgsummary'!E21:N21,"CAU")*100/M21)</f>
        <v>0</v>
      </c>
      <c r="AA21">
        <f>IF(M21=0,0,COUNTIF('4_imgsummary'!E21:N21,"COE")*100/M21)</f>
        <v>0</v>
      </c>
      <c r="AB21">
        <f>IF(M21=0,0,COUNTIF('4_imgsummary'!E21:N21,"COS")*100/M21)</f>
        <v>0</v>
      </c>
      <c r="AC21">
        <f>IF(M21=0,0,COUNTIF('4_imgsummary'!E21:N21,"CYP")*100/M21)</f>
        <v>0</v>
      </c>
      <c r="AD21">
        <f>IF(M21=0,0,COUNTIF('4_imgsummary'!E21:N21,"DIP")*100/M21)</f>
        <v>0</v>
      </c>
      <c r="AE21">
        <f>IF(M21=0,0,COUNTIF('4_imgsummary'!E21:N21,"ECHY")*100/M21)</f>
        <v>0</v>
      </c>
      <c r="AF21">
        <f>IF(M21=0,0,COUNTIF('4_imgsummary'!E21:N21,"ECHI")*100/M21)</f>
        <v>0</v>
      </c>
      <c r="AG21">
        <f>IF(M21=0,0,COUNTIF('4_imgsummary'!E21:N21,"EUP")*100/M21)</f>
        <v>0</v>
      </c>
      <c r="AH21">
        <f>IF(M21=0,0,COUNTIF('4_imgsummary'!E21:N21,"FAV")*100/M21)</f>
        <v>0</v>
      </c>
      <c r="AI21">
        <f>IF(M21=0,0,COUNTIF('4_imgsummary'!E21:N21,"FVI")*100/M21)</f>
        <v>0</v>
      </c>
      <c r="AJ21">
        <f>IF(M21=0,0,COUNTIF('4_imgsummary'!E21:N21,"CMR")*100/M21)</f>
        <v>0</v>
      </c>
      <c r="AK21">
        <f>IF(M21=0,0,COUNTIF('4_imgsummary'!E21:N21,"GAL")*100/M21)</f>
        <v>0</v>
      </c>
      <c r="AL21">
        <f>IF(M21=0,0,COUNTIF('4_imgsummary'!E21:N21,"GONIA")*100/M21)</f>
        <v>0</v>
      </c>
      <c r="AM21">
        <f>IF(M21=0,0,COUNTIF('4_imgsummary'!E21:N21,"GONIO")*100/M21)</f>
        <v>0</v>
      </c>
      <c r="AN21">
        <f>IF(M21=0,0,COUNTIF('4_imgsummary'!E21:N21,"HEL")*100/M21)</f>
        <v>0</v>
      </c>
      <c r="AO21">
        <f>IF(M21=0,0,COUNTIF('4_imgsummary'!E21:N21,"HYD")*100/M21)</f>
        <v>0</v>
      </c>
      <c r="AP21">
        <f>IF(M21=0,0,COUNTIF('4_imgsummary'!E21:N21,"ISO")*100/M21)</f>
        <v>0</v>
      </c>
      <c r="AQ21">
        <f>IF(M21=0,0,COUNTIF('4_imgsummary'!E21:N21,"LEPA")*100/M21)</f>
        <v>0</v>
      </c>
      <c r="AR21">
        <f>IF(M21=0,0,COUNTIF('4_imgsummary'!E21:N21,"LEPS")*100/M21)</f>
        <v>0</v>
      </c>
      <c r="AS21">
        <f>IF(M21=0,0,COUNTIF('4_imgsummary'!E21:N21,"LOB")*100/M21)</f>
        <v>0</v>
      </c>
      <c r="AT21">
        <f>IF(M21=0,0,COUNTIF('4_imgsummary'!E21:N21,"MER")*100/M21)</f>
        <v>0</v>
      </c>
      <c r="AU21">
        <f>IF(M21=0,0,COUNTIF('4_imgsummary'!E21:N21,"MILL")*100/M21)</f>
        <v>0</v>
      </c>
      <c r="AV21">
        <f>IF(M21=0,0,COUNTIF('4_imgsummary'!E21:N21,"MON")*100/M21)</f>
        <v>0</v>
      </c>
      <c r="AW21">
        <f>IF(M21=0,0,COUNTIF('4_imgsummary'!E21:N21,"MONTB")*100/M21)</f>
        <v>0</v>
      </c>
      <c r="AX21">
        <f>IF(M21=0,0,COUNTIF('4_imgsummary'!E21:N21,"MONTE")*100/M21)</f>
        <v>0</v>
      </c>
      <c r="AY21">
        <f>IF(M21=0,0,COUNTIF('4_imgsummary'!E21:N21,"MONTF")*100/M21)</f>
        <v>0</v>
      </c>
      <c r="AZ21">
        <f>IF(M21=0,0,COUNTIF('4_imgsummary'!E21:N21,"MYC")*100/M21)</f>
        <v>0</v>
      </c>
      <c r="BA21">
        <f>IF(M21=0,0,COUNTIF('4_imgsummary'!E21:N21,"CB")*100/M21)</f>
        <v>0</v>
      </c>
      <c r="BB21">
        <f>IF(M21=0,0,COUNTIF('4_imgsummary'!E21:N21,"BUB")*100/M21)</f>
        <v>0</v>
      </c>
      <c r="BC21">
        <f>IF(M21=0,0,COUNTIF('4_imgsummary'!E21:N21,"CE")*100/M21)</f>
        <v>0</v>
      </c>
      <c r="BD21">
        <f>IF(M21=0,0,COUNTIF('4_imgsummary'!E21:N21,"CF")*100/M21)</f>
        <v>0</v>
      </c>
      <c r="BE21">
        <f>IF(M21=0,0,COUNTIF('4_imgsummary'!E21:N21,"FOT")*100/M21)</f>
        <v>0</v>
      </c>
      <c r="BF21">
        <f>IF(M21=0,0,COUNTIF('4_imgsummary'!E21:N21,"CM")*100/M21)</f>
        <v>0</v>
      </c>
      <c r="BG21">
        <f>IF(M21=0,0,COUNTIF('4_imgsummary'!E21:N21,"OULA")*100/M21)</f>
        <v>0</v>
      </c>
      <c r="BH21">
        <f>IF(M21=0,0,COUNTIF('4_imgsummary'!E21:N21,"OULO")*100/M21)</f>
        <v>0</v>
      </c>
      <c r="BI21">
        <f>IF(M21=0,0,COUNTIF('4_imgsummary'!E21:N21,"OXY")*100/M21)</f>
        <v>0</v>
      </c>
      <c r="BJ21">
        <f>IF(M21=0,0,COUNTIF('4_imgsummary'!E21:N21,"PACE")*100/M21)</f>
        <v>0</v>
      </c>
      <c r="BK21">
        <f>IF(M21=0,0,COUNTIF('4_imgsummary'!E21:N21,"PACF")*100/M21)</f>
        <v>0</v>
      </c>
      <c r="BL21" s="26">
        <f>IF(M21=0,0,COUNTIF('4_imgsummary'!E21:N21,"PAV")*100/M21)</f>
        <v>10</v>
      </c>
      <c r="BM21">
        <f>IF(M21=0,0,COUNTIF('4_imgsummary'!E21:N21,"PEC")*100/M21)</f>
        <v>0</v>
      </c>
      <c r="BN21" s="26">
        <f>IF(M21=0,0,COUNTIF('4_imgsummary'!E21:N21,"PLAT")*100/M21)</f>
        <v>10</v>
      </c>
      <c r="BO21">
        <f>IF(M21=0,0,COUNTIF('4_imgsummary'!E21:N21,"POC")*100/M21)</f>
        <v>0</v>
      </c>
      <c r="BP21">
        <f>IF(M21=0,0,COUNTIF('4_imgsummary'!E21:N21,"PORB")*100/M21)</f>
        <v>0</v>
      </c>
      <c r="BQ21">
        <f>IF(M21=0,0,COUNTIF('4_imgsummary'!E21:N21,"PORE")*100/M21)</f>
        <v>0</v>
      </c>
      <c r="BR21" s="26">
        <f>IF(M21=0,0,COUNTIF('4_imgsummary'!E21:N21,"PORM")*100/M21)</f>
        <v>30</v>
      </c>
      <c r="BS21">
        <f>IF(M21=0,0,COUNTIF('4_imgsummary'!E21:N21,"SER")*100/M21)</f>
        <v>0</v>
      </c>
      <c r="BT21">
        <f>IF(M21=0,0,COUNTIF('4_imgsummary'!E21:N21,"STY")*100/M21)</f>
        <v>0</v>
      </c>
      <c r="BU21">
        <f>IF(M21=0,0,COUNTIF('4_imgsummary'!E21:N21,"SYM")*100/M21)</f>
        <v>0</v>
      </c>
      <c r="BV21">
        <f>IF(M21=0,0,COUNTIF('4_imgsummary'!E21:N21,"TUBI")*100/M21)</f>
        <v>0</v>
      </c>
      <c r="BW21">
        <f>IF(M21=0,0,COUNTIF('4_imgsummary'!E21:N21,"TURB")*100/M21)</f>
        <v>0</v>
      </c>
      <c r="BX21">
        <f>IF(M21=0,0,COUNTIF('4_imgsummary'!E21:N21,"ZACRF")*100/M21)</f>
        <v>0</v>
      </c>
      <c r="BY21">
        <f>IF(M21=0,0,COUNTIF('4_imgsummary'!E21:N21,"ZAGARF")*100/M21)</f>
        <v>0</v>
      </c>
      <c r="BZ21">
        <f>IF(M21=0,0,COUNTIF('4_imgsummary'!E21:N21,"ZAGATF")*100/M21)</f>
        <v>0</v>
      </c>
      <c r="CA21">
        <f>IF(M21=0,0,COUNTIF('4_imgsummary'!E21:N21,"ZDENF")*100/M21)</f>
        <v>0</v>
      </c>
      <c r="CB21">
        <f>IF(M21=0,0,COUNTIF('4_imgsummary'!E21:N21,"ZEUPF")*100/M21)</f>
        <v>0</v>
      </c>
      <c r="CC21">
        <f>IF(M21=0,0,COUNTIF('4_imgsummary'!E21:N21,"ZFAVF")*100/M21)</f>
        <v>0</v>
      </c>
      <c r="CD21">
        <f>IF(M21=0,0,COUNTIF('4_imgsummary'!E21:N21,"ZCMRF")*100/M21)</f>
        <v>0</v>
      </c>
      <c r="CE21">
        <f>IF(M21=0,0,COUNTIF('4_imgsummary'!E21:N21,"ZMUSF")*100/M21)</f>
        <v>0</v>
      </c>
      <c r="CF21">
        <f>IF(M21=0,0,COUNTIF('4_imgsummary'!E21:N21,"ZNSC")*100/M21)</f>
        <v>0</v>
      </c>
      <c r="CG21">
        <f>IF(M21=0,0,COUNTIF('4_imgsummary'!E21:N21,"ZOC")*100/M21)</f>
        <v>0</v>
      </c>
      <c r="CH21">
        <f>IF(M21=0,0,COUNTIF('4_imgsummary'!E21:N21,"ZPOCF")*100/M21)</f>
        <v>0</v>
      </c>
      <c r="CI21">
        <f>IF(M21=0,0,COUNTIF('4_imgsummary'!E21:N21,"ZPORF")*100/M21)</f>
        <v>0</v>
      </c>
      <c r="CK21" s="26">
        <f>IF(M21=0,0,COUNTIF('4_imgsummary'!E21:N21,"AA")*100/M21)</f>
        <v>10</v>
      </c>
      <c r="CL21">
        <f>IF(M21=0,0,COUNTIF('4_imgsummary'!E21:N21,"CA")*100/M21)</f>
        <v>0</v>
      </c>
      <c r="CM21">
        <f>IF(M21=0,0,COUNTIF('4_imgsummary'!E21:N21,"DC")*100/M21)</f>
        <v>0</v>
      </c>
      <c r="CN21" s="26">
        <f>IF(M21=0,0,COUNTIF('4_imgsummary'!E21:N21,"DCA")*100/M21)</f>
        <v>10</v>
      </c>
      <c r="CO21">
        <f>IF(M21=0,0,COUNTIF('4_imgsummary'!E21:N21,"DIS")*100/M21)</f>
        <v>0</v>
      </c>
      <c r="CQ21">
        <f>IF(M21=0,0,COUNTIF('4_imgsummary'!E21:N21,"GRV")*100/M21)</f>
        <v>0</v>
      </c>
      <c r="CR21">
        <f>IF(M21=0,0,COUNTIF('4_imgsummary'!E21:N21,"R")*100/M21)</f>
        <v>0</v>
      </c>
      <c r="CS21">
        <f>IF(M21=0,0,COUNTIF('4_imgsummary'!E21:N21,"S")*100/M21)</f>
        <v>0</v>
      </c>
      <c r="CT21">
        <f>IF(M21=0,0,COUNTIF('4_imgsummary'!E21:N21,"RCK")*100/M21)</f>
        <v>0</v>
      </c>
      <c r="CU21">
        <f>IF(M21=0,0,COUNTIF('4_imgsummary'!E21:N21,"SI")*100/M21)</f>
        <v>0</v>
      </c>
      <c r="CW21">
        <f>IF(M21=0,0,COUNTIF('4_imgsummary'!E21:N21,"COD")*100/M21)</f>
        <v>0</v>
      </c>
      <c r="CX21">
        <f>IF(M21=0,0,COUNTIF('4_imgsummary'!E21:N21,"KAPP")*100/M21)</f>
        <v>0</v>
      </c>
      <c r="CY21">
        <f>IF(M21=0,0,COUNTIF('4_imgsummary'!E21:N21,"MA")*100/M21)</f>
        <v>0</v>
      </c>
      <c r="CZ21">
        <f>IF(M21=0,0,COUNTIF('4_imgsummary'!E21:N21,"SARG")*100/M21)</f>
        <v>0</v>
      </c>
      <c r="DB21">
        <f>IF(M21=0,0,COUNTIF('4_imgsummary'!E21:N21,"HA")*100/M21)</f>
        <v>0</v>
      </c>
      <c r="DD21">
        <f>IF(M21=0,0,COUNTIF('4_imgsummary'!E21:N21,"COTS")*100/M21)</f>
        <v>0</v>
      </c>
      <c r="DE21">
        <f>IF(M21=0,0,COUNTIF('4_imgsummary'!E21:N21,"COR")*100/M21)</f>
        <v>0</v>
      </c>
      <c r="DF21">
        <f>IF(M21=0,0,COUNTIF('4_imgsummary'!E21:N21,"DIA")*100/M21)</f>
        <v>0</v>
      </c>
      <c r="DG21">
        <f>IF(M21=0,0,COUNTIF('4_imgsummary'!E21:N21,"GORG")*100/M21)</f>
        <v>0</v>
      </c>
      <c r="DH21">
        <f>IF(M21=0,0,COUNTIF('4_imgsummary'!E21:N21,"ISIS")*100/M21)</f>
        <v>0</v>
      </c>
      <c r="DI21">
        <f>IF(M21=0,0,COUNTIF('4_imgsummary'!E21:N21,"OT")*100/M21)</f>
        <v>0</v>
      </c>
      <c r="DJ21">
        <f>IF(M21=0,0,COUNTIF('4_imgsummary'!E21:N21,"SG")*100/M21)</f>
        <v>0</v>
      </c>
      <c r="DK21">
        <f>IF(M21=0,0,COUNTIF('4_imgsummary'!E21:N21,"SC")*100/M21)</f>
        <v>0</v>
      </c>
      <c r="DL21" s="26">
        <f>IF(M21=0,0,COUNTIF('4_imgsummary'!E21:N21,"SP")*100/M21)</f>
        <v>10</v>
      </c>
      <c r="DM21">
        <f>IF(M21=0,0,COUNTIF('4_imgsummary'!E21:N21,"ZO")*100/M21)</f>
        <v>0</v>
      </c>
      <c r="DO21" s="26">
        <f>IF(M21=0,0,COUNTIF('4_imgsummary'!E21:N21,"TWB")*100/M21)</f>
        <v>10</v>
      </c>
      <c r="DQ21">
        <f>IF(M21=0,0,COUNTIF('4_imgsummary'!Y21:AH21,"COR")*100/M21)</f>
        <v>0</v>
      </c>
      <c r="DR21">
        <f>IF(M21=0,0,COUNTIF('4_imgsummary'!Y21:AH21,"COTS")*100/M21)</f>
        <v>0</v>
      </c>
      <c r="DS21">
        <f>IF(M21=0,0,COUNTIF('4_imgsummary'!Y21:AH21,"DIA")*100/M21)</f>
        <v>0</v>
      </c>
      <c r="DT21">
        <f>IF(M21=0,0,COUNTIF('4_imgsummary'!Y21:AH21,"GORG")*100/M21)</f>
        <v>0</v>
      </c>
      <c r="DU21">
        <f>IF(M21=0,0,COUNTIF('4_imgsummary'!Y21:AH21,"ISIS")*100/M21)</f>
        <v>0</v>
      </c>
      <c r="DV21">
        <f>IF(M21=0,0,COUNTIF('4_imgsummary'!Y21:AH21,"DIS")*100/M21)</f>
        <v>0</v>
      </c>
      <c r="DW21">
        <f>IF(M21=0,0,COUNTIF('4_imgsummary'!Y21:AH21,"BLEC")*100/M21)</f>
        <v>0</v>
      </c>
      <c r="DX21">
        <f>IF(M21=0,0,COUNTIF('4_imgsummary'!Y21:AH21,"COD")*100/M21)</f>
        <v>0</v>
      </c>
      <c r="DY21">
        <f>IF(M21=0,0,COUNTIF('4_imgsummary'!Y21:AH21,"KAPP")*100/M21)</f>
        <v>0</v>
      </c>
      <c r="DZ21">
        <f>IF(M21=0,0,COUNTIF('4_imgsummary'!Y21:AH21,"SARG")*100/M21)</f>
        <v>0</v>
      </c>
      <c r="EA21">
        <f>IF(M21=0,0,COUNTIF('4_imgsummary'!Y21:AH21,"ZACRF")*100/M21)</f>
        <v>0</v>
      </c>
      <c r="EB21">
        <f>IF(M21=0,0,COUNTIF('4_imgsummary'!Y21:AH21,"ZAGARF")*100/M21)</f>
        <v>0</v>
      </c>
      <c r="EC21">
        <f>IF(M21=0,0,COUNTIF('4_imgsummary'!Y21:AH21,"ZAGATF")*100/M21)</f>
        <v>0</v>
      </c>
      <c r="ED21">
        <f>IF(M21=0,0,COUNTIF('4_imgsummary'!Y21:AH21,"ZCMRF")*100/M21)</f>
        <v>0</v>
      </c>
      <c r="EE21">
        <f>IF(M21=0,0,COUNTIF('4_imgsummary'!Y21:AH21,"ZDENF")*100/M21)</f>
        <v>0</v>
      </c>
      <c r="EF21">
        <f>IF(M21=0,0,COUNTIF('4_imgsummary'!Y21:AH21,"ZEUPF")*100/M21)</f>
        <v>0</v>
      </c>
      <c r="EG21">
        <f>IF(M21=0,0,COUNTIF('4_imgsummary'!Y21:AH21,"ZFAVF")*100/M21)</f>
        <v>0</v>
      </c>
      <c r="EH21">
        <f>IF(M21=0,0,COUNTIF('4_imgsummary'!Y21:AH21,"ZMUSF")*100/M21)</f>
        <v>0</v>
      </c>
      <c r="EI21">
        <f>IF(M21=0,0,COUNTIF('4_imgsummary'!Y21:AH21,"ZNSC")*100/M21)</f>
        <v>0</v>
      </c>
      <c r="EJ21">
        <f>IF(M21=0,0,COUNTIF('4_imgsummary'!Y21:AH21,"ZOC")*100/M21)</f>
        <v>0</v>
      </c>
      <c r="EK21">
        <f>IF(M21=0,0,COUNTIF('4_imgsummary'!Y21:AH21,"ZPOCF")*100/M21)</f>
        <v>0</v>
      </c>
      <c r="EL21">
        <f>IF(M21=0,0,COUNTIF('4_imgsummary'!Y21:AH21,"ZPORF")*100/M21)</f>
        <v>0</v>
      </c>
    </row>
    <row r="22" spans="1:142" x14ac:dyDescent="0.35">
      <c r="A22">
        <v>20</v>
      </c>
      <c r="B22" t="s">
        <v>102</v>
      </c>
      <c r="F22" s="26">
        <f>IF(M22=0,0,COUNTIF('4_imgsummary'!O22:X22,"HC")*100/M22)</f>
        <v>40</v>
      </c>
      <c r="G22" s="26">
        <f>IF(M22=0,0,COUNTIF('4_imgsummary'!O22:X22,"AA")*100/M22)</f>
        <v>50</v>
      </c>
      <c r="H22">
        <f>IF(M22=0,0,COUNTIF('4_imgsummary'!O22:X22,"AB")*100/M22)</f>
        <v>0</v>
      </c>
      <c r="I22">
        <f>IF(M22=0,0,COUNTIF('4_imgsummary'!O22:X22,"MA")*100/M22)</f>
        <v>0</v>
      </c>
      <c r="J22">
        <f>IF(M22=0,0,COUNTIF('4_imgsummary'!O22:X22,"HA")*100/M22)</f>
        <v>0</v>
      </c>
      <c r="K22" s="26">
        <f>IF(M22=0,0,COUNTIF('4_imgsummary'!O22:X22,"OB")*100/M22)</f>
        <v>10</v>
      </c>
      <c r="L22">
        <f>IF(M22=0,0,COUNTIF('4_imgsummary'!O22:X22,"TWB")*100/M22)</f>
        <v>0</v>
      </c>
      <c r="M22">
        <f>10-COUNTIF('4_imgsummary'!O22:X22,"TWS")</f>
        <v>10</v>
      </c>
      <c r="P22">
        <f>IF(M22=0,0,COUNTIF('4_imgsummary'!E22:N22,"ACAN")*100/M22)</f>
        <v>0</v>
      </c>
      <c r="Q22">
        <f>IF(M22=0,0,COUNTIF('4_imgsummary'!E22:N22,"ACB")*100/M22)</f>
        <v>0</v>
      </c>
      <c r="R22">
        <f>IF(M22=0,0,COUNTIF('4_imgsummary'!E22:N22,"ACC")*100/M22)</f>
        <v>0</v>
      </c>
      <c r="S22">
        <f>IF(M22=0,0,COUNTIF('4_imgsummary'!E22:N22,"ACD")*100/M22)</f>
        <v>0</v>
      </c>
      <c r="T22">
        <f>IF(M22=0,0,COUNTIF('4_imgsummary'!E22:N22,"ACH")*100/M22)</f>
        <v>0</v>
      </c>
      <c r="U22">
        <f>IF(M22=0,0,COUNTIF('4_imgsummary'!E22:N22,"ACT")*100/M22)</f>
        <v>0</v>
      </c>
      <c r="V22">
        <f>IF(M22=0,0,COUNTIF('4_imgsummary'!E22:N22,"ACR")*100/M22)</f>
        <v>0</v>
      </c>
      <c r="W22">
        <f>IF(M22=0,0,COUNTIF('4_imgsummary'!E22:N22,"AST")*100/M22)</f>
        <v>0</v>
      </c>
      <c r="X22">
        <f>IF(M22=0,0,COUNTIF('4_imgsummary'!E22:N22,"AF")*100/M22)</f>
        <v>0</v>
      </c>
      <c r="Y22">
        <f>IF(M22=0,0,COUNTIF('4_imgsummary'!E22:N22,"BLEC")*100/M22)</f>
        <v>0</v>
      </c>
      <c r="Z22">
        <f>IF(M22=0,0,COUNTIF('4_imgsummary'!E22:N22,"CAU")*100/M22)</f>
        <v>0</v>
      </c>
      <c r="AA22">
        <f>IF(M22=0,0,COUNTIF('4_imgsummary'!E22:N22,"COE")*100/M22)</f>
        <v>0</v>
      </c>
      <c r="AB22">
        <f>IF(M22=0,0,COUNTIF('4_imgsummary'!E22:N22,"COS")*100/M22)</f>
        <v>0</v>
      </c>
      <c r="AC22">
        <f>IF(M22=0,0,COUNTIF('4_imgsummary'!E22:N22,"CYP")*100/M22)</f>
        <v>0</v>
      </c>
      <c r="AD22">
        <f>IF(M22=0,0,COUNTIF('4_imgsummary'!E22:N22,"DIP")*100/M22)</f>
        <v>0</v>
      </c>
      <c r="AE22">
        <f>IF(M22=0,0,COUNTIF('4_imgsummary'!E22:N22,"ECHY")*100/M22)</f>
        <v>0</v>
      </c>
      <c r="AF22">
        <f>IF(M22=0,0,COUNTIF('4_imgsummary'!E22:N22,"ECHI")*100/M22)</f>
        <v>0</v>
      </c>
      <c r="AG22">
        <f>IF(M22=0,0,COUNTIF('4_imgsummary'!E22:N22,"EUP")*100/M22)</f>
        <v>0</v>
      </c>
      <c r="AH22">
        <f>IF(M22=0,0,COUNTIF('4_imgsummary'!E22:N22,"FAV")*100/M22)</f>
        <v>0</v>
      </c>
      <c r="AI22">
        <f>IF(M22=0,0,COUNTIF('4_imgsummary'!E22:N22,"FVI")*100/M22)</f>
        <v>0</v>
      </c>
      <c r="AJ22">
        <f>IF(M22=0,0,COUNTIF('4_imgsummary'!E22:N22,"CMR")*100/M22)</f>
        <v>0</v>
      </c>
      <c r="AK22">
        <f>IF(M22=0,0,COUNTIF('4_imgsummary'!E22:N22,"GAL")*100/M22)</f>
        <v>0</v>
      </c>
      <c r="AL22">
        <f>IF(M22=0,0,COUNTIF('4_imgsummary'!E22:N22,"GONIA")*100/M22)</f>
        <v>0</v>
      </c>
      <c r="AM22">
        <f>IF(M22=0,0,COUNTIF('4_imgsummary'!E22:N22,"GONIO")*100/M22)</f>
        <v>0</v>
      </c>
      <c r="AN22">
        <f>IF(M22=0,0,COUNTIF('4_imgsummary'!E22:N22,"HEL")*100/M22)</f>
        <v>0</v>
      </c>
      <c r="AO22">
        <f>IF(M22=0,0,COUNTIF('4_imgsummary'!E22:N22,"HYD")*100/M22)</f>
        <v>0</v>
      </c>
      <c r="AP22">
        <f>IF(M22=0,0,COUNTIF('4_imgsummary'!E22:N22,"ISO")*100/M22)</f>
        <v>0</v>
      </c>
      <c r="AQ22">
        <f>IF(M22=0,0,COUNTIF('4_imgsummary'!E22:N22,"LEPA")*100/M22)</f>
        <v>0</v>
      </c>
      <c r="AR22">
        <f>IF(M22=0,0,COUNTIF('4_imgsummary'!E22:N22,"LEPS")*100/M22)</f>
        <v>0</v>
      </c>
      <c r="AS22">
        <f>IF(M22=0,0,COUNTIF('4_imgsummary'!E22:N22,"LOB")*100/M22)</f>
        <v>0</v>
      </c>
      <c r="AT22">
        <f>IF(M22=0,0,COUNTIF('4_imgsummary'!E22:N22,"MER")*100/M22)</f>
        <v>0</v>
      </c>
      <c r="AU22">
        <f>IF(M22=0,0,COUNTIF('4_imgsummary'!E22:N22,"MILL")*100/M22)</f>
        <v>0</v>
      </c>
      <c r="AV22">
        <f>IF(M22=0,0,COUNTIF('4_imgsummary'!E22:N22,"MON")*100/M22)</f>
        <v>0</v>
      </c>
      <c r="AW22" s="26">
        <f>IF(M22=0,0,COUNTIF('4_imgsummary'!E22:N22,"MONTB")*100/M22)</f>
        <v>10</v>
      </c>
      <c r="AX22">
        <f>IF(M22=0,0,COUNTIF('4_imgsummary'!E22:N22,"MONTE")*100/M22)</f>
        <v>0</v>
      </c>
      <c r="AY22">
        <f>IF(M22=0,0,COUNTIF('4_imgsummary'!E22:N22,"MONTF")*100/M22)</f>
        <v>0</v>
      </c>
      <c r="AZ22">
        <f>IF(M22=0,0,COUNTIF('4_imgsummary'!E22:N22,"MYC")*100/M22)</f>
        <v>0</v>
      </c>
      <c r="BA22" s="26">
        <f>IF(M22=0,0,COUNTIF('4_imgsummary'!E22:N22,"CB")*100/M22)</f>
        <v>10</v>
      </c>
      <c r="BB22">
        <f>IF(M22=0,0,COUNTIF('4_imgsummary'!E22:N22,"BUB")*100/M22)</f>
        <v>0</v>
      </c>
      <c r="BC22">
        <f>IF(M22=0,0,COUNTIF('4_imgsummary'!E22:N22,"CE")*100/M22)</f>
        <v>0</v>
      </c>
      <c r="BD22">
        <f>IF(M22=0,0,COUNTIF('4_imgsummary'!E22:N22,"CF")*100/M22)</f>
        <v>0</v>
      </c>
      <c r="BE22">
        <f>IF(M22=0,0,COUNTIF('4_imgsummary'!E22:N22,"FOT")*100/M22)</f>
        <v>0</v>
      </c>
      <c r="BF22">
        <f>IF(M22=0,0,COUNTIF('4_imgsummary'!E22:N22,"CM")*100/M22)</f>
        <v>0</v>
      </c>
      <c r="BG22">
        <f>IF(M22=0,0,COUNTIF('4_imgsummary'!E22:N22,"OULA")*100/M22)</f>
        <v>0</v>
      </c>
      <c r="BH22">
        <f>IF(M22=0,0,COUNTIF('4_imgsummary'!E22:N22,"OULO")*100/M22)</f>
        <v>0</v>
      </c>
      <c r="BI22">
        <f>IF(M22=0,0,COUNTIF('4_imgsummary'!E22:N22,"OXY")*100/M22)</f>
        <v>0</v>
      </c>
      <c r="BJ22">
        <f>IF(M22=0,0,COUNTIF('4_imgsummary'!E22:N22,"PACE")*100/M22)</f>
        <v>0</v>
      </c>
      <c r="BK22" s="26">
        <f>IF(M22=0,0,COUNTIF('4_imgsummary'!E22:N22,"PACF")*100/M22)</f>
        <v>20</v>
      </c>
      <c r="BL22">
        <f>IF(M22=0,0,COUNTIF('4_imgsummary'!E22:N22,"PAV")*100/M22)</f>
        <v>0</v>
      </c>
      <c r="BM22">
        <f>IF(M22=0,0,COUNTIF('4_imgsummary'!E22:N22,"PEC")*100/M22)</f>
        <v>0</v>
      </c>
      <c r="BN22">
        <f>IF(M22=0,0,COUNTIF('4_imgsummary'!E22:N22,"PLAT")*100/M22)</f>
        <v>0</v>
      </c>
      <c r="BO22">
        <f>IF(M22=0,0,COUNTIF('4_imgsummary'!E22:N22,"POC")*100/M22)</f>
        <v>0</v>
      </c>
      <c r="BP22">
        <f>IF(M22=0,0,COUNTIF('4_imgsummary'!E22:N22,"PORB")*100/M22)</f>
        <v>0</v>
      </c>
      <c r="BQ22">
        <f>IF(M22=0,0,COUNTIF('4_imgsummary'!E22:N22,"PORE")*100/M22)</f>
        <v>0</v>
      </c>
      <c r="BR22">
        <f>IF(M22=0,0,COUNTIF('4_imgsummary'!E22:N22,"PORM")*100/M22)</f>
        <v>0</v>
      </c>
      <c r="BS22">
        <f>IF(M22=0,0,COUNTIF('4_imgsummary'!E22:N22,"SER")*100/M22)</f>
        <v>0</v>
      </c>
      <c r="BT22">
        <f>IF(M22=0,0,COUNTIF('4_imgsummary'!E22:N22,"STY")*100/M22)</f>
        <v>0</v>
      </c>
      <c r="BU22">
        <f>IF(M22=0,0,COUNTIF('4_imgsummary'!E22:N22,"SYM")*100/M22)</f>
        <v>0</v>
      </c>
      <c r="BV22">
        <f>IF(M22=0,0,COUNTIF('4_imgsummary'!E22:N22,"TUBI")*100/M22)</f>
        <v>0</v>
      </c>
      <c r="BW22">
        <f>IF(M22=0,0,COUNTIF('4_imgsummary'!E22:N22,"TURB")*100/M22)</f>
        <v>0</v>
      </c>
      <c r="BX22">
        <f>IF(M22=0,0,COUNTIF('4_imgsummary'!E22:N22,"ZACRF")*100/M22)</f>
        <v>0</v>
      </c>
      <c r="BY22">
        <f>IF(M22=0,0,COUNTIF('4_imgsummary'!E22:N22,"ZAGARF")*100/M22)</f>
        <v>0</v>
      </c>
      <c r="BZ22">
        <f>IF(M22=0,0,COUNTIF('4_imgsummary'!E22:N22,"ZAGATF")*100/M22)</f>
        <v>0</v>
      </c>
      <c r="CA22">
        <f>IF(M22=0,0,COUNTIF('4_imgsummary'!E22:N22,"ZDENF")*100/M22)</f>
        <v>0</v>
      </c>
      <c r="CB22">
        <f>IF(M22=0,0,COUNTIF('4_imgsummary'!E22:N22,"ZEUPF")*100/M22)</f>
        <v>0</v>
      </c>
      <c r="CC22">
        <f>IF(M22=0,0,COUNTIF('4_imgsummary'!E22:N22,"ZFAVF")*100/M22)</f>
        <v>0</v>
      </c>
      <c r="CD22">
        <f>IF(M22=0,0,COUNTIF('4_imgsummary'!E22:N22,"ZCMRF")*100/M22)</f>
        <v>0</v>
      </c>
      <c r="CE22">
        <f>IF(M22=0,0,COUNTIF('4_imgsummary'!E22:N22,"ZMUSF")*100/M22)</f>
        <v>0</v>
      </c>
      <c r="CF22">
        <f>IF(M22=0,0,COUNTIF('4_imgsummary'!E22:N22,"ZNSC")*100/M22)</f>
        <v>0</v>
      </c>
      <c r="CG22">
        <f>IF(M22=0,0,COUNTIF('4_imgsummary'!E22:N22,"ZOC")*100/M22)</f>
        <v>0</v>
      </c>
      <c r="CH22">
        <f>IF(M22=0,0,COUNTIF('4_imgsummary'!E22:N22,"ZPOCF")*100/M22)</f>
        <v>0</v>
      </c>
      <c r="CI22">
        <f>IF(M22=0,0,COUNTIF('4_imgsummary'!E22:N22,"ZPORF")*100/M22)</f>
        <v>0</v>
      </c>
      <c r="CK22" s="26">
        <f>IF(M22=0,0,COUNTIF('4_imgsummary'!E22:N22,"AA")*100/M22)</f>
        <v>40</v>
      </c>
      <c r="CL22" s="26">
        <f>IF(M22=0,0,COUNTIF('4_imgsummary'!E22:N22,"CA")*100/M22)</f>
        <v>10</v>
      </c>
      <c r="CM22">
        <f>IF(M22=0,0,COUNTIF('4_imgsummary'!E22:N22,"DC")*100/M22)</f>
        <v>0</v>
      </c>
      <c r="CN22">
        <f>IF(M22=0,0,COUNTIF('4_imgsummary'!E22:N22,"DCA")*100/M22)</f>
        <v>0</v>
      </c>
      <c r="CO22">
        <f>IF(M22=0,0,COUNTIF('4_imgsummary'!E22:N22,"DIS")*100/M22)</f>
        <v>0</v>
      </c>
      <c r="CQ22">
        <f>IF(M22=0,0,COUNTIF('4_imgsummary'!E22:N22,"GRV")*100/M22)</f>
        <v>0</v>
      </c>
      <c r="CR22">
        <f>IF(M22=0,0,COUNTIF('4_imgsummary'!E22:N22,"R")*100/M22)</f>
        <v>0</v>
      </c>
      <c r="CS22">
        <f>IF(M22=0,0,COUNTIF('4_imgsummary'!E22:N22,"S")*100/M22)</f>
        <v>0</v>
      </c>
      <c r="CT22">
        <f>IF(M22=0,0,COUNTIF('4_imgsummary'!E22:N22,"RCK")*100/M22)</f>
        <v>0</v>
      </c>
      <c r="CU22">
        <f>IF(M22=0,0,COUNTIF('4_imgsummary'!E22:N22,"SI")*100/M22)</f>
        <v>0</v>
      </c>
      <c r="CW22">
        <f>IF(M22=0,0,COUNTIF('4_imgsummary'!E22:N22,"COD")*100/M22)</f>
        <v>0</v>
      </c>
      <c r="CX22">
        <f>IF(M22=0,0,COUNTIF('4_imgsummary'!E22:N22,"KAPP")*100/M22)</f>
        <v>0</v>
      </c>
      <c r="CY22">
        <f>IF(M22=0,0,COUNTIF('4_imgsummary'!E22:N22,"MA")*100/M22)</f>
        <v>0</v>
      </c>
      <c r="CZ22">
        <f>IF(M22=0,0,COUNTIF('4_imgsummary'!E22:N22,"SARG")*100/M22)</f>
        <v>0</v>
      </c>
      <c r="DB22">
        <f>IF(M22=0,0,COUNTIF('4_imgsummary'!E22:N22,"HA")*100/M22)</f>
        <v>0</v>
      </c>
      <c r="DD22">
        <f>IF(M22=0,0,COUNTIF('4_imgsummary'!E22:N22,"COTS")*100/M22)</f>
        <v>0</v>
      </c>
      <c r="DE22">
        <f>IF(M22=0,0,COUNTIF('4_imgsummary'!E22:N22,"COR")*100/M22)</f>
        <v>0</v>
      </c>
      <c r="DF22">
        <f>IF(M22=0,0,COUNTIF('4_imgsummary'!E22:N22,"DIA")*100/M22)</f>
        <v>0</v>
      </c>
      <c r="DG22">
        <f>IF(M22=0,0,COUNTIF('4_imgsummary'!E22:N22,"GORG")*100/M22)</f>
        <v>0</v>
      </c>
      <c r="DH22">
        <f>IF(M22=0,0,COUNTIF('4_imgsummary'!E22:N22,"ISIS")*100/M22)</f>
        <v>0</v>
      </c>
      <c r="DI22">
        <f>IF(M22=0,0,COUNTIF('4_imgsummary'!E22:N22,"OT")*100/M22)</f>
        <v>0</v>
      </c>
      <c r="DJ22">
        <f>IF(M22=0,0,COUNTIF('4_imgsummary'!E22:N22,"SG")*100/M22)</f>
        <v>0</v>
      </c>
      <c r="DK22">
        <f>IF(M22=0,0,COUNTIF('4_imgsummary'!E22:N22,"SC")*100/M22)</f>
        <v>0</v>
      </c>
      <c r="DL22" s="26">
        <f>IF(M22=0,0,COUNTIF('4_imgsummary'!E22:N22,"SP")*100/M22)</f>
        <v>10</v>
      </c>
      <c r="DM22">
        <f>IF(M22=0,0,COUNTIF('4_imgsummary'!E22:N22,"ZO")*100/M22)</f>
        <v>0</v>
      </c>
      <c r="DO22">
        <f>IF(M22=0,0,COUNTIF('4_imgsummary'!E22:N22,"TWB")*100/M22)</f>
        <v>0</v>
      </c>
      <c r="DQ22">
        <f>IF(M22=0,0,COUNTIF('4_imgsummary'!Y22:AH22,"COR")*100/M22)</f>
        <v>0</v>
      </c>
      <c r="DR22">
        <f>IF(M22=0,0,COUNTIF('4_imgsummary'!Y22:AH22,"COTS")*100/M22)</f>
        <v>0</v>
      </c>
      <c r="DS22">
        <f>IF(M22=0,0,COUNTIF('4_imgsummary'!Y22:AH22,"DIA")*100/M22)</f>
        <v>0</v>
      </c>
      <c r="DT22">
        <f>IF(M22=0,0,COUNTIF('4_imgsummary'!Y22:AH22,"GORG")*100/M22)</f>
        <v>0</v>
      </c>
      <c r="DU22">
        <f>IF(M22=0,0,COUNTIF('4_imgsummary'!Y22:AH22,"ISIS")*100/M22)</f>
        <v>0</v>
      </c>
      <c r="DV22">
        <f>IF(M22=0,0,COUNTIF('4_imgsummary'!Y22:AH22,"DIS")*100/M22)</f>
        <v>0</v>
      </c>
      <c r="DW22">
        <f>IF(M22=0,0,COUNTIF('4_imgsummary'!Y22:AH22,"BLEC")*100/M22)</f>
        <v>0</v>
      </c>
      <c r="DX22">
        <f>IF(M22=0,0,COUNTIF('4_imgsummary'!Y22:AH22,"COD")*100/M22)</f>
        <v>0</v>
      </c>
      <c r="DY22">
        <f>IF(M22=0,0,COUNTIF('4_imgsummary'!Y22:AH22,"KAPP")*100/M22)</f>
        <v>0</v>
      </c>
      <c r="DZ22">
        <f>IF(M22=0,0,COUNTIF('4_imgsummary'!Y22:AH22,"SARG")*100/M22)</f>
        <v>0</v>
      </c>
      <c r="EA22">
        <f>IF(M22=0,0,COUNTIF('4_imgsummary'!Y22:AH22,"ZACRF")*100/M22)</f>
        <v>0</v>
      </c>
      <c r="EB22">
        <f>IF(M22=0,0,COUNTIF('4_imgsummary'!Y22:AH22,"ZAGARF")*100/M22)</f>
        <v>0</v>
      </c>
      <c r="EC22">
        <f>IF(M22=0,0,COUNTIF('4_imgsummary'!Y22:AH22,"ZAGATF")*100/M22)</f>
        <v>0</v>
      </c>
      <c r="ED22">
        <f>IF(M22=0,0,COUNTIF('4_imgsummary'!Y22:AH22,"ZCMRF")*100/M22)</f>
        <v>0</v>
      </c>
      <c r="EE22">
        <f>IF(M22=0,0,COUNTIF('4_imgsummary'!Y22:AH22,"ZDENF")*100/M22)</f>
        <v>0</v>
      </c>
      <c r="EF22">
        <f>IF(M22=0,0,COUNTIF('4_imgsummary'!Y22:AH22,"ZEUPF")*100/M22)</f>
        <v>0</v>
      </c>
      <c r="EG22">
        <f>IF(M22=0,0,COUNTIF('4_imgsummary'!Y22:AH22,"ZFAVF")*100/M22)</f>
        <v>0</v>
      </c>
      <c r="EH22">
        <f>IF(M22=0,0,COUNTIF('4_imgsummary'!Y22:AH22,"ZMUSF")*100/M22)</f>
        <v>0</v>
      </c>
      <c r="EI22">
        <f>IF(M22=0,0,COUNTIF('4_imgsummary'!Y22:AH22,"ZNSC")*100/M22)</f>
        <v>0</v>
      </c>
      <c r="EJ22">
        <f>IF(M22=0,0,COUNTIF('4_imgsummary'!Y22:AH22,"ZOC")*100/M22)</f>
        <v>0</v>
      </c>
      <c r="EK22">
        <f>IF(M22=0,0,COUNTIF('4_imgsummary'!Y22:AH22,"ZPOCF")*100/M22)</f>
        <v>0</v>
      </c>
      <c r="EL22">
        <f>IF(M22=0,0,COUNTIF('4_imgsummary'!Y22:AH22,"ZPORF")*100/M22)</f>
        <v>0</v>
      </c>
    </row>
    <row r="23" spans="1:142" x14ac:dyDescent="0.35">
      <c r="A23">
        <v>21</v>
      </c>
      <c r="B23" t="s">
        <v>103</v>
      </c>
      <c r="F23" s="26">
        <f>IF(M23=0,0,COUNTIF('4_imgsummary'!O23:X23,"HC")*100/M23)</f>
        <v>70</v>
      </c>
      <c r="G23" s="26">
        <f>IF(M23=0,0,COUNTIF('4_imgsummary'!O23:X23,"AA")*100/M23)</f>
        <v>30</v>
      </c>
      <c r="H23">
        <f>IF(M23=0,0,COUNTIF('4_imgsummary'!O23:X23,"AB")*100/M23)</f>
        <v>0</v>
      </c>
      <c r="I23">
        <f>IF(M23=0,0,COUNTIF('4_imgsummary'!O23:X23,"MA")*100/M23)</f>
        <v>0</v>
      </c>
      <c r="J23">
        <f>IF(M23=0,0,COUNTIF('4_imgsummary'!O23:X23,"HA")*100/M23)</f>
        <v>0</v>
      </c>
      <c r="K23">
        <f>IF(M23=0,0,COUNTIF('4_imgsummary'!O23:X23,"OB")*100/M23)</f>
        <v>0</v>
      </c>
      <c r="L23">
        <f>IF(M23=0,0,COUNTIF('4_imgsummary'!O23:X23,"TWB")*100/M23)</f>
        <v>0</v>
      </c>
      <c r="M23">
        <f>10-COUNTIF('4_imgsummary'!O23:X23,"TWS")</f>
        <v>10</v>
      </c>
      <c r="P23">
        <f>IF(M23=0,0,COUNTIF('4_imgsummary'!E23:N23,"ACAN")*100/M23)</f>
        <v>0</v>
      </c>
      <c r="Q23">
        <f>IF(M23=0,0,COUNTIF('4_imgsummary'!E23:N23,"ACB")*100/M23)</f>
        <v>0</v>
      </c>
      <c r="R23">
        <f>IF(M23=0,0,COUNTIF('4_imgsummary'!E23:N23,"ACC")*100/M23)</f>
        <v>0</v>
      </c>
      <c r="S23">
        <f>IF(M23=0,0,COUNTIF('4_imgsummary'!E23:N23,"ACD")*100/M23)</f>
        <v>0</v>
      </c>
      <c r="T23">
        <f>IF(M23=0,0,COUNTIF('4_imgsummary'!E23:N23,"ACH")*100/M23)</f>
        <v>0</v>
      </c>
      <c r="U23">
        <f>IF(M23=0,0,COUNTIF('4_imgsummary'!E23:N23,"ACT")*100/M23)</f>
        <v>0</v>
      </c>
      <c r="V23">
        <f>IF(M23=0,0,COUNTIF('4_imgsummary'!E23:N23,"ACR")*100/M23)</f>
        <v>0</v>
      </c>
      <c r="W23">
        <f>IF(M23=0,0,COUNTIF('4_imgsummary'!E23:N23,"AST")*100/M23)</f>
        <v>0</v>
      </c>
      <c r="X23">
        <f>IF(M23=0,0,COUNTIF('4_imgsummary'!E23:N23,"AF")*100/M23)</f>
        <v>0</v>
      </c>
      <c r="Y23">
        <f>IF(M23=0,0,COUNTIF('4_imgsummary'!E23:N23,"BLEC")*100/M23)</f>
        <v>0</v>
      </c>
      <c r="Z23">
        <f>IF(M23=0,0,COUNTIF('4_imgsummary'!E23:N23,"CAU")*100/M23)</f>
        <v>0</v>
      </c>
      <c r="AA23">
        <f>IF(M23=0,0,COUNTIF('4_imgsummary'!E23:N23,"COE")*100/M23)</f>
        <v>0</v>
      </c>
      <c r="AB23">
        <f>IF(M23=0,0,COUNTIF('4_imgsummary'!E23:N23,"COS")*100/M23)</f>
        <v>0</v>
      </c>
      <c r="AC23">
        <f>IF(M23=0,0,COUNTIF('4_imgsummary'!E23:N23,"CYP")*100/M23)</f>
        <v>0</v>
      </c>
      <c r="AD23">
        <f>IF(M23=0,0,COUNTIF('4_imgsummary'!E23:N23,"DIP")*100/M23)</f>
        <v>0</v>
      </c>
      <c r="AE23">
        <f>IF(M23=0,0,COUNTIF('4_imgsummary'!E23:N23,"ECHY")*100/M23)</f>
        <v>0</v>
      </c>
      <c r="AF23">
        <f>IF(M23=0,0,COUNTIF('4_imgsummary'!E23:N23,"ECHI")*100/M23)</f>
        <v>0</v>
      </c>
      <c r="AG23">
        <f>IF(M23=0,0,COUNTIF('4_imgsummary'!E23:N23,"EUP")*100/M23)</f>
        <v>0</v>
      </c>
      <c r="AH23">
        <f>IF(M23=0,0,COUNTIF('4_imgsummary'!E23:N23,"FAV")*100/M23)</f>
        <v>0</v>
      </c>
      <c r="AI23">
        <f>IF(M23=0,0,COUNTIF('4_imgsummary'!E23:N23,"FVI")*100/M23)</f>
        <v>0</v>
      </c>
      <c r="AJ23">
        <f>IF(M23=0,0,COUNTIF('4_imgsummary'!E23:N23,"CMR")*100/M23)</f>
        <v>0</v>
      </c>
      <c r="AK23">
        <f>IF(M23=0,0,COUNTIF('4_imgsummary'!E23:N23,"GAL")*100/M23)</f>
        <v>0</v>
      </c>
      <c r="AL23">
        <f>IF(M23=0,0,COUNTIF('4_imgsummary'!E23:N23,"GONIA")*100/M23)</f>
        <v>0</v>
      </c>
      <c r="AM23">
        <f>IF(M23=0,0,COUNTIF('4_imgsummary'!E23:N23,"GONIO")*100/M23)</f>
        <v>0</v>
      </c>
      <c r="AN23">
        <f>IF(M23=0,0,COUNTIF('4_imgsummary'!E23:N23,"HEL")*100/M23)</f>
        <v>0</v>
      </c>
      <c r="AO23">
        <f>IF(M23=0,0,COUNTIF('4_imgsummary'!E23:N23,"HYD")*100/M23)</f>
        <v>0</v>
      </c>
      <c r="AP23" s="26">
        <f>IF(M23=0,0,COUNTIF('4_imgsummary'!E23:N23,"ISO")*100/M23)</f>
        <v>20</v>
      </c>
      <c r="AQ23">
        <f>IF(M23=0,0,COUNTIF('4_imgsummary'!E23:N23,"LEPA")*100/M23)</f>
        <v>0</v>
      </c>
      <c r="AR23">
        <f>IF(M23=0,0,COUNTIF('4_imgsummary'!E23:N23,"LEPS")*100/M23)</f>
        <v>0</v>
      </c>
      <c r="AS23">
        <f>IF(M23=0,0,COUNTIF('4_imgsummary'!E23:N23,"LOB")*100/M23)</f>
        <v>0</v>
      </c>
      <c r="AT23">
        <f>IF(M23=0,0,COUNTIF('4_imgsummary'!E23:N23,"MER")*100/M23)</f>
        <v>0</v>
      </c>
      <c r="AU23">
        <f>IF(M23=0,0,COUNTIF('4_imgsummary'!E23:N23,"MILL")*100/M23)</f>
        <v>0</v>
      </c>
      <c r="AV23">
        <f>IF(M23=0,0,COUNTIF('4_imgsummary'!E23:N23,"MON")*100/M23)</f>
        <v>0</v>
      </c>
      <c r="AW23">
        <f>IF(M23=0,0,COUNTIF('4_imgsummary'!E23:N23,"MONTB")*100/M23)</f>
        <v>0</v>
      </c>
      <c r="AX23">
        <f>IF(M23=0,0,COUNTIF('4_imgsummary'!E23:N23,"MONTE")*100/M23)</f>
        <v>0</v>
      </c>
      <c r="AY23">
        <f>IF(M23=0,0,COUNTIF('4_imgsummary'!E23:N23,"MONTF")*100/M23)</f>
        <v>0</v>
      </c>
      <c r="AZ23" s="26">
        <f>IF(M23=0,0,COUNTIF('4_imgsummary'!E23:N23,"MYC")*100/M23)</f>
        <v>10</v>
      </c>
      <c r="BA23">
        <f>IF(M23=0,0,COUNTIF('4_imgsummary'!E23:N23,"CB")*100/M23)</f>
        <v>0</v>
      </c>
      <c r="BB23">
        <f>IF(M23=0,0,COUNTIF('4_imgsummary'!E23:N23,"BUB")*100/M23)</f>
        <v>0</v>
      </c>
      <c r="BC23" s="26">
        <f>IF(M23=0,0,COUNTIF('4_imgsummary'!E23:N23,"CE")*100/M23)</f>
        <v>10</v>
      </c>
      <c r="BD23">
        <f>IF(M23=0,0,COUNTIF('4_imgsummary'!E23:N23,"CF")*100/M23)</f>
        <v>0</v>
      </c>
      <c r="BE23">
        <f>IF(M23=0,0,COUNTIF('4_imgsummary'!E23:N23,"FOT")*100/M23)</f>
        <v>0</v>
      </c>
      <c r="BF23" s="26">
        <f>IF(M23=0,0,COUNTIF('4_imgsummary'!E23:N23,"CM")*100/M23)</f>
        <v>10</v>
      </c>
      <c r="BG23">
        <f>IF(M23=0,0,COUNTIF('4_imgsummary'!E23:N23,"OULA")*100/M23)</f>
        <v>0</v>
      </c>
      <c r="BH23">
        <f>IF(M23=0,0,COUNTIF('4_imgsummary'!E23:N23,"OULO")*100/M23)</f>
        <v>0</v>
      </c>
      <c r="BI23">
        <f>IF(M23=0,0,COUNTIF('4_imgsummary'!E23:N23,"OXY")*100/M23)</f>
        <v>0</v>
      </c>
      <c r="BJ23">
        <f>IF(M23=0,0,COUNTIF('4_imgsummary'!E23:N23,"PACE")*100/M23)</f>
        <v>0</v>
      </c>
      <c r="BK23">
        <f>IF(M23=0,0,COUNTIF('4_imgsummary'!E23:N23,"PACF")*100/M23)</f>
        <v>0</v>
      </c>
      <c r="BL23">
        <f>IF(M23=0,0,COUNTIF('4_imgsummary'!E23:N23,"PAV")*100/M23)</f>
        <v>0</v>
      </c>
      <c r="BM23">
        <f>IF(M23=0,0,COUNTIF('4_imgsummary'!E23:N23,"PEC")*100/M23)</f>
        <v>0</v>
      </c>
      <c r="BN23">
        <f>IF(M23=0,0,COUNTIF('4_imgsummary'!E23:N23,"PLAT")*100/M23)</f>
        <v>0</v>
      </c>
      <c r="BO23">
        <f>IF(M23=0,0,COUNTIF('4_imgsummary'!E23:N23,"POC")*100/M23)</f>
        <v>0</v>
      </c>
      <c r="BP23" s="26">
        <f>IF(M23=0,0,COUNTIF('4_imgsummary'!E23:N23,"PORB")*100/M23)</f>
        <v>10</v>
      </c>
      <c r="BQ23">
        <f>IF(M23=0,0,COUNTIF('4_imgsummary'!E23:N23,"PORE")*100/M23)</f>
        <v>0</v>
      </c>
      <c r="BR23" s="26">
        <f>IF(M23=0,0,COUNTIF('4_imgsummary'!E23:N23,"PORM")*100/M23)</f>
        <v>10</v>
      </c>
      <c r="BS23">
        <f>IF(M23=0,0,COUNTIF('4_imgsummary'!E23:N23,"SER")*100/M23)</f>
        <v>0</v>
      </c>
      <c r="BT23">
        <f>IF(M23=0,0,COUNTIF('4_imgsummary'!E23:N23,"STY")*100/M23)</f>
        <v>0</v>
      </c>
      <c r="BU23">
        <f>IF(M23=0,0,COUNTIF('4_imgsummary'!E23:N23,"SYM")*100/M23)</f>
        <v>0</v>
      </c>
      <c r="BV23">
        <f>IF(M23=0,0,COUNTIF('4_imgsummary'!E23:N23,"TUBI")*100/M23)</f>
        <v>0</v>
      </c>
      <c r="BW23">
        <f>IF(M23=0,0,COUNTIF('4_imgsummary'!E23:N23,"TURB")*100/M23)</f>
        <v>0</v>
      </c>
      <c r="BX23">
        <f>IF(M23=0,0,COUNTIF('4_imgsummary'!E23:N23,"ZACRF")*100/M23)</f>
        <v>0</v>
      </c>
      <c r="BY23">
        <f>IF(M23=0,0,COUNTIF('4_imgsummary'!E23:N23,"ZAGARF")*100/M23)</f>
        <v>0</v>
      </c>
      <c r="BZ23">
        <f>IF(M23=0,0,COUNTIF('4_imgsummary'!E23:N23,"ZAGATF")*100/M23)</f>
        <v>0</v>
      </c>
      <c r="CA23">
        <f>IF(M23=0,0,COUNTIF('4_imgsummary'!E23:N23,"ZDENF")*100/M23)</f>
        <v>0</v>
      </c>
      <c r="CB23">
        <f>IF(M23=0,0,COUNTIF('4_imgsummary'!E23:N23,"ZEUPF")*100/M23)</f>
        <v>0</v>
      </c>
      <c r="CC23">
        <f>IF(M23=0,0,COUNTIF('4_imgsummary'!E23:N23,"ZFAVF")*100/M23)</f>
        <v>0</v>
      </c>
      <c r="CD23">
        <f>IF(M23=0,0,COUNTIF('4_imgsummary'!E23:N23,"ZCMRF")*100/M23)</f>
        <v>0</v>
      </c>
      <c r="CE23">
        <f>IF(M23=0,0,COUNTIF('4_imgsummary'!E23:N23,"ZMUSF")*100/M23)</f>
        <v>0</v>
      </c>
      <c r="CF23">
        <f>IF(M23=0,0,COUNTIF('4_imgsummary'!E23:N23,"ZNSC")*100/M23)</f>
        <v>0</v>
      </c>
      <c r="CG23">
        <f>IF(M23=0,0,COUNTIF('4_imgsummary'!E23:N23,"ZOC")*100/M23)</f>
        <v>0</v>
      </c>
      <c r="CH23">
        <f>IF(M23=0,0,COUNTIF('4_imgsummary'!E23:N23,"ZPOCF")*100/M23)</f>
        <v>0</v>
      </c>
      <c r="CI23">
        <f>IF(M23=0,0,COUNTIF('4_imgsummary'!E23:N23,"ZPORF")*100/M23)</f>
        <v>0</v>
      </c>
      <c r="CK23" s="26">
        <f>IF(M23=0,0,COUNTIF('4_imgsummary'!E23:N23,"AA")*100/M23)</f>
        <v>30</v>
      </c>
      <c r="CL23">
        <f>IF(M23=0,0,COUNTIF('4_imgsummary'!E23:N23,"CA")*100/M23)</f>
        <v>0</v>
      </c>
      <c r="CM23">
        <f>IF(M23=0,0,COUNTIF('4_imgsummary'!E23:N23,"DC")*100/M23)</f>
        <v>0</v>
      </c>
      <c r="CN23">
        <f>IF(M23=0,0,COUNTIF('4_imgsummary'!E23:N23,"DCA")*100/M23)</f>
        <v>0</v>
      </c>
      <c r="CO23">
        <f>IF(M23=0,0,COUNTIF('4_imgsummary'!E23:N23,"DIS")*100/M23)</f>
        <v>0</v>
      </c>
      <c r="CQ23">
        <f>IF(M23=0,0,COUNTIF('4_imgsummary'!E23:N23,"GRV")*100/M23)</f>
        <v>0</v>
      </c>
      <c r="CR23">
        <f>IF(M23=0,0,COUNTIF('4_imgsummary'!E23:N23,"R")*100/M23)</f>
        <v>0</v>
      </c>
      <c r="CS23">
        <f>IF(M23=0,0,COUNTIF('4_imgsummary'!E23:N23,"S")*100/M23)</f>
        <v>0</v>
      </c>
      <c r="CT23">
        <f>IF(M23=0,0,COUNTIF('4_imgsummary'!E23:N23,"RCK")*100/M23)</f>
        <v>0</v>
      </c>
      <c r="CU23">
        <f>IF(M23=0,0,COUNTIF('4_imgsummary'!E23:N23,"SI")*100/M23)</f>
        <v>0</v>
      </c>
      <c r="CW23">
        <f>IF(M23=0,0,COUNTIF('4_imgsummary'!E23:N23,"COD")*100/M23)</f>
        <v>0</v>
      </c>
      <c r="CX23">
        <f>IF(M23=0,0,COUNTIF('4_imgsummary'!E23:N23,"KAPP")*100/M23)</f>
        <v>0</v>
      </c>
      <c r="CY23">
        <f>IF(M23=0,0,COUNTIF('4_imgsummary'!E23:N23,"MA")*100/M23)</f>
        <v>0</v>
      </c>
      <c r="CZ23">
        <f>IF(M23=0,0,COUNTIF('4_imgsummary'!E23:N23,"SARG")*100/M23)</f>
        <v>0</v>
      </c>
      <c r="DB23">
        <f>IF(M23=0,0,COUNTIF('4_imgsummary'!E23:N23,"HA")*100/M23)</f>
        <v>0</v>
      </c>
      <c r="DD23">
        <f>IF(M23=0,0,COUNTIF('4_imgsummary'!E23:N23,"COTS")*100/M23)</f>
        <v>0</v>
      </c>
      <c r="DE23">
        <f>IF(M23=0,0,COUNTIF('4_imgsummary'!E23:N23,"COR")*100/M23)</f>
        <v>0</v>
      </c>
      <c r="DF23">
        <f>IF(M23=0,0,COUNTIF('4_imgsummary'!E23:N23,"DIA")*100/M23)</f>
        <v>0</v>
      </c>
      <c r="DG23">
        <f>IF(M23=0,0,COUNTIF('4_imgsummary'!E23:N23,"GORG")*100/M23)</f>
        <v>0</v>
      </c>
      <c r="DH23">
        <f>IF(M23=0,0,COUNTIF('4_imgsummary'!E23:N23,"ISIS")*100/M23)</f>
        <v>0</v>
      </c>
      <c r="DI23">
        <f>IF(M23=0,0,COUNTIF('4_imgsummary'!E23:N23,"OT")*100/M23)</f>
        <v>0</v>
      </c>
      <c r="DJ23">
        <f>IF(M23=0,0,COUNTIF('4_imgsummary'!E23:N23,"SG")*100/M23)</f>
        <v>0</v>
      </c>
      <c r="DK23">
        <f>IF(M23=0,0,COUNTIF('4_imgsummary'!E23:N23,"SC")*100/M23)</f>
        <v>0</v>
      </c>
      <c r="DL23">
        <f>IF(M23=0,0,COUNTIF('4_imgsummary'!E23:N23,"SP")*100/M23)</f>
        <v>0</v>
      </c>
      <c r="DM23">
        <f>IF(M23=0,0,COUNTIF('4_imgsummary'!E23:N23,"ZO")*100/M23)</f>
        <v>0</v>
      </c>
      <c r="DO23">
        <f>IF(M23=0,0,COUNTIF('4_imgsummary'!E23:N23,"TWB")*100/M23)</f>
        <v>0</v>
      </c>
      <c r="DQ23">
        <f>IF(M23=0,0,COUNTIF('4_imgsummary'!Y23:AH23,"COR")*100/M23)</f>
        <v>0</v>
      </c>
      <c r="DR23">
        <f>IF(M23=0,0,COUNTIF('4_imgsummary'!Y23:AH23,"COTS")*100/M23)</f>
        <v>0</v>
      </c>
      <c r="DS23">
        <f>IF(M23=0,0,COUNTIF('4_imgsummary'!Y23:AH23,"DIA")*100/M23)</f>
        <v>0</v>
      </c>
      <c r="DT23">
        <f>IF(M23=0,0,COUNTIF('4_imgsummary'!Y23:AH23,"GORG")*100/M23)</f>
        <v>0</v>
      </c>
      <c r="DU23">
        <f>IF(M23=0,0,COUNTIF('4_imgsummary'!Y23:AH23,"ISIS")*100/M23)</f>
        <v>0</v>
      </c>
      <c r="DV23">
        <f>IF(M23=0,0,COUNTIF('4_imgsummary'!Y23:AH23,"DIS")*100/M23)</f>
        <v>0</v>
      </c>
      <c r="DW23">
        <f>IF(M23=0,0,COUNTIF('4_imgsummary'!Y23:AH23,"BLEC")*100/M23)</f>
        <v>0</v>
      </c>
      <c r="DX23">
        <f>IF(M23=0,0,COUNTIF('4_imgsummary'!Y23:AH23,"COD")*100/M23)</f>
        <v>0</v>
      </c>
      <c r="DY23">
        <f>IF(M23=0,0,COUNTIF('4_imgsummary'!Y23:AH23,"KAPP")*100/M23)</f>
        <v>0</v>
      </c>
      <c r="DZ23">
        <f>IF(M23=0,0,COUNTIF('4_imgsummary'!Y23:AH23,"SARG")*100/M23)</f>
        <v>0</v>
      </c>
      <c r="EA23">
        <f>IF(M23=0,0,COUNTIF('4_imgsummary'!Y23:AH23,"ZACRF")*100/M23)</f>
        <v>0</v>
      </c>
      <c r="EB23">
        <f>IF(M23=0,0,COUNTIF('4_imgsummary'!Y23:AH23,"ZAGARF")*100/M23)</f>
        <v>0</v>
      </c>
      <c r="EC23">
        <f>IF(M23=0,0,COUNTIF('4_imgsummary'!Y23:AH23,"ZAGATF")*100/M23)</f>
        <v>0</v>
      </c>
      <c r="ED23">
        <f>IF(M23=0,0,COUNTIF('4_imgsummary'!Y23:AH23,"ZCMRF")*100/M23)</f>
        <v>0</v>
      </c>
      <c r="EE23">
        <f>IF(M23=0,0,COUNTIF('4_imgsummary'!Y23:AH23,"ZDENF")*100/M23)</f>
        <v>0</v>
      </c>
      <c r="EF23">
        <f>IF(M23=0,0,COUNTIF('4_imgsummary'!Y23:AH23,"ZEUPF")*100/M23)</f>
        <v>0</v>
      </c>
      <c r="EG23">
        <f>IF(M23=0,0,COUNTIF('4_imgsummary'!Y23:AH23,"ZFAVF")*100/M23)</f>
        <v>0</v>
      </c>
      <c r="EH23">
        <f>IF(M23=0,0,COUNTIF('4_imgsummary'!Y23:AH23,"ZMUSF")*100/M23)</f>
        <v>0</v>
      </c>
      <c r="EI23">
        <f>IF(M23=0,0,COUNTIF('4_imgsummary'!Y23:AH23,"ZNSC")*100/M23)</f>
        <v>0</v>
      </c>
      <c r="EJ23">
        <f>IF(M23=0,0,COUNTIF('4_imgsummary'!Y23:AH23,"ZOC")*100/M23)</f>
        <v>0</v>
      </c>
      <c r="EK23">
        <f>IF(M23=0,0,COUNTIF('4_imgsummary'!Y23:AH23,"ZPOCF")*100/M23)</f>
        <v>0</v>
      </c>
      <c r="EL23">
        <f>IF(M23=0,0,COUNTIF('4_imgsummary'!Y23:AH23,"ZPORF")*100/M23)</f>
        <v>0</v>
      </c>
    </row>
    <row r="24" spans="1:142" x14ac:dyDescent="0.35">
      <c r="A24">
        <v>22</v>
      </c>
      <c r="B24" t="s">
        <v>104</v>
      </c>
      <c r="F24" s="26">
        <f>IF(M24=0,0,COUNTIF('4_imgsummary'!O24:X24,"HC")*100/M24)</f>
        <v>50</v>
      </c>
      <c r="G24" s="26">
        <f>IF(M24=0,0,COUNTIF('4_imgsummary'!O24:X24,"AA")*100/M24)</f>
        <v>10</v>
      </c>
      <c r="H24" s="26">
        <f>IF(M24=0,0,COUNTIF('4_imgsummary'!O24:X24,"AB")*100/M24)</f>
        <v>10</v>
      </c>
      <c r="I24">
        <f>IF(M24=0,0,COUNTIF('4_imgsummary'!O24:X24,"MA")*100/M24)</f>
        <v>0</v>
      </c>
      <c r="J24">
        <f>IF(M24=0,0,COUNTIF('4_imgsummary'!O24:X24,"HA")*100/M24)</f>
        <v>0</v>
      </c>
      <c r="K24" s="26">
        <f>IF(M24=0,0,COUNTIF('4_imgsummary'!O24:X24,"OB")*100/M24)</f>
        <v>30</v>
      </c>
      <c r="L24">
        <f>IF(M24=0,0,COUNTIF('4_imgsummary'!O24:X24,"TWB")*100/M24)</f>
        <v>0</v>
      </c>
      <c r="M24">
        <f>10-COUNTIF('4_imgsummary'!O24:X24,"TWS")</f>
        <v>10</v>
      </c>
      <c r="P24">
        <f>IF(M24=0,0,COUNTIF('4_imgsummary'!E24:N24,"ACAN")*100/M24)</f>
        <v>0</v>
      </c>
      <c r="Q24">
        <f>IF(M24=0,0,COUNTIF('4_imgsummary'!E24:N24,"ACB")*100/M24)</f>
        <v>0</v>
      </c>
      <c r="R24">
        <f>IF(M24=0,0,COUNTIF('4_imgsummary'!E24:N24,"ACC")*100/M24)</f>
        <v>0</v>
      </c>
      <c r="S24">
        <f>IF(M24=0,0,COUNTIF('4_imgsummary'!E24:N24,"ACD")*100/M24)</f>
        <v>0</v>
      </c>
      <c r="T24">
        <f>IF(M24=0,0,COUNTIF('4_imgsummary'!E24:N24,"ACH")*100/M24)</f>
        <v>0</v>
      </c>
      <c r="U24">
        <f>IF(M24=0,0,COUNTIF('4_imgsummary'!E24:N24,"ACT")*100/M24)</f>
        <v>0</v>
      </c>
      <c r="V24">
        <f>IF(M24=0,0,COUNTIF('4_imgsummary'!E24:N24,"ACR")*100/M24)</f>
        <v>0</v>
      </c>
      <c r="W24">
        <f>IF(M24=0,0,COUNTIF('4_imgsummary'!E24:N24,"AST")*100/M24)</f>
        <v>0</v>
      </c>
      <c r="X24">
        <f>IF(M24=0,0,COUNTIF('4_imgsummary'!E24:N24,"AF")*100/M24)</f>
        <v>0</v>
      </c>
      <c r="Y24">
        <f>IF(M24=0,0,COUNTIF('4_imgsummary'!E24:N24,"BLEC")*100/M24)</f>
        <v>0</v>
      </c>
      <c r="Z24">
        <f>IF(M24=0,0,COUNTIF('4_imgsummary'!E24:N24,"CAU")*100/M24)</f>
        <v>0</v>
      </c>
      <c r="AA24">
        <f>IF(M24=0,0,COUNTIF('4_imgsummary'!E24:N24,"COE")*100/M24)</f>
        <v>0</v>
      </c>
      <c r="AB24">
        <f>IF(M24=0,0,COUNTIF('4_imgsummary'!E24:N24,"COS")*100/M24)</f>
        <v>0</v>
      </c>
      <c r="AC24">
        <f>IF(M24=0,0,COUNTIF('4_imgsummary'!E24:N24,"CYP")*100/M24)</f>
        <v>0</v>
      </c>
      <c r="AD24">
        <f>IF(M24=0,0,COUNTIF('4_imgsummary'!E24:N24,"DIP")*100/M24)</f>
        <v>0</v>
      </c>
      <c r="AE24">
        <f>IF(M24=0,0,COUNTIF('4_imgsummary'!E24:N24,"ECHY")*100/M24)</f>
        <v>0</v>
      </c>
      <c r="AF24">
        <f>IF(M24=0,0,COUNTIF('4_imgsummary'!E24:N24,"ECHI")*100/M24)</f>
        <v>0</v>
      </c>
      <c r="AG24">
        <f>IF(M24=0,0,COUNTIF('4_imgsummary'!E24:N24,"EUP")*100/M24)</f>
        <v>0</v>
      </c>
      <c r="AH24">
        <f>IF(M24=0,0,COUNTIF('4_imgsummary'!E24:N24,"FAV")*100/M24)</f>
        <v>0</v>
      </c>
      <c r="AI24">
        <f>IF(M24=0,0,COUNTIF('4_imgsummary'!E24:N24,"FVI")*100/M24)</f>
        <v>0</v>
      </c>
      <c r="AJ24" s="26">
        <f>IF(M24=0,0,COUNTIF('4_imgsummary'!E24:N24,"CMR")*100/M24)</f>
        <v>10</v>
      </c>
      <c r="AK24">
        <f>IF(M24=0,0,COUNTIF('4_imgsummary'!E24:N24,"GAL")*100/M24)</f>
        <v>0</v>
      </c>
      <c r="AL24">
        <f>IF(M24=0,0,COUNTIF('4_imgsummary'!E24:N24,"GONIA")*100/M24)</f>
        <v>0</v>
      </c>
      <c r="AM24">
        <f>IF(M24=0,0,COUNTIF('4_imgsummary'!E24:N24,"GONIO")*100/M24)</f>
        <v>0</v>
      </c>
      <c r="AN24">
        <f>IF(M24=0,0,COUNTIF('4_imgsummary'!E24:N24,"HEL")*100/M24)</f>
        <v>0</v>
      </c>
      <c r="AO24">
        <f>IF(M24=0,0,COUNTIF('4_imgsummary'!E24:N24,"HYD")*100/M24)</f>
        <v>0</v>
      </c>
      <c r="AP24" s="26">
        <f>IF(M24=0,0,COUNTIF('4_imgsummary'!E24:N24,"ISO")*100/M24)</f>
        <v>10</v>
      </c>
      <c r="AQ24">
        <f>IF(M24=0,0,COUNTIF('4_imgsummary'!E24:N24,"LEPA")*100/M24)</f>
        <v>0</v>
      </c>
      <c r="AR24">
        <f>IF(M24=0,0,COUNTIF('4_imgsummary'!E24:N24,"LEPS")*100/M24)</f>
        <v>0</v>
      </c>
      <c r="AS24">
        <f>IF(M24=0,0,COUNTIF('4_imgsummary'!E24:N24,"LOB")*100/M24)</f>
        <v>0</v>
      </c>
      <c r="AT24">
        <f>IF(M24=0,0,COUNTIF('4_imgsummary'!E24:N24,"MER")*100/M24)</f>
        <v>0</v>
      </c>
      <c r="AU24">
        <f>IF(M24=0,0,COUNTIF('4_imgsummary'!E24:N24,"MILL")*100/M24)</f>
        <v>0</v>
      </c>
      <c r="AV24">
        <f>IF(M24=0,0,COUNTIF('4_imgsummary'!E24:N24,"MON")*100/M24)</f>
        <v>0</v>
      </c>
      <c r="AW24">
        <f>IF(M24=0,0,COUNTIF('4_imgsummary'!E24:N24,"MONTB")*100/M24)</f>
        <v>0</v>
      </c>
      <c r="AX24">
        <f>IF(M24=0,0,COUNTIF('4_imgsummary'!E24:N24,"MONTE")*100/M24)</f>
        <v>0</v>
      </c>
      <c r="AY24">
        <f>IF(M24=0,0,COUNTIF('4_imgsummary'!E24:N24,"MONTF")*100/M24)</f>
        <v>0</v>
      </c>
      <c r="AZ24">
        <f>IF(M24=0,0,COUNTIF('4_imgsummary'!E24:N24,"MYC")*100/M24)</f>
        <v>0</v>
      </c>
      <c r="BA24">
        <f>IF(M24=0,0,COUNTIF('4_imgsummary'!E24:N24,"CB")*100/M24)</f>
        <v>0</v>
      </c>
      <c r="BB24" s="26">
        <f>IF(M24=0,0,COUNTIF('4_imgsummary'!E24:N24,"BUB")*100/M24)</f>
        <v>20</v>
      </c>
      <c r="BC24">
        <f>IF(M24=0,0,COUNTIF('4_imgsummary'!E24:N24,"CE")*100/M24)</f>
        <v>0</v>
      </c>
      <c r="BD24">
        <f>IF(M24=0,0,COUNTIF('4_imgsummary'!E24:N24,"CF")*100/M24)</f>
        <v>0</v>
      </c>
      <c r="BE24">
        <f>IF(M24=0,0,COUNTIF('4_imgsummary'!E24:N24,"FOT")*100/M24)</f>
        <v>0</v>
      </c>
      <c r="BF24">
        <f>IF(M24=0,0,COUNTIF('4_imgsummary'!E24:N24,"CM")*100/M24)</f>
        <v>0</v>
      </c>
      <c r="BG24">
        <f>IF(M24=0,0,COUNTIF('4_imgsummary'!E24:N24,"OULA")*100/M24)</f>
        <v>0</v>
      </c>
      <c r="BH24">
        <f>IF(M24=0,0,COUNTIF('4_imgsummary'!E24:N24,"OULO")*100/M24)</f>
        <v>0</v>
      </c>
      <c r="BI24">
        <f>IF(M24=0,0,COUNTIF('4_imgsummary'!E24:N24,"OXY")*100/M24)</f>
        <v>0</v>
      </c>
      <c r="BJ24" s="26">
        <f>IF(M24=0,0,COUNTIF('4_imgsummary'!E24:N24,"PACE")*100/M24)</f>
        <v>10</v>
      </c>
      <c r="BK24">
        <f>IF(M24=0,0,COUNTIF('4_imgsummary'!E24:N24,"PACF")*100/M24)</f>
        <v>0</v>
      </c>
      <c r="BL24">
        <f>IF(M24=0,0,COUNTIF('4_imgsummary'!E24:N24,"PAV")*100/M24)</f>
        <v>0</v>
      </c>
      <c r="BM24">
        <f>IF(M24=0,0,COUNTIF('4_imgsummary'!E24:N24,"PEC")*100/M24)</f>
        <v>0</v>
      </c>
      <c r="BN24">
        <f>IF(M24=0,0,COUNTIF('4_imgsummary'!E24:N24,"PLAT")*100/M24)</f>
        <v>0</v>
      </c>
      <c r="BO24">
        <f>IF(M24=0,0,COUNTIF('4_imgsummary'!E24:N24,"POC")*100/M24)</f>
        <v>0</v>
      </c>
      <c r="BP24">
        <f>IF(M24=0,0,COUNTIF('4_imgsummary'!E24:N24,"PORB")*100/M24)</f>
        <v>0</v>
      </c>
      <c r="BQ24">
        <f>IF(M24=0,0,COUNTIF('4_imgsummary'!E24:N24,"PORE")*100/M24)</f>
        <v>0</v>
      </c>
      <c r="BR24">
        <f>IF(M24=0,0,COUNTIF('4_imgsummary'!E24:N24,"PORM")*100/M24)</f>
        <v>0</v>
      </c>
      <c r="BS24">
        <f>IF(M24=0,0,COUNTIF('4_imgsummary'!E24:N24,"SER")*100/M24)</f>
        <v>0</v>
      </c>
      <c r="BT24">
        <f>IF(M24=0,0,COUNTIF('4_imgsummary'!E24:N24,"STY")*100/M24)</f>
        <v>0</v>
      </c>
      <c r="BU24">
        <f>IF(M24=0,0,COUNTIF('4_imgsummary'!E24:N24,"SYM")*100/M24)</f>
        <v>0</v>
      </c>
      <c r="BV24">
        <f>IF(M24=0,0,COUNTIF('4_imgsummary'!E24:N24,"TUBI")*100/M24)</f>
        <v>0</v>
      </c>
      <c r="BW24">
        <f>IF(M24=0,0,COUNTIF('4_imgsummary'!E24:N24,"TURB")*100/M24)</f>
        <v>0</v>
      </c>
      <c r="BX24">
        <f>IF(M24=0,0,COUNTIF('4_imgsummary'!E24:N24,"ZACRF")*100/M24)</f>
        <v>0</v>
      </c>
      <c r="BY24">
        <f>IF(M24=0,0,COUNTIF('4_imgsummary'!E24:N24,"ZAGARF")*100/M24)</f>
        <v>0</v>
      </c>
      <c r="BZ24">
        <f>IF(M24=0,0,COUNTIF('4_imgsummary'!E24:N24,"ZAGATF")*100/M24)</f>
        <v>0</v>
      </c>
      <c r="CA24">
        <f>IF(M24=0,0,COUNTIF('4_imgsummary'!E24:N24,"ZDENF")*100/M24)</f>
        <v>0</v>
      </c>
      <c r="CB24">
        <f>IF(M24=0,0,COUNTIF('4_imgsummary'!E24:N24,"ZEUPF")*100/M24)</f>
        <v>0</v>
      </c>
      <c r="CC24">
        <f>IF(M24=0,0,COUNTIF('4_imgsummary'!E24:N24,"ZFAVF")*100/M24)</f>
        <v>0</v>
      </c>
      <c r="CD24">
        <f>IF(M24=0,0,COUNTIF('4_imgsummary'!E24:N24,"ZCMRF")*100/M24)</f>
        <v>0</v>
      </c>
      <c r="CE24">
        <f>IF(M24=0,0,COUNTIF('4_imgsummary'!E24:N24,"ZMUSF")*100/M24)</f>
        <v>0</v>
      </c>
      <c r="CF24">
        <f>IF(M24=0,0,COUNTIF('4_imgsummary'!E24:N24,"ZNSC")*100/M24)</f>
        <v>0</v>
      </c>
      <c r="CG24">
        <f>IF(M24=0,0,COUNTIF('4_imgsummary'!E24:N24,"ZOC")*100/M24)</f>
        <v>0</v>
      </c>
      <c r="CH24">
        <f>IF(M24=0,0,COUNTIF('4_imgsummary'!E24:N24,"ZPOCF")*100/M24)</f>
        <v>0</v>
      </c>
      <c r="CI24">
        <f>IF(M24=0,0,COUNTIF('4_imgsummary'!E24:N24,"ZPORF")*100/M24)</f>
        <v>0</v>
      </c>
      <c r="CK24" s="26">
        <f>IF(M24=0,0,COUNTIF('4_imgsummary'!E24:N24,"AA")*100/M24)</f>
        <v>10</v>
      </c>
      <c r="CL24">
        <f>IF(M24=0,0,COUNTIF('4_imgsummary'!E24:N24,"CA")*100/M24)</f>
        <v>0</v>
      </c>
      <c r="CM24">
        <f>IF(M24=0,0,COUNTIF('4_imgsummary'!E24:N24,"DC")*100/M24)</f>
        <v>0</v>
      </c>
      <c r="CN24">
        <f>IF(M24=0,0,COUNTIF('4_imgsummary'!E24:N24,"DCA")*100/M24)</f>
        <v>0</v>
      </c>
      <c r="CO24">
        <f>IF(M24=0,0,COUNTIF('4_imgsummary'!E24:N24,"DIS")*100/M24)</f>
        <v>0</v>
      </c>
      <c r="CQ24">
        <f>IF(M24=0,0,COUNTIF('4_imgsummary'!E24:N24,"GRV")*100/M24)</f>
        <v>0</v>
      </c>
      <c r="CR24" s="26">
        <f>IF(M24=0,0,COUNTIF('4_imgsummary'!E24:N24,"R")*100/M24)</f>
        <v>10</v>
      </c>
      <c r="CS24">
        <f>IF(M24=0,0,COUNTIF('4_imgsummary'!E24:N24,"S")*100/M24)</f>
        <v>0</v>
      </c>
      <c r="CT24">
        <f>IF(M24=0,0,COUNTIF('4_imgsummary'!E24:N24,"RCK")*100/M24)</f>
        <v>0</v>
      </c>
      <c r="CU24">
        <f>IF(M24=0,0,COUNTIF('4_imgsummary'!E24:N24,"SI")*100/M24)</f>
        <v>0</v>
      </c>
      <c r="CW24">
        <f>IF(M24=0,0,COUNTIF('4_imgsummary'!E24:N24,"COD")*100/M24)</f>
        <v>0</v>
      </c>
      <c r="CX24">
        <f>IF(M24=0,0,COUNTIF('4_imgsummary'!E24:N24,"KAPP")*100/M24)</f>
        <v>0</v>
      </c>
      <c r="CY24">
        <f>IF(M24=0,0,COUNTIF('4_imgsummary'!E24:N24,"MA")*100/M24)</f>
        <v>0</v>
      </c>
      <c r="CZ24">
        <f>IF(M24=0,0,COUNTIF('4_imgsummary'!E24:N24,"SARG")*100/M24)</f>
        <v>0</v>
      </c>
      <c r="DB24">
        <f>IF(M24=0,0,COUNTIF('4_imgsummary'!E24:N24,"HA")*100/M24)</f>
        <v>0</v>
      </c>
      <c r="DD24">
        <f>IF(M24=0,0,COUNTIF('4_imgsummary'!E24:N24,"COTS")*100/M24)</f>
        <v>0</v>
      </c>
      <c r="DE24">
        <f>IF(M24=0,0,COUNTIF('4_imgsummary'!E24:N24,"COR")*100/M24)</f>
        <v>0</v>
      </c>
      <c r="DF24">
        <f>IF(M24=0,0,COUNTIF('4_imgsummary'!E24:N24,"DIA")*100/M24)</f>
        <v>0</v>
      </c>
      <c r="DG24">
        <f>IF(M24=0,0,COUNTIF('4_imgsummary'!E24:N24,"GORG")*100/M24)</f>
        <v>0</v>
      </c>
      <c r="DH24">
        <f>IF(M24=0,0,COUNTIF('4_imgsummary'!E24:N24,"ISIS")*100/M24)</f>
        <v>0</v>
      </c>
      <c r="DI24">
        <f>IF(M24=0,0,COUNTIF('4_imgsummary'!E24:N24,"OT")*100/M24)</f>
        <v>0</v>
      </c>
      <c r="DJ24">
        <f>IF(M24=0,0,COUNTIF('4_imgsummary'!E24:N24,"SG")*100/M24)</f>
        <v>0</v>
      </c>
      <c r="DK24">
        <f>IF(M24=0,0,COUNTIF('4_imgsummary'!E24:N24,"SC")*100/M24)</f>
        <v>0</v>
      </c>
      <c r="DL24" s="26">
        <f>IF(M24=0,0,COUNTIF('4_imgsummary'!E24:N24,"SP")*100/M24)</f>
        <v>30</v>
      </c>
      <c r="DM24">
        <f>IF(M24=0,0,COUNTIF('4_imgsummary'!E24:N24,"ZO")*100/M24)</f>
        <v>0</v>
      </c>
      <c r="DO24">
        <f>IF(M24=0,0,COUNTIF('4_imgsummary'!E24:N24,"TWB")*100/M24)</f>
        <v>0</v>
      </c>
      <c r="DQ24">
        <f>IF(M24=0,0,COUNTIF('4_imgsummary'!Y24:AH24,"COR")*100/M24)</f>
        <v>0</v>
      </c>
      <c r="DR24">
        <f>IF(M24=0,0,COUNTIF('4_imgsummary'!Y24:AH24,"COTS")*100/M24)</f>
        <v>0</v>
      </c>
      <c r="DS24">
        <f>IF(M24=0,0,COUNTIF('4_imgsummary'!Y24:AH24,"DIA")*100/M24)</f>
        <v>0</v>
      </c>
      <c r="DT24">
        <f>IF(M24=0,0,COUNTIF('4_imgsummary'!Y24:AH24,"GORG")*100/M24)</f>
        <v>0</v>
      </c>
      <c r="DU24">
        <f>IF(M24=0,0,COUNTIF('4_imgsummary'!Y24:AH24,"ISIS")*100/M24)</f>
        <v>0</v>
      </c>
      <c r="DV24">
        <f>IF(M24=0,0,COUNTIF('4_imgsummary'!Y24:AH24,"DIS")*100/M24)</f>
        <v>0</v>
      </c>
      <c r="DW24">
        <f>IF(M24=0,0,COUNTIF('4_imgsummary'!Y24:AH24,"BLEC")*100/M24)</f>
        <v>0</v>
      </c>
      <c r="DX24">
        <f>IF(M24=0,0,COUNTIF('4_imgsummary'!Y24:AH24,"COD")*100/M24)</f>
        <v>0</v>
      </c>
      <c r="DY24">
        <f>IF(M24=0,0,COUNTIF('4_imgsummary'!Y24:AH24,"KAPP")*100/M24)</f>
        <v>0</v>
      </c>
      <c r="DZ24">
        <f>IF(M24=0,0,COUNTIF('4_imgsummary'!Y24:AH24,"SARG")*100/M24)</f>
        <v>0</v>
      </c>
      <c r="EA24">
        <f>IF(M24=0,0,COUNTIF('4_imgsummary'!Y24:AH24,"ZACRF")*100/M24)</f>
        <v>0</v>
      </c>
      <c r="EB24">
        <f>IF(M24=0,0,COUNTIF('4_imgsummary'!Y24:AH24,"ZAGARF")*100/M24)</f>
        <v>0</v>
      </c>
      <c r="EC24">
        <f>IF(M24=0,0,COUNTIF('4_imgsummary'!Y24:AH24,"ZAGATF")*100/M24)</f>
        <v>0</v>
      </c>
      <c r="ED24">
        <f>IF(M24=0,0,COUNTIF('4_imgsummary'!Y24:AH24,"ZCMRF")*100/M24)</f>
        <v>0</v>
      </c>
      <c r="EE24">
        <f>IF(M24=0,0,COUNTIF('4_imgsummary'!Y24:AH24,"ZDENF")*100/M24)</f>
        <v>0</v>
      </c>
      <c r="EF24">
        <f>IF(M24=0,0,COUNTIF('4_imgsummary'!Y24:AH24,"ZEUPF")*100/M24)</f>
        <v>0</v>
      </c>
      <c r="EG24">
        <f>IF(M24=0,0,COUNTIF('4_imgsummary'!Y24:AH24,"ZFAVF")*100/M24)</f>
        <v>0</v>
      </c>
      <c r="EH24">
        <f>IF(M24=0,0,COUNTIF('4_imgsummary'!Y24:AH24,"ZMUSF")*100/M24)</f>
        <v>0</v>
      </c>
      <c r="EI24">
        <f>IF(M24=0,0,COUNTIF('4_imgsummary'!Y24:AH24,"ZNSC")*100/M24)</f>
        <v>0</v>
      </c>
      <c r="EJ24">
        <f>IF(M24=0,0,COUNTIF('4_imgsummary'!Y24:AH24,"ZOC")*100/M24)</f>
        <v>0</v>
      </c>
      <c r="EK24">
        <f>IF(M24=0,0,COUNTIF('4_imgsummary'!Y24:AH24,"ZPOCF")*100/M24)</f>
        <v>0</v>
      </c>
      <c r="EL24">
        <f>IF(M24=0,0,COUNTIF('4_imgsummary'!Y24:AH24,"ZPORF")*100/M24)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5CF7-4A77-40CF-8C02-C167C95A52F9}">
  <dimension ref="A1:N122"/>
  <sheetViews>
    <sheetView workbookViewId="0"/>
  </sheetViews>
  <sheetFormatPr defaultRowHeight="14.5" x14ac:dyDescent="0.35"/>
  <cols>
    <col min="1" max="1" width="31" bestFit="1" customWidth="1"/>
    <col min="2" max="2" width="7.54296875" bestFit="1" customWidth="1"/>
    <col min="3" max="3" width="7.26953125" bestFit="1" customWidth="1"/>
    <col min="4" max="4" width="8.6328125" bestFit="1" customWidth="1"/>
    <col min="5" max="5" width="12.54296875" bestFit="1" customWidth="1"/>
    <col min="7" max="7" width="33.81640625" bestFit="1" customWidth="1"/>
    <col min="8" max="8" width="7.54296875" bestFit="1" customWidth="1"/>
    <col min="9" max="9" width="7.1796875" bestFit="1" customWidth="1"/>
    <col min="10" max="10" width="8.6328125" bestFit="1" customWidth="1"/>
    <col min="11" max="11" width="12.54296875" bestFit="1" customWidth="1"/>
    <col min="14" max="14" width="0" hidden="1" customWidth="1"/>
  </cols>
  <sheetData>
    <row r="1" spans="1:14" x14ac:dyDescent="0.35">
      <c r="A1" t="s">
        <v>290</v>
      </c>
      <c r="N1">
        <v>9</v>
      </c>
    </row>
    <row r="2" spans="1:14" x14ac:dyDescent="0.35">
      <c r="A2" t="s">
        <v>291</v>
      </c>
      <c r="C2" t="s">
        <v>292</v>
      </c>
      <c r="D2" t="s">
        <v>293</v>
      </c>
      <c r="N2">
        <v>10</v>
      </c>
    </row>
    <row r="3" spans="1:14" x14ac:dyDescent="0.35">
      <c r="A3" t="s">
        <v>294</v>
      </c>
      <c r="N3">
        <v>0</v>
      </c>
    </row>
    <row r="4" spans="1:14" x14ac:dyDescent="0.35">
      <c r="A4" t="s">
        <v>295</v>
      </c>
      <c r="N4">
        <v>0</v>
      </c>
    </row>
    <row r="5" spans="1:14" x14ac:dyDescent="0.35">
      <c r="A5" t="s">
        <v>296</v>
      </c>
      <c r="N5">
        <v>0</v>
      </c>
    </row>
    <row r="6" spans="1:14" x14ac:dyDescent="0.35">
      <c r="A6" t="s">
        <v>297</v>
      </c>
      <c r="N6">
        <v>121</v>
      </c>
    </row>
    <row r="7" spans="1:14" x14ac:dyDescent="0.35">
      <c r="A7" t="s">
        <v>298</v>
      </c>
      <c r="B7">
        <v>10</v>
      </c>
      <c r="D7" s="27" t="s">
        <v>299</v>
      </c>
      <c r="E7" t="s">
        <v>300</v>
      </c>
      <c r="N7">
        <v>16</v>
      </c>
    </row>
    <row r="8" spans="1:14" x14ac:dyDescent="0.35">
      <c r="A8" t="s">
        <v>301</v>
      </c>
      <c r="B8">
        <v>22</v>
      </c>
      <c r="N8">
        <v>22</v>
      </c>
    </row>
    <row r="9" spans="1:14" x14ac:dyDescent="0.35">
      <c r="A9" t="s">
        <v>302</v>
      </c>
      <c r="B9">
        <v>2</v>
      </c>
      <c r="C9" t="s">
        <v>303</v>
      </c>
      <c r="D9">
        <v>221</v>
      </c>
      <c r="N9">
        <v>70</v>
      </c>
    </row>
    <row r="10" spans="1:14" x14ac:dyDescent="0.35">
      <c r="A10" s="28" t="s">
        <v>304</v>
      </c>
      <c r="B10" s="28">
        <f ca="1">COUNTA(OFFSET('4_raw'!A2,0,0,D9-B9+1,1))</f>
        <v>220</v>
      </c>
      <c r="N10">
        <v>49</v>
      </c>
    </row>
    <row r="11" spans="1:14" x14ac:dyDescent="0.35">
      <c r="A11" t="s">
        <v>305</v>
      </c>
      <c r="N11">
        <v>70</v>
      </c>
    </row>
    <row r="12" spans="1:14" x14ac:dyDescent="0.35">
      <c r="A12" t="s">
        <v>306</v>
      </c>
      <c r="N12">
        <v>26</v>
      </c>
    </row>
    <row r="13" spans="1:14" x14ac:dyDescent="0.35">
      <c r="A13" t="s">
        <v>307</v>
      </c>
      <c r="B13" t="s">
        <v>488</v>
      </c>
      <c r="N13">
        <v>47</v>
      </c>
    </row>
    <row r="14" spans="1:14" ht="15" thickBot="1" x14ac:dyDescent="0.4">
      <c r="N14">
        <v>8</v>
      </c>
    </row>
    <row r="15" spans="1:14" ht="15" thickTop="1" x14ac:dyDescent="0.35">
      <c r="A15" s="38" t="s">
        <v>347</v>
      </c>
      <c r="B15" s="30" t="s">
        <v>309</v>
      </c>
      <c r="C15" s="30" t="s">
        <v>310</v>
      </c>
      <c r="D15" s="30" t="s">
        <v>311</v>
      </c>
      <c r="E15" s="43" t="s">
        <v>312</v>
      </c>
      <c r="G15" s="38" t="s">
        <v>308</v>
      </c>
      <c r="H15" s="30" t="s">
        <v>309</v>
      </c>
      <c r="I15" s="30" t="s">
        <v>310</v>
      </c>
      <c r="J15" s="30" t="s">
        <v>311</v>
      </c>
      <c r="K15" s="43" t="s">
        <v>312</v>
      </c>
      <c r="N15">
        <v>16</v>
      </c>
    </row>
    <row r="16" spans="1:14" x14ac:dyDescent="0.35">
      <c r="A16" s="39" t="s">
        <v>348</v>
      </c>
      <c r="B16" s="32">
        <f ca="1">COUNTIF(OFFSET('4_raw'!C2,0,0,D9-B9+1,1), "HC")</f>
        <v>129</v>
      </c>
      <c r="C16" s="33">
        <f ca="1">(B16/H121)*100</f>
        <v>62.926829268292686</v>
      </c>
      <c r="D16" s="33">
        <f ca="1">SUM(J17:J88)</f>
        <v>3.1726660152505599</v>
      </c>
      <c r="E16" s="44">
        <f ca="1">1-SUM(K17:K88)</f>
        <v>0.94225106664262959</v>
      </c>
      <c r="G16" s="41" t="s">
        <v>108</v>
      </c>
      <c r="K16" s="47"/>
      <c r="N16">
        <v>121</v>
      </c>
    </row>
    <row r="17" spans="1:14" x14ac:dyDescent="0.35">
      <c r="A17" s="40" t="s">
        <v>349</v>
      </c>
      <c r="B17">
        <f ca="1">COUNTIF(OFFSET('4_raw'!C2,0,0,D9-B9+1,1), "AA")</f>
        <v>51</v>
      </c>
      <c r="C17" s="29">
        <f ca="1">(B17/H121)*100</f>
        <v>24.878048780487806</v>
      </c>
      <c r="D17" s="29">
        <f ca="1">SUM(J90:J94)</f>
        <v>0.84875313317339252</v>
      </c>
      <c r="E17" s="45">
        <f ca="1">1-SUM(K90:K94)</f>
        <v>0.52825836216839672</v>
      </c>
      <c r="G17" s="40" t="s">
        <v>119</v>
      </c>
      <c r="H17">
        <f ca="1">COUNTIF(OFFSET('4_raw'!A2,0,0,D9-B9+1,1),"ACAN")</f>
        <v>0</v>
      </c>
      <c r="I17" s="29">
        <f ca="1">(H17/H121)*100</f>
        <v>0</v>
      </c>
      <c r="J17" s="29">
        <f ca="1">IF(H17=0,0,-1*((H17/B16)*(LN(H17/B16))))</f>
        <v>0</v>
      </c>
      <c r="K17" s="45">
        <f ca="1">IF(H17=0,0,((H17/B16)^2))</f>
        <v>0</v>
      </c>
      <c r="N17">
        <v>7</v>
      </c>
    </row>
    <row r="18" spans="1:14" x14ac:dyDescent="0.35">
      <c r="A18" s="39" t="s">
        <v>350</v>
      </c>
      <c r="B18" s="32">
        <f ca="1">COUNTIF(OFFSET('4_raw'!C2,0,0,D9-B9+1,1), "AB")</f>
        <v>1</v>
      </c>
      <c r="C18" s="33">
        <f ca="1">(B18/H121)*100</f>
        <v>0.48780487804878048</v>
      </c>
      <c r="D18" s="33">
        <f ca="1">SUM(J96:J100)</f>
        <v>0</v>
      </c>
      <c r="E18" s="44">
        <f ca="1">1-SUM(K96:K100)</f>
        <v>0</v>
      </c>
      <c r="G18" s="40" t="s">
        <v>121</v>
      </c>
      <c r="H18">
        <f ca="1">COUNTIF(OFFSET('4_raw'!A2,0,0,D9-B9+1,1),"ACB")</f>
        <v>19</v>
      </c>
      <c r="I18" s="29">
        <f ca="1">(H18/H121)*100</f>
        <v>9.2682926829268286</v>
      </c>
      <c r="J18" s="29">
        <f ca="1">IF(H18=0,0,-1*((H18/B16)*(LN(H18/B16))))</f>
        <v>0.28210926417604187</v>
      </c>
      <c r="K18" s="45">
        <f ca="1">IF(H18=0,0,((H18/B16)^2))</f>
        <v>2.1693407848086058E-2</v>
      </c>
    </row>
    <row r="19" spans="1:14" x14ac:dyDescent="0.35">
      <c r="A19" s="40" t="s">
        <v>351</v>
      </c>
      <c r="B19">
        <f ca="1">COUNTIF(OFFSET('4_raw'!C2,0,0,D9-B9+1,1), "MA")</f>
        <v>0</v>
      </c>
      <c r="C19" s="29">
        <f ca="1">(B19/H121)*100</f>
        <v>0</v>
      </c>
      <c r="D19" s="29">
        <f ca="1">SUM(J102:J105)</f>
        <v>0</v>
      </c>
      <c r="E19" s="45">
        <f ca="1">1-SUM(K102:K105)</f>
        <v>1</v>
      </c>
      <c r="G19" s="40" t="s">
        <v>122</v>
      </c>
      <c r="H19">
        <f ca="1">COUNTIF(OFFSET('4_raw'!A2,0,0,D9-B9+1,1),"ACC")</f>
        <v>1</v>
      </c>
      <c r="I19" s="29">
        <f ca="1">(H19/H121)*100</f>
        <v>0.48780487804878048</v>
      </c>
      <c r="J19" s="29">
        <f ca="1">IF(H19=0,0,-1*((H19/B16)*(LN(H19/B16))))</f>
        <v>3.7672964374896679E-2</v>
      </c>
      <c r="K19" s="45">
        <f ca="1">IF(H19=0,0,((H19/B16)^2))</f>
        <v>6.0092542515473829E-5</v>
      </c>
    </row>
    <row r="20" spans="1:14" x14ac:dyDescent="0.35">
      <c r="A20" s="39" t="s">
        <v>352</v>
      </c>
      <c r="B20" s="32">
        <f ca="1">COUNTIF(OFFSET('4_raw'!C2,0,0,D9-B9+1,1), "HA")</f>
        <v>0</v>
      </c>
      <c r="C20" s="33">
        <f ca="1">(B20/H121)*100</f>
        <v>0</v>
      </c>
      <c r="D20" s="33">
        <f ca="1">SUM(J107:J107)</f>
        <v>0</v>
      </c>
      <c r="E20" s="44">
        <f ca="1">1-SUM(K107:K107)</f>
        <v>1</v>
      </c>
      <c r="G20" s="40" t="s">
        <v>123</v>
      </c>
      <c r="H20">
        <f ca="1">COUNTIF(OFFSET('4_raw'!A2,0,0,D9-B9+1,1),"ACD")</f>
        <v>0</v>
      </c>
      <c r="I20" s="29">
        <f ca="1">(H20/H121)*100</f>
        <v>0</v>
      </c>
      <c r="J20" s="29">
        <f ca="1">IF(H20=0,0,-1*((H20/B16)*(LN(H20/B16))))</f>
        <v>0</v>
      </c>
      <c r="K20" s="45">
        <f ca="1">IF(H20=0,0,((H20/B16)^2))</f>
        <v>0</v>
      </c>
    </row>
    <row r="21" spans="1:14" x14ac:dyDescent="0.35">
      <c r="A21" s="40" t="s">
        <v>353</v>
      </c>
      <c r="B21">
        <f ca="1">COUNTIF(OFFSET('4_raw'!C2,0,0,D9-B9+1,1), "OB")</f>
        <v>24</v>
      </c>
      <c r="C21" s="29">
        <f ca="1">(B21/H121)*100</f>
        <v>11.707317073170733</v>
      </c>
      <c r="D21" s="29">
        <f ca="1">SUM(J109:J118)</f>
        <v>0.54428373296943933</v>
      </c>
      <c r="E21" s="45">
        <f ca="1">1-SUM(K109:K118)</f>
        <v>0.28819444444444431</v>
      </c>
      <c r="G21" s="40" t="s">
        <v>125</v>
      </c>
      <c r="H21">
        <f ca="1">COUNTIF(OFFSET('4_raw'!A2,0,0,D9-B9+1,1),"ACH")</f>
        <v>0</v>
      </c>
      <c r="I21" s="29">
        <f ca="1">(H21/H121)*100</f>
        <v>0</v>
      </c>
      <c r="J21" s="29">
        <f ca="1">IF(H21=0,0,-1*((H21/B16)*(LN(H21/B16))))</f>
        <v>0</v>
      </c>
      <c r="K21" s="45">
        <f ca="1">IF(H21=0,0,((H21/B16)^2))</f>
        <v>0</v>
      </c>
    </row>
    <row r="22" spans="1:14" x14ac:dyDescent="0.35">
      <c r="A22" s="39" t="s">
        <v>354</v>
      </c>
      <c r="B22" s="32">
        <f ca="1">COUNTIF(OFFSET('4_raw'!C2,0,0,D9-B9+1,1), "TWB")</f>
        <v>15</v>
      </c>
      <c r="C22" s="33">
        <f ca="1">(B22/B23)*100</f>
        <v>6.8181818181818175</v>
      </c>
      <c r="D22" s="32"/>
      <c r="E22" s="46"/>
      <c r="G22" s="40" t="s">
        <v>127</v>
      </c>
      <c r="H22">
        <f ca="1">COUNTIF(OFFSET('4_raw'!A2,0,0,D9-B9+1,1),"ACT")</f>
        <v>13</v>
      </c>
      <c r="I22" s="29">
        <f ca="1">(H22/H121)*100</f>
        <v>6.3414634146341466</v>
      </c>
      <c r="J22" s="29">
        <f ca="1">IF(H22=0,0,-1*((H22/B16)*(LN(H22/B16))))</f>
        <v>0.23126526829226168</v>
      </c>
      <c r="K22" s="45">
        <f ca="1">IF(H22=0,0,((H22/B16)^2))</f>
        <v>1.0155639685115077E-2</v>
      </c>
    </row>
    <row r="23" spans="1:14" x14ac:dyDescent="0.35">
      <c r="A23" s="41" t="s">
        <v>355</v>
      </c>
      <c r="B23" s="28">
        <f ca="1">SUM(B16:B22)</f>
        <v>220</v>
      </c>
      <c r="C23" s="34">
        <f ca="1">SUM(C16:C22)-C22</f>
        <v>100</v>
      </c>
      <c r="E23" s="47"/>
      <c r="G23" s="40" t="s">
        <v>128</v>
      </c>
      <c r="H23">
        <f ca="1">COUNTIF(OFFSET('4_raw'!A2,0,0,D9-B9+1,1),"ACR")</f>
        <v>2</v>
      </c>
      <c r="I23" s="29">
        <f ca="1">(H23/H121)*100</f>
        <v>0.97560975609756095</v>
      </c>
      <c r="J23" s="29">
        <f ca="1">IF(H23=0,0,-1*((H23/B16)*(LN(H23/B16))))</f>
        <v>6.45994608341353E-2</v>
      </c>
      <c r="K23" s="45">
        <f ca="1">IF(H23=0,0,((H23/B16)^2))</f>
        <v>2.4037017006189532E-4</v>
      </c>
    </row>
    <row r="24" spans="1:14" x14ac:dyDescent="0.35">
      <c r="A24" s="40"/>
      <c r="E24" s="47"/>
      <c r="G24" s="40" t="s">
        <v>129</v>
      </c>
      <c r="H24">
        <f ca="1">COUNTIF(OFFSET('4_raw'!A2,0,0,D9-B9+1,1),"AST")</f>
        <v>0</v>
      </c>
      <c r="I24" s="29">
        <f ca="1">(H24/H121)*100</f>
        <v>0</v>
      </c>
      <c r="J24" s="29">
        <f ca="1">IF(H24=0,0,-1*((H24/B16)*(LN(H24/B16))))</f>
        <v>0</v>
      </c>
      <c r="K24" s="45">
        <f ca="1">IF(H24=0,0,((H24/B16)^2))</f>
        <v>0</v>
      </c>
    </row>
    <row r="25" spans="1:14" x14ac:dyDescent="0.35">
      <c r="A25" s="41" t="s">
        <v>356</v>
      </c>
      <c r="E25" s="47"/>
      <c r="G25" s="40" t="s">
        <v>131</v>
      </c>
      <c r="H25">
        <f ca="1">COUNTIF(OFFSET('4_raw'!A2,0,0,D9-B9+1,1),"AF")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45">
        <f ca="1">IF(H25=0,0,((H25/B16)^2))</f>
        <v>0</v>
      </c>
    </row>
    <row r="26" spans="1:14" x14ac:dyDescent="0.35">
      <c r="A26" s="39" t="s">
        <v>250</v>
      </c>
      <c r="B26" s="32">
        <f t="array" aca="1" ref="B26" ca="1">SUM((OFFSET('4_raw'!B2,0,0,D9-B9+1,1)="COTS") * (OFFSET('4_raw'!C2,0,0,D9-B9+1,1)&lt;&gt;"TWS"))</f>
        <v>0</v>
      </c>
      <c r="C26" s="33">
        <f ca="1">(B26/H121)*100</f>
        <v>0</v>
      </c>
      <c r="D26" s="32"/>
      <c r="E26" s="46"/>
      <c r="G26" s="40" t="s">
        <v>133</v>
      </c>
      <c r="H26">
        <f ca="1">COUNTIF(OFFSET('4_raw'!A2,0,0,D9-B9+1,1),"BLEC")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45">
        <f ca="1">IF(H26=0,0,((H26/B16)^2))</f>
        <v>0</v>
      </c>
    </row>
    <row r="27" spans="1:14" x14ac:dyDescent="0.35">
      <c r="A27" s="40" t="s">
        <v>133</v>
      </c>
      <c r="B27">
        <f t="array" aca="1" ref="B27" ca="1">SUM((OFFSET('4_raw'!B2,0,0,D9-B9+1,1)="BLEC") * (OFFSET('4_raw'!C2,0,0,D9-B9+1,1)&lt;&gt;"TWS"))</f>
        <v>0</v>
      </c>
      <c r="C27" s="29">
        <f ca="1">(B27/H121)*100</f>
        <v>0</v>
      </c>
      <c r="E27" s="47"/>
      <c r="G27" s="40" t="s">
        <v>135</v>
      </c>
      <c r="H27">
        <f ca="1">COUNTIF(OFFSET('4_raw'!A2,0,0,D9-B9+1,1),"CAU")</f>
        <v>1</v>
      </c>
      <c r="I27" s="29">
        <f ca="1">(H27/H121)*100</f>
        <v>0.48780487804878048</v>
      </c>
      <c r="J27" s="29">
        <f ca="1">IF(H27=0,0,-1*((H27/B16)*(LN(H27/B16))))</f>
        <v>3.7672964374896679E-2</v>
      </c>
      <c r="K27" s="45">
        <f ca="1">IF(H27=0,0,((H27/B16)^2))</f>
        <v>6.0092542515473829E-5</v>
      </c>
    </row>
    <row r="28" spans="1:14" x14ac:dyDescent="0.35">
      <c r="A28" s="39" t="s">
        <v>242</v>
      </c>
      <c r="B28" s="32">
        <f t="array" aca="1" ref="B28" ca="1">SUM((OFFSET('4_raw'!B2,0,0,D9-B9+1,1)="COD") * (OFFSET('4_raw'!C2,0,0,D9-B9+1,1)&lt;&gt;"TWS"))</f>
        <v>0</v>
      </c>
      <c r="C28" s="33">
        <f ca="1">(B28/H121)*100</f>
        <v>0</v>
      </c>
      <c r="D28" s="32"/>
      <c r="E28" s="46"/>
      <c r="G28" s="40" t="s">
        <v>136</v>
      </c>
      <c r="H28">
        <f ca="1">COUNTIF(OFFSET('4_raw'!A2,0,0,D9-B9+1,1),"COE")</f>
        <v>4</v>
      </c>
      <c r="I28" s="29">
        <f ca="1">(H28/H121)*100</f>
        <v>1.9512195121951219</v>
      </c>
      <c r="J28" s="29">
        <f ca="1">IF(H28=0,0,-1*((H28/B16)*(LN(H28/B16))))</f>
        <v>0.10770598583695447</v>
      </c>
      <c r="K28" s="45">
        <f ca="1">IF(H28=0,0,((H28/B16)^2))</f>
        <v>9.6148068024758126E-4</v>
      </c>
    </row>
    <row r="29" spans="1:14" x14ac:dyDescent="0.35">
      <c r="A29" s="40" t="s">
        <v>252</v>
      </c>
      <c r="B29">
        <f t="array" aca="1" ref="B29" ca="1">SUM((OFFSET('4_raw'!B2,0,0,D9-B9+1,1)="COR") * (OFFSET('4_raw'!C2,0,0,D9-B9+1,1)&lt;&gt;"TWS"))</f>
        <v>0</v>
      </c>
      <c r="C29" s="29">
        <f ca="1">(B29/H121)*100</f>
        <v>0</v>
      </c>
      <c r="E29" s="47"/>
      <c r="G29" s="40" t="s">
        <v>137</v>
      </c>
      <c r="H29">
        <f ca="1">COUNTIF(OFFSET('4_raw'!A2,0,0,D9-B9+1,1),"COS")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45">
        <f ca="1">IF(H29=0,0,((H29/B16)^2))</f>
        <v>0</v>
      </c>
    </row>
    <row r="30" spans="1:14" x14ac:dyDescent="0.35">
      <c r="A30" s="39" t="s">
        <v>254</v>
      </c>
      <c r="B30" s="32">
        <f t="array" aca="1" ref="B30" ca="1">SUM((OFFSET('4_raw'!B2,0,0,D9-B9+1,1)="DIA") * (OFFSET('4_raw'!C2,0,0,D9-B9+1,1)&lt;&gt;"TWS"))</f>
        <v>0</v>
      </c>
      <c r="C30" s="33">
        <f ca="1">(B30/H121)*100</f>
        <v>0</v>
      </c>
      <c r="D30" s="32"/>
      <c r="E30" s="46"/>
      <c r="G30" s="40" t="s">
        <v>139</v>
      </c>
      <c r="H30">
        <f ca="1">COUNTIF(OFFSET('4_raw'!A2,0,0,D9-B9+1,1),"CYP")</f>
        <v>0</v>
      </c>
      <c r="I30" s="29">
        <f ca="1">(H30/H121)*100</f>
        <v>0</v>
      </c>
      <c r="J30" s="29">
        <f ca="1">IF(H30=0,0,-1*((H30/B16)*(LN(H30/B16))))</f>
        <v>0</v>
      </c>
      <c r="K30" s="45">
        <f ca="1">IF(H30=0,0,((H30/B16)^2))</f>
        <v>0</v>
      </c>
    </row>
    <row r="31" spans="1:14" x14ac:dyDescent="0.35">
      <c r="A31" s="40" t="s">
        <v>232</v>
      </c>
      <c r="B31">
        <f t="array" aca="1" ref="B31" ca="1">SUM((OFFSET('4_raw'!B2,0,0,D9-B9+1,1)="DIS") * (OFFSET('4_raw'!C2,0,0,D9-B9+1,1)&lt;&gt;"TWS"))</f>
        <v>1</v>
      </c>
      <c r="C31" s="29">
        <f ca="1">(B31/H121)*100</f>
        <v>0.48780487804878048</v>
      </c>
      <c r="E31" s="47"/>
      <c r="G31" s="40" t="s">
        <v>141</v>
      </c>
      <c r="H31">
        <f ca="1">COUNTIF(OFFSET('4_raw'!A2,0,0,D9-B9+1,1),"DIP")</f>
        <v>0</v>
      </c>
      <c r="I31" s="29">
        <f ca="1">(H31/H121)*100</f>
        <v>0</v>
      </c>
      <c r="J31" s="29">
        <f ca="1">IF(H31=0,0,-1*((H31/B16)*(LN(H31/B16))))</f>
        <v>0</v>
      </c>
      <c r="K31" s="45">
        <f ca="1">IF(H31=0,0,((H31/B16)^2))</f>
        <v>0</v>
      </c>
    </row>
    <row r="32" spans="1:14" x14ac:dyDescent="0.35">
      <c r="A32" s="39" t="s">
        <v>256</v>
      </c>
      <c r="B32" s="32">
        <f t="array" aca="1" ref="B32" ca="1">SUM((OFFSET('4_raw'!B2,0,0,D9-B9+1,1)="GORG") * (OFFSET('4_raw'!C2,0,0,D9-B9+1,1)&lt;&gt;"TWS"))</f>
        <v>3</v>
      </c>
      <c r="C32" s="33">
        <f ca="1">(B32/H121)*100</f>
        <v>1.4634146341463417</v>
      </c>
      <c r="D32" s="32"/>
      <c r="E32" s="46"/>
      <c r="G32" s="40" t="s">
        <v>143</v>
      </c>
      <c r="H32">
        <f ca="1">COUNTIF(OFFSET('4_raw'!A2,0,0,D9-B9+1,1),"ECHY")</f>
        <v>2</v>
      </c>
      <c r="I32" s="29">
        <f ca="1">(H32/H121)*100</f>
        <v>0.97560975609756095</v>
      </c>
      <c r="J32" s="29">
        <f ca="1">IF(H32=0,0,-1*((H32/B16)*(LN(H32/B16))))</f>
        <v>6.45994608341353E-2</v>
      </c>
      <c r="K32" s="45">
        <f ca="1">IF(H32=0,0,((H32/B16)^2))</f>
        <v>2.4037017006189532E-4</v>
      </c>
    </row>
    <row r="33" spans="1:11" x14ac:dyDescent="0.35">
      <c r="A33" s="40" t="s">
        <v>257</v>
      </c>
      <c r="B33">
        <f t="array" aca="1" ref="B33" ca="1">SUM((OFFSET('4_raw'!B2,0,0,D9-B9+1,1)="ISIS") * (OFFSET('4_raw'!C2,0,0,D9-B9+1,1)&lt;&gt;"TWS"))</f>
        <v>0</v>
      </c>
      <c r="C33" s="29">
        <f ca="1">(B33/H121)*100</f>
        <v>0</v>
      </c>
      <c r="E33" s="47"/>
      <c r="G33" s="40" t="s">
        <v>144</v>
      </c>
      <c r="H33">
        <f ca="1">COUNTIF(OFFSET('4_raw'!A2,0,0,D9-B9+1,1),"ECHI")</f>
        <v>1</v>
      </c>
      <c r="I33" s="29">
        <f ca="1">(H33/H121)*100</f>
        <v>0.48780487804878048</v>
      </c>
      <c r="J33" s="29">
        <f ca="1">IF(H33=0,0,-1*((H33/B16)*(LN(H33/B16))))</f>
        <v>3.7672964374896679E-2</v>
      </c>
      <c r="K33" s="45">
        <f ca="1">IF(H33=0,0,((H33/B16)^2))</f>
        <v>6.0092542515473829E-5</v>
      </c>
    </row>
    <row r="34" spans="1:11" x14ac:dyDescent="0.35">
      <c r="A34" s="39" t="s">
        <v>244</v>
      </c>
      <c r="B34" s="32">
        <f t="array" aca="1" ref="B34" ca="1">SUM((OFFSET('4_raw'!B2,0,0,D9-B9+1,1)="KAPP") * (OFFSET('4_raw'!C2,0,0,D9-B9+1,1)&lt;&gt;"TWS"))</f>
        <v>0</v>
      </c>
      <c r="C34" s="33">
        <f ca="1">(B34/H121)*100</f>
        <v>0</v>
      </c>
      <c r="D34" s="32"/>
      <c r="E34" s="46"/>
      <c r="G34" s="40" t="s">
        <v>145</v>
      </c>
      <c r="H34">
        <f ca="1">COUNTIF(OFFSET('4_raw'!A2,0,0,D9-B9+1,1),"EUP")</f>
        <v>0</v>
      </c>
      <c r="I34" s="29">
        <f ca="1">(H34/H121)*100</f>
        <v>0</v>
      </c>
      <c r="J34" s="29">
        <f ca="1">IF(H34=0,0,-1*((H34/B16)*(LN(H34/B16))))</f>
        <v>0</v>
      </c>
      <c r="K34" s="45">
        <f ca="1">IF(H34=0,0,((H34/B16)^2))</f>
        <v>0</v>
      </c>
    </row>
    <row r="35" spans="1:11" x14ac:dyDescent="0.35">
      <c r="A35" s="40" t="s">
        <v>247</v>
      </c>
      <c r="B35">
        <f t="array" aca="1" ref="B35" ca="1">SUM((OFFSET('4_raw'!B2,0,0,D9-B9+1,1)="SARG") * (OFFSET('4_raw'!C2,0,0,D9-B9+1,1)&lt;&gt;"TWS"))</f>
        <v>0</v>
      </c>
      <c r="C35" s="29">
        <f ca="1">(B35/H121)*100</f>
        <v>0</v>
      </c>
      <c r="E35" s="47"/>
      <c r="G35" s="40" t="s">
        <v>147</v>
      </c>
      <c r="H35">
        <f ca="1">COUNTIF(OFFSET('4_raw'!A2,0,0,D9-B9+1,1),"FAV")</f>
        <v>0</v>
      </c>
      <c r="I35" s="29">
        <f ca="1">(H35/H121)*100</f>
        <v>0</v>
      </c>
      <c r="J35" s="29">
        <f ca="1">IF(H35=0,0,-1*((H35/B16)*(LN(H35/B16))))</f>
        <v>0</v>
      </c>
      <c r="K35" s="45">
        <f ca="1">IF(H35=0,0,((H35/B16)^2))</f>
        <v>0</v>
      </c>
    </row>
    <row r="36" spans="1:11" x14ac:dyDescent="0.35">
      <c r="A36" s="39" t="s">
        <v>204</v>
      </c>
      <c r="B36" s="32">
        <f t="array" aca="1" ref="B36" ca="1">SUM((OFFSET('4_raw'!B2,0,0,D9-B9+1,1)="ZACRF") * (OFFSET('4_raw'!C2,0,0,D9-B9+1,1)&lt;&gt;"TWS"))</f>
        <v>0</v>
      </c>
      <c r="C36" s="33">
        <f ca="1">(B36/H121)*100</f>
        <v>0</v>
      </c>
      <c r="D36" s="32"/>
      <c r="E36" s="46"/>
      <c r="G36" s="40" t="s">
        <v>149</v>
      </c>
      <c r="H36">
        <f ca="1">COUNTIF(OFFSET('4_raw'!A2,0,0,D9-B9+1,1),"FVI")</f>
        <v>0</v>
      </c>
      <c r="I36" s="29">
        <f ca="1">(H36/H121)*100</f>
        <v>0</v>
      </c>
      <c r="J36" s="29">
        <f ca="1">IF(H36=0,0,-1*((H36/B16)*(LN(H36/B16))))</f>
        <v>0</v>
      </c>
      <c r="K36" s="45">
        <f ca="1">IF(H36=0,0,((H36/B16)^2))</f>
        <v>0</v>
      </c>
    </row>
    <row r="37" spans="1:11" x14ac:dyDescent="0.35">
      <c r="A37" s="40" t="s">
        <v>206</v>
      </c>
      <c r="B37">
        <f t="array" aca="1" ref="B37" ca="1">SUM((OFFSET('4_raw'!B2,0,0,D9-B9+1,1)="ZAGARF") * (OFFSET('4_raw'!C2,0,0,D9-B9+1,1)&lt;&gt;"TWS"))</f>
        <v>0</v>
      </c>
      <c r="C37" s="29">
        <f ca="1">(B37/H121)*100</f>
        <v>0</v>
      </c>
      <c r="E37" s="47"/>
      <c r="G37" s="40" t="s">
        <v>151</v>
      </c>
      <c r="H37">
        <f ca="1">COUNTIF(OFFSET('4_raw'!A2,0,0,D9-B9+1,1),"CMR")</f>
        <v>4</v>
      </c>
      <c r="I37" s="29">
        <f ca="1">(H37/H121)*100</f>
        <v>1.9512195121951219</v>
      </c>
      <c r="J37" s="29">
        <f ca="1">IF(H37=0,0,-1*((H37/B16)*(LN(H37/B16))))</f>
        <v>0.10770598583695447</v>
      </c>
      <c r="K37" s="45">
        <f ca="1">IF(H37=0,0,((H37/B16)^2))</f>
        <v>9.6148068024758126E-4</v>
      </c>
    </row>
    <row r="38" spans="1:11" x14ac:dyDescent="0.35">
      <c r="A38" s="39" t="s">
        <v>208</v>
      </c>
      <c r="B38" s="32">
        <f t="array" aca="1" ref="B38" ca="1">SUM((OFFSET('4_raw'!B2,0,0,D9-B9+1,1)="ZAGATF") * (OFFSET('4_raw'!C2,0,0,D9-B9+1,1)&lt;&gt;"TWS"))</f>
        <v>0</v>
      </c>
      <c r="C38" s="33">
        <f ca="1">(B38/H121)*100</f>
        <v>0</v>
      </c>
      <c r="D38" s="32"/>
      <c r="E38" s="46"/>
      <c r="G38" s="40" t="s">
        <v>152</v>
      </c>
      <c r="H38">
        <f ca="1">COUNTIF(OFFSET('4_raw'!A2,0,0,D9-B9+1,1),"GAL")</f>
        <v>0</v>
      </c>
      <c r="I38" s="29">
        <f ca="1">(H38/H121)*100</f>
        <v>0</v>
      </c>
      <c r="J38" s="29">
        <f ca="1">IF(H38=0,0,-1*((H38/B16)*(LN(H38/B16))))</f>
        <v>0</v>
      </c>
      <c r="K38" s="45">
        <f ca="1">IF(H38=0,0,((H38/B16)^2))</f>
        <v>0</v>
      </c>
    </row>
    <row r="39" spans="1:11" x14ac:dyDescent="0.35">
      <c r="A39" s="40" t="s">
        <v>210</v>
      </c>
      <c r="B39">
        <f t="array" aca="1" ref="B39" ca="1">SUM((OFFSET('4_raw'!B2,0,0,D9-B9+1,1)="ZDENF") * (OFFSET('4_raw'!C2,0,0,D9-B9+1,1)&lt;&gt;"TWS"))</f>
        <v>0</v>
      </c>
      <c r="C39" s="29">
        <f ca="1">(B39/H121)*100</f>
        <v>0</v>
      </c>
      <c r="E39" s="47"/>
      <c r="G39" s="40" t="s">
        <v>154</v>
      </c>
      <c r="H39">
        <f ca="1">COUNTIF(OFFSET('4_raw'!A2,0,0,D9-B9+1,1),"GONIA")</f>
        <v>1</v>
      </c>
      <c r="I39" s="29">
        <f ca="1">(H39/H121)*100</f>
        <v>0.48780487804878048</v>
      </c>
      <c r="J39" s="29">
        <f ca="1">IF(H39=0,0,-1*((H39/B16)*(LN(H39/B16))))</f>
        <v>3.7672964374896679E-2</v>
      </c>
      <c r="K39" s="45">
        <f ca="1">IF(H39=0,0,((H39/B16)^2))</f>
        <v>6.0092542515473829E-5</v>
      </c>
    </row>
    <row r="40" spans="1:11" x14ac:dyDescent="0.35">
      <c r="A40" s="39" t="s">
        <v>212</v>
      </c>
      <c r="B40" s="32">
        <f t="array" aca="1" ref="B40" ca="1">SUM((OFFSET('4_raw'!B2,0,0,D9-B9+1,1)="ZEUPF") * (OFFSET('4_raw'!C2,0,0,D9-B9+1,1)&lt;&gt;"TWS"))</f>
        <v>0</v>
      </c>
      <c r="C40" s="33">
        <f ca="1">(B40/H121)*100</f>
        <v>0</v>
      </c>
      <c r="D40" s="32"/>
      <c r="E40" s="46"/>
      <c r="G40" s="40" t="s">
        <v>155</v>
      </c>
      <c r="H40">
        <f ca="1">COUNTIF(OFFSET('4_raw'!A2,0,0,D9-B9+1,1),"GONIO")</f>
        <v>6</v>
      </c>
      <c r="I40" s="29">
        <f ca="1">(H40/H121)*100</f>
        <v>2.9268292682926833</v>
      </c>
      <c r="J40" s="29">
        <f ca="1">IF(H40=0,0,-1*((H40/B16)*(LN(H40/B16))))</f>
        <v>0.14270013651784264</v>
      </c>
      <c r="K40" s="45">
        <f ca="1">IF(H40=0,0,((H40/B16)^2))</f>
        <v>2.1633315305570576E-3</v>
      </c>
    </row>
    <row r="41" spans="1:11" x14ac:dyDescent="0.35">
      <c r="A41" s="40" t="s">
        <v>214</v>
      </c>
      <c r="B41">
        <f t="array" aca="1" ref="B41" ca="1">SUM((OFFSET('4_raw'!B2,0,0,D9-B9+1,1)="ZFAVF") * (OFFSET('4_raw'!C2,0,0,D9-B9+1,1)&lt;&gt;"TWS"))</f>
        <v>0</v>
      </c>
      <c r="C41" s="29">
        <f ca="1">(B41/H121)*100</f>
        <v>0</v>
      </c>
      <c r="E41" s="47"/>
      <c r="G41" s="40" t="s">
        <v>156</v>
      </c>
      <c r="H41">
        <f ca="1">COUNTIF(OFFSET('4_raw'!A2,0,0,D9-B9+1,1),"HEL")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45">
        <f ca="1">IF(H41=0,0,((H41/B16)^2))</f>
        <v>0</v>
      </c>
    </row>
    <row r="42" spans="1:11" x14ac:dyDescent="0.35">
      <c r="A42" s="39" t="s">
        <v>216</v>
      </c>
      <c r="B42" s="32">
        <f t="array" aca="1" ref="B42" ca="1">SUM((OFFSET('4_raw'!B2,0,0,D9-B9+1,1)="ZCMRF") * (OFFSET('4_raw'!C2,0,0,D9-B9+1,1)&lt;&gt;"TWS"))</f>
        <v>0</v>
      </c>
      <c r="C42" s="33">
        <f ca="1">(B42/H121)*100</f>
        <v>0</v>
      </c>
      <c r="D42" s="32"/>
      <c r="E42" s="46"/>
      <c r="G42" s="40" t="s">
        <v>158</v>
      </c>
      <c r="H42">
        <f ca="1">COUNTIF(OFFSET('4_raw'!A2,0,0,D9-B9+1,1),"HYD")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45">
        <f ca="1">IF(H42=0,0,((H42/B16)^2))</f>
        <v>0</v>
      </c>
    </row>
    <row r="43" spans="1:11" x14ac:dyDescent="0.35">
      <c r="A43" s="40" t="s">
        <v>218</v>
      </c>
      <c r="B43">
        <f t="array" aca="1" ref="B43" ca="1">SUM((OFFSET('4_raw'!B2,0,0,D9-B9+1,1)="ZMUSF") * (OFFSET('4_raw'!C2,0,0,D9-B9+1,1)&lt;&gt;"TWS"))</f>
        <v>0</v>
      </c>
      <c r="C43" s="29">
        <f ca="1">(B43/H121)*100</f>
        <v>0</v>
      </c>
      <c r="E43" s="47"/>
      <c r="G43" s="40" t="s">
        <v>160</v>
      </c>
      <c r="H43">
        <f ca="1">COUNTIF(OFFSET('4_raw'!A2,0,0,D9-B9+1,1),"ISO")</f>
        <v>6</v>
      </c>
      <c r="I43" s="29">
        <f ca="1">(H43/H121)*100</f>
        <v>2.9268292682926833</v>
      </c>
      <c r="J43" s="29">
        <f ca="1">IF(H43=0,0,-1*((H43/B16)*(LN(H43/B16))))</f>
        <v>0.14270013651784264</v>
      </c>
      <c r="K43" s="45">
        <f ca="1">IF(H43=0,0,((H43/B16)^2))</f>
        <v>2.1633315305570576E-3</v>
      </c>
    </row>
    <row r="44" spans="1:11" x14ac:dyDescent="0.35">
      <c r="A44" s="39" t="s">
        <v>220</v>
      </c>
      <c r="B44" s="32">
        <f t="array" aca="1" ref="B44" ca="1">SUM((OFFSET('4_raw'!B2,0,0,D9-B9+1,1)="ZNSC") * (OFFSET('4_raw'!C2,0,0,D9-B9+1,1)&lt;&gt;"TWS"))</f>
        <v>0</v>
      </c>
      <c r="C44" s="33">
        <f ca="1">(B44/H121)*100</f>
        <v>0</v>
      </c>
      <c r="D44" s="32"/>
      <c r="E44" s="46"/>
      <c r="G44" s="40" t="s">
        <v>161</v>
      </c>
      <c r="H44">
        <f ca="1">COUNTIF(OFFSET('4_raw'!A2,0,0,D9-B9+1,1),"LEPA")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45">
        <f ca="1">IF(H44=0,0,((H44/B16)^2))</f>
        <v>0</v>
      </c>
    </row>
    <row r="45" spans="1:11" x14ac:dyDescent="0.35">
      <c r="A45" s="40" t="s">
        <v>222</v>
      </c>
      <c r="B45">
        <f t="array" aca="1" ref="B45" ca="1">SUM((OFFSET('4_raw'!B2,0,0,D9-B9+1,1)="ZOC") * (OFFSET('4_raw'!C2,0,0,D9-B9+1,1)&lt;&gt;"TWS"))</f>
        <v>0</v>
      </c>
      <c r="C45" s="29">
        <f ca="1">(B45/H121)*100</f>
        <v>0</v>
      </c>
      <c r="E45" s="47"/>
      <c r="G45" s="40" t="s">
        <v>163</v>
      </c>
      <c r="H45">
        <f ca="1">COUNTIF(OFFSET('4_raw'!A2,0,0,D9-B9+1,1),"LEPS")</f>
        <v>1</v>
      </c>
      <c r="I45" s="29">
        <f ca="1">(H45/H121)*100</f>
        <v>0.48780487804878048</v>
      </c>
      <c r="J45" s="29">
        <f ca="1">IF(H45=0,0,-1*((H45/B16)*(LN(H45/B16))))</f>
        <v>3.7672964374896679E-2</v>
      </c>
      <c r="K45" s="45">
        <f ca="1">IF(H45=0,0,((H45/B16)^2))</f>
        <v>6.0092542515473829E-5</v>
      </c>
    </row>
    <row r="46" spans="1:11" x14ac:dyDescent="0.35">
      <c r="A46" s="39" t="s">
        <v>224</v>
      </c>
      <c r="B46" s="32">
        <f t="array" aca="1" ref="B46" ca="1">SUM((OFFSET('4_raw'!B2,0,0,D9-B9+1,1)="ZPOCF") * (OFFSET('4_raw'!C2,0,0,D9-B9+1,1)&lt;&gt;"TWS"))</f>
        <v>0</v>
      </c>
      <c r="C46" s="33">
        <f ca="1">(B46/H121)*100</f>
        <v>0</v>
      </c>
      <c r="D46" s="32"/>
      <c r="E46" s="46"/>
      <c r="G46" s="40" t="s">
        <v>164</v>
      </c>
      <c r="H46">
        <f ca="1">COUNTIF(OFFSET('4_raw'!A2,0,0,D9-B9+1,1),"LOB")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45">
        <f ca="1">IF(H46=0,0,((H46/B16)^2))</f>
        <v>0</v>
      </c>
    </row>
    <row r="47" spans="1:11" x14ac:dyDescent="0.35">
      <c r="A47" s="40" t="s">
        <v>226</v>
      </c>
      <c r="B47">
        <f t="array" aca="1" ref="B47" ca="1">SUM((OFFSET('4_raw'!B2,0,0,D9-B9+1,1)="ZPORF") * (OFFSET('4_raw'!C2,0,0,D9-B9+1,1)&lt;&gt;"TWS"))</f>
        <v>0</v>
      </c>
      <c r="C47" s="29">
        <f ca="1">(B47/H121)*100</f>
        <v>0</v>
      </c>
      <c r="E47" s="47"/>
      <c r="G47" s="40" t="s">
        <v>166</v>
      </c>
      <c r="H47">
        <f ca="1">COUNTIF(OFFSET('4_raw'!A2,0,0,D9-B9+1,1),"MER")</f>
        <v>4</v>
      </c>
      <c r="I47" s="29">
        <f ca="1">(H47/H121)*100</f>
        <v>1.9512195121951219</v>
      </c>
      <c r="J47" s="29">
        <f ca="1">IF(H47=0,0,-1*((H47/B16)*(LN(H47/B16))))</f>
        <v>0.10770598583695447</v>
      </c>
      <c r="K47" s="45">
        <f ca="1">IF(H47=0,0,((H47/B16)^2))</f>
        <v>9.6148068024758126E-4</v>
      </c>
    </row>
    <row r="48" spans="1:11" x14ac:dyDescent="0.35">
      <c r="A48" s="41" t="s">
        <v>357</v>
      </c>
      <c r="E48" s="47"/>
      <c r="G48" s="40" t="s">
        <v>167</v>
      </c>
      <c r="H48">
        <f ca="1">COUNTIF(OFFSET('4_raw'!A2,0,0,D9-B9+1,1),"MILL")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45">
        <f ca="1">IF(H48=0,0,((H48/B16)^2))</f>
        <v>0</v>
      </c>
    </row>
    <row r="49" spans="1:11" x14ac:dyDescent="0.35">
      <c r="A49" s="39" t="s">
        <v>250</v>
      </c>
      <c r="B49" s="32">
        <f ca="1">SUMPRODUCT( (OFFSET('4_raw'!B2,0,0,D9-B9+1,1)="COTS")*( OFFSET('4_raw'!C2,0,0,D9-B9+1,1)="HC"))</f>
        <v>0</v>
      </c>
      <c r="C49" s="33">
        <f ca="1">IF(B16=0,0,(B49/B16)*100)</f>
        <v>0</v>
      </c>
      <c r="D49" s="32"/>
      <c r="E49" s="46"/>
      <c r="G49" s="40" t="s">
        <v>169</v>
      </c>
      <c r="H49">
        <f ca="1">COUNTIF(OFFSET('4_raw'!A2,0,0,D9-B9+1,1),"MON")</f>
        <v>0</v>
      </c>
      <c r="I49" s="29">
        <f ca="1">(H49/H121)*100</f>
        <v>0</v>
      </c>
      <c r="J49" s="29">
        <f ca="1">IF(H49=0,0,-1*((H49/B16)*(LN(H49/B16))))</f>
        <v>0</v>
      </c>
      <c r="K49" s="45">
        <f ca="1">IF(H49=0,0,((H49/B16)^2))</f>
        <v>0</v>
      </c>
    </row>
    <row r="50" spans="1:11" x14ac:dyDescent="0.35">
      <c r="A50" s="40" t="s">
        <v>133</v>
      </c>
      <c r="B50">
        <f ca="1">SUMPRODUCT( (OFFSET('4_raw'!B2,0,0,D9-B9+1,1)="BLEC")*( OFFSET('4_raw'!C2,0,0,D9-B9+1,1)="HC"))</f>
        <v>0</v>
      </c>
      <c r="C50" s="29">
        <f ca="1">IF(B16=0,0,(B50/B16)*100)</f>
        <v>0</v>
      </c>
      <c r="E50" s="47"/>
      <c r="G50" s="40" t="s">
        <v>171</v>
      </c>
      <c r="H50">
        <f ca="1">COUNTIF(OFFSET('4_raw'!A2,0,0,D9-B9+1,1),"MONTB")</f>
        <v>3</v>
      </c>
      <c r="I50" s="29">
        <f ca="1">(H50/H121)*100</f>
        <v>1.4634146341463417</v>
      </c>
      <c r="J50" s="29">
        <f ca="1">IF(H50=0,0,-1*((H50/B16)*(LN(H50/B16))))</f>
        <v>8.746977013240842E-2</v>
      </c>
      <c r="K50" s="45">
        <f ca="1">IF(H50=0,0,((H50/B16)^2))</f>
        <v>5.408328826392644E-4</v>
      </c>
    </row>
    <row r="51" spans="1:11" x14ac:dyDescent="0.35">
      <c r="A51" s="39" t="s">
        <v>242</v>
      </c>
      <c r="B51" s="32">
        <f ca="1">SUMPRODUCT( (OFFSET('4_raw'!B2,0,0,D9-B9+1,1)="COD")*( OFFSET('4_raw'!C2,0,0,D9-B9+1,1)="HC"))</f>
        <v>0</v>
      </c>
      <c r="C51" s="33">
        <f ca="1">IF(B16=0,0,(B51/B16)*100)</f>
        <v>0</v>
      </c>
      <c r="D51" s="32"/>
      <c r="E51" s="46"/>
      <c r="G51" s="40" t="s">
        <v>172</v>
      </c>
      <c r="H51">
        <f ca="1">COUNTIF(OFFSET('4_raw'!A2,0,0,D9-B9+1,1),"MONTE")</f>
        <v>0</v>
      </c>
      <c r="I51" s="29">
        <f ca="1">(H51/H121)*100</f>
        <v>0</v>
      </c>
      <c r="J51" s="29">
        <f ca="1">IF(H51=0,0,-1*((H51/B16)*(LN(H51/B16))))</f>
        <v>0</v>
      </c>
      <c r="K51" s="45">
        <f ca="1">IF(H51=0,0,((H51/B16)^2))</f>
        <v>0</v>
      </c>
    </row>
    <row r="52" spans="1:11" x14ac:dyDescent="0.35">
      <c r="A52" s="40" t="s">
        <v>252</v>
      </c>
      <c r="B52">
        <f ca="1">SUMPRODUCT( (OFFSET('4_raw'!B2,0,0,D9-B9+1,1)="COR")*( OFFSET('4_raw'!C2,0,0,D9-B9+1,1)="HC"))</f>
        <v>0</v>
      </c>
      <c r="C52" s="29">
        <f ca="1">IF(B16=0,0,(B52/B16)*100)</f>
        <v>0</v>
      </c>
      <c r="E52" s="47"/>
      <c r="G52" s="40" t="s">
        <v>174</v>
      </c>
      <c r="H52">
        <f ca="1">COUNTIF(OFFSET('4_raw'!A2,0,0,D9-B9+1,1),"MONTF")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45">
        <f ca="1">IF(H52=0,0,((H52/B16)^2))</f>
        <v>0</v>
      </c>
    </row>
    <row r="53" spans="1:11" x14ac:dyDescent="0.35">
      <c r="A53" s="39" t="s">
        <v>254</v>
      </c>
      <c r="B53" s="32">
        <f ca="1">SUMPRODUCT( (OFFSET('4_raw'!B2,0,0,D9-B9+1,1)="DIA")*( OFFSET('4_raw'!C2,0,0,D9-B9+1,1)="HC"))</f>
        <v>0</v>
      </c>
      <c r="C53" s="33">
        <f ca="1">IF(B16=0,0,(B53/B16)*100)</f>
        <v>0</v>
      </c>
      <c r="D53" s="32"/>
      <c r="E53" s="46"/>
      <c r="G53" s="40" t="s">
        <v>176</v>
      </c>
      <c r="H53">
        <f ca="1">COUNTIF(OFFSET('4_raw'!A2,0,0,D9-B9+1,1),"MYC")</f>
        <v>3</v>
      </c>
      <c r="I53" s="29">
        <f ca="1">(H53/H121)*100</f>
        <v>1.4634146341463417</v>
      </c>
      <c r="J53" s="29">
        <f ca="1">IF(H53=0,0,-1*((H53/B16)*(LN(H53/B16))))</f>
        <v>8.746977013240842E-2</v>
      </c>
      <c r="K53" s="45">
        <f ca="1">IF(H53=0,0,((H53/B16)^2))</f>
        <v>5.408328826392644E-4</v>
      </c>
    </row>
    <row r="54" spans="1:11" x14ac:dyDescent="0.35">
      <c r="A54" s="40" t="s">
        <v>232</v>
      </c>
      <c r="B54">
        <f ca="1">SUMPRODUCT( (OFFSET('4_raw'!B2,0,0,D9-B9+1,1)="DIS")*( OFFSET('4_raw'!C2,0,0,D9-B9+1,1)="HC"))</f>
        <v>1</v>
      </c>
      <c r="C54" s="29">
        <f ca="1">IF(B16=0,0,(B54/B16)*100)</f>
        <v>0.77519379844961245</v>
      </c>
      <c r="E54" s="47"/>
      <c r="G54" s="40" t="s">
        <v>177</v>
      </c>
      <c r="H54">
        <f ca="1">COUNTIF(OFFSET('4_raw'!A2,0,0,D9-B9+1,1),"CB")</f>
        <v>3</v>
      </c>
      <c r="I54" s="29">
        <f ca="1">(H54/H121)*100</f>
        <v>1.4634146341463417</v>
      </c>
      <c r="J54" s="29">
        <f ca="1">IF(H54=0,0,-1*((H54/B16)*(LN(H54/B16))))</f>
        <v>8.746977013240842E-2</v>
      </c>
      <c r="K54" s="45">
        <f ca="1">IF(H54=0,0,((H54/B16)^2))</f>
        <v>5.408328826392644E-4</v>
      </c>
    </row>
    <row r="55" spans="1:11" x14ac:dyDescent="0.35">
      <c r="A55" s="39" t="s">
        <v>256</v>
      </c>
      <c r="B55" s="32">
        <f ca="1">SUMPRODUCT( (OFFSET('4_raw'!B2,0,0,D9-B9+1,1)="GORG")*( OFFSET('4_raw'!C2,0,0,D9-B9+1,1)="HC"))</f>
        <v>0</v>
      </c>
      <c r="C55" s="33">
        <f ca="1">IF(B16=0,0,(B55/B16)*100)</f>
        <v>0</v>
      </c>
      <c r="D55" s="32"/>
      <c r="E55" s="46"/>
      <c r="G55" s="40" t="s">
        <v>178</v>
      </c>
      <c r="H55">
        <f ca="1">COUNTIF(OFFSET('4_raw'!A2,0,0,D9-B9+1,1),"BUB")</f>
        <v>4</v>
      </c>
      <c r="I55" s="29">
        <f ca="1">(H55/H121)*100</f>
        <v>1.9512195121951219</v>
      </c>
      <c r="J55" s="29">
        <f ca="1">IF(H55=0,0,-1*((H55/B16)*(LN(H55/B16))))</f>
        <v>0.10770598583695447</v>
      </c>
      <c r="K55" s="45">
        <f ca="1">IF(H55=0,0,((H55/B16)^2))</f>
        <v>9.6148068024758126E-4</v>
      </c>
    </row>
    <row r="56" spans="1:11" x14ac:dyDescent="0.35">
      <c r="A56" s="40" t="s">
        <v>257</v>
      </c>
      <c r="B56">
        <f ca="1">SUMPRODUCT( (OFFSET('4_raw'!B2,0,0,D9-B9+1,1)="ISIS")*( OFFSET('4_raw'!C2,0,0,D9-B9+1,1)="HC"))</f>
        <v>0</v>
      </c>
      <c r="C56" s="29">
        <f ca="1">IF(B16=0,0,(B56/B16)*100)</f>
        <v>0</v>
      </c>
      <c r="E56" s="47"/>
      <c r="G56" s="40" t="s">
        <v>179</v>
      </c>
      <c r="H56">
        <f ca="1">COUNTIF(OFFSET('4_raw'!A2,0,0,D9-B9+1,1),"CE")</f>
        <v>6</v>
      </c>
      <c r="I56" s="29">
        <f ca="1">(H56/H121)*100</f>
        <v>2.9268292682926833</v>
      </c>
      <c r="J56" s="29">
        <f ca="1">IF(H56=0,0,-1*((H56/B16)*(LN(H56/B16))))</f>
        <v>0.14270013651784264</v>
      </c>
      <c r="K56" s="45">
        <f ca="1">IF(H56=0,0,((H56/B16)^2))</f>
        <v>2.1633315305570576E-3</v>
      </c>
    </row>
    <row r="57" spans="1:11" x14ac:dyDescent="0.35">
      <c r="A57" s="39" t="s">
        <v>244</v>
      </c>
      <c r="B57" s="32">
        <f ca="1">SUMPRODUCT( (OFFSET('4_raw'!B2,0,0,D9-B9+1,1)="KAPP")*( OFFSET('4_raw'!C2,0,0,D9-B9+1,1)="HC"))</f>
        <v>0</v>
      </c>
      <c r="C57" s="33">
        <f ca="1">IF(B16=0,0,(B57/B16)*100)</f>
        <v>0</v>
      </c>
      <c r="D57" s="32"/>
      <c r="E57" s="46"/>
      <c r="G57" s="40" t="s">
        <v>180</v>
      </c>
      <c r="H57">
        <f ca="1">COUNTIF(OFFSET('4_raw'!A2,0,0,D9-B9+1,1),"CF")</f>
        <v>1</v>
      </c>
      <c r="I57" s="29">
        <f ca="1">(H57/H121)*100</f>
        <v>0.48780487804878048</v>
      </c>
      <c r="J57" s="29">
        <f ca="1">IF(H57=0,0,-1*((H57/B16)*(LN(H57/B16))))</f>
        <v>3.7672964374896679E-2</v>
      </c>
      <c r="K57" s="45">
        <f ca="1">IF(H57=0,0,((H57/B16)^2))</f>
        <v>6.0092542515473829E-5</v>
      </c>
    </row>
    <row r="58" spans="1:11" x14ac:dyDescent="0.35">
      <c r="A58" s="40" t="s">
        <v>247</v>
      </c>
      <c r="B58">
        <f ca="1">SUMPRODUCT( (OFFSET('4_raw'!B2,0,0,D9-B9+1,1)="SARG")*( OFFSET('4_raw'!C2,0,0,D9-B9+1,1)="HC"))</f>
        <v>0</v>
      </c>
      <c r="C58" s="29">
        <f ca="1">IF(B16=0,0,(B58/B16)*100)</f>
        <v>0</v>
      </c>
      <c r="E58" s="47"/>
      <c r="G58" s="40" t="s">
        <v>181</v>
      </c>
      <c r="H58">
        <f ca="1">COUNTIF(OFFSET('4_raw'!A2,0,0,D9-B9+1,1),"FOT")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45">
        <f ca="1">IF(H58=0,0,((H58/B16)^2))</f>
        <v>0</v>
      </c>
    </row>
    <row r="59" spans="1:11" x14ac:dyDescent="0.35">
      <c r="A59" s="39" t="s">
        <v>204</v>
      </c>
      <c r="B59" s="32">
        <f ca="1">SUMPRODUCT( (OFFSET('4_raw'!B2,0,0,D9-B9+1,1)="ZACRF")*( OFFSET('4_raw'!C2,0,0,D9-B9+1,1)="HC"))</f>
        <v>0</v>
      </c>
      <c r="C59" s="33">
        <f ca="1">IF(B16=0,0,(B59/B16)*100)</f>
        <v>0</v>
      </c>
      <c r="D59" s="32"/>
      <c r="E59" s="46"/>
      <c r="G59" s="40" t="s">
        <v>183</v>
      </c>
      <c r="H59">
        <f ca="1">COUNTIF(OFFSET('4_raw'!A2,0,0,D9-B9+1,1),"CM")</f>
        <v>2</v>
      </c>
      <c r="I59" s="29">
        <f ca="1">(H59/H121)*100</f>
        <v>0.97560975609756095</v>
      </c>
      <c r="J59" s="29">
        <f ca="1">IF(H59=0,0,-1*((H59/B16)*(LN(H59/B16))))</f>
        <v>6.45994608341353E-2</v>
      </c>
      <c r="K59" s="45">
        <f ca="1">IF(H59=0,0,((H59/B16)^2))</f>
        <v>2.4037017006189532E-4</v>
      </c>
    </row>
    <row r="60" spans="1:11" x14ac:dyDescent="0.35">
      <c r="A60" s="40" t="s">
        <v>206</v>
      </c>
      <c r="B60">
        <f ca="1">SUMPRODUCT( (OFFSET('4_raw'!B2,0,0,D9-B9+1,1)="ZAGARF")*( OFFSET('4_raw'!C2,0,0,D9-B9+1,1)="HC"))</f>
        <v>0</v>
      </c>
      <c r="C60" s="29">
        <f ca="1">IF(B16=0,0,(B60/B16)*100)</f>
        <v>0</v>
      </c>
      <c r="E60" s="47"/>
      <c r="G60" s="40" t="s">
        <v>184</v>
      </c>
      <c r="H60">
        <f ca="1">COUNTIF(OFFSET('4_raw'!A2,0,0,D9-B9+1,1),"OULA")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45">
        <f ca="1">IF(H60=0,0,((H60/B16)^2))</f>
        <v>0</v>
      </c>
    </row>
    <row r="61" spans="1:11" x14ac:dyDescent="0.35">
      <c r="A61" s="39" t="s">
        <v>208</v>
      </c>
      <c r="B61" s="32">
        <f ca="1">SUMPRODUCT( (OFFSET('4_raw'!B2,0,0,D9-B9+1,1)="ZAGATF")*( OFFSET('4_raw'!C2,0,0,D9-B9+1,1)="HC"))</f>
        <v>0</v>
      </c>
      <c r="C61" s="33">
        <f ca="1">IF(B16=0,0,(B61/B16)*100)</f>
        <v>0</v>
      </c>
      <c r="D61" s="32"/>
      <c r="E61" s="46"/>
      <c r="G61" s="40" t="s">
        <v>186</v>
      </c>
      <c r="H61">
        <f ca="1">COUNTIF(OFFSET('4_raw'!A2,0,0,D9-B9+1,1),"OULO")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45">
        <f ca="1">IF(H61=0,0,((H61/B16)^2))</f>
        <v>0</v>
      </c>
    </row>
    <row r="62" spans="1:11" x14ac:dyDescent="0.35">
      <c r="A62" s="40" t="s">
        <v>210</v>
      </c>
      <c r="B62">
        <f ca="1">SUMPRODUCT( (OFFSET('4_raw'!B2,0,0,D9-B9+1,1)="ZDENF")*( OFFSET('4_raw'!C2,0,0,D9-B9+1,1)="HC"))</f>
        <v>0</v>
      </c>
      <c r="C62" s="29">
        <f ca="1">IF(B16=0,0,(B62/B16)*100)</f>
        <v>0</v>
      </c>
      <c r="E62" s="47"/>
      <c r="G62" s="40" t="s">
        <v>188</v>
      </c>
      <c r="H62">
        <f ca="1">COUNTIF(OFFSET('4_raw'!A2,0,0,D9-B9+1,1),"OXY")</f>
        <v>1</v>
      </c>
      <c r="I62" s="29">
        <f ca="1">(H62/H121)*100</f>
        <v>0.48780487804878048</v>
      </c>
      <c r="J62" s="29">
        <f ca="1">IF(H62=0,0,-1*((H62/B16)*(LN(H62/B16))))</f>
        <v>3.7672964374896679E-2</v>
      </c>
      <c r="K62" s="45">
        <f ca="1">IF(H62=0,0,((H62/B16)^2))</f>
        <v>6.0092542515473829E-5</v>
      </c>
    </row>
    <row r="63" spans="1:11" x14ac:dyDescent="0.35">
      <c r="A63" s="39" t="s">
        <v>212</v>
      </c>
      <c r="B63" s="32">
        <f ca="1">SUMPRODUCT( (OFFSET('4_raw'!B2,0,0,D9-B9+1,1)="ZEUPF")*( OFFSET('4_raw'!C2,0,0,D9-B9+1,1)="HC"))</f>
        <v>0</v>
      </c>
      <c r="C63" s="33">
        <f ca="1">IF(B16=0,0,(B63/B16)*100)</f>
        <v>0</v>
      </c>
      <c r="D63" s="32"/>
      <c r="E63" s="46"/>
      <c r="G63" s="40" t="s">
        <v>189</v>
      </c>
      <c r="H63">
        <f ca="1">COUNTIF(OFFSET('4_raw'!A2,0,0,D9-B9+1,1),"PACE")</f>
        <v>5</v>
      </c>
      <c r="I63" s="29">
        <f ca="1">(H63/H121)*100</f>
        <v>2.4390243902439024</v>
      </c>
      <c r="J63" s="29">
        <f ca="1">IF(H63=0,0,-1*((H63/B16)*(LN(H63/B16))))</f>
        <v>0.12598350743905318</v>
      </c>
      <c r="K63" s="45">
        <f ca="1">IF(H63=0,0,((H63/B16)^2))</f>
        <v>1.5023135628868458E-3</v>
      </c>
    </row>
    <row r="64" spans="1:11" x14ac:dyDescent="0.35">
      <c r="A64" s="40" t="s">
        <v>214</v>
      </c>
      <c r="B64">
        <f ca="1">SUMPRODUCT( (OFFSET('4_raw'!B2,0,0,D9-B9+1,1)="ZFAVF")*( OFFSET('4_raw'!C2,0,0,D9-B9+1,1)="HC"))</f>
        <v>0</v>
      </c>
      <c r="C64" s="29">
        <f ca="1">IF(B16=0,0,(B64/B16)*100)</f>
        <v>0</v>
      </c>
      <c r="E64" s="47"/>
      <c r="G64" s="40" t="s">
        <v>190</v>
      </c>
      <c r="H64">
        <f ca="1">COUNTIF(OFFSET('4_raw'!A2,0,0,D9-B9+1,1),"PACF")</f>
        <v>6</v>
      </c>
      <c r="I64" s="29">
        <f ca="1">(H64/H121)*100</f>
        <v>2.9268292682926833</v>
      </c>
      <c r="J64" s="29">
        <f ca="1">IF(H64=0,0,-1*((H64/B16)*(LN(H64/B16))))</f>
        <v>0.14270013651784264</v>
      </c>
      <c r="K64" s="45">
        <f ca="1">IF(H64=0,0,((H64/B16)^2))</f>
        <v>2.1633315305570576E-3</v>
      </c>
    </row>
    <row r="65" spans="1:11" x14ac:dyDescent="0.35">
      <c r="A65" s="39" t="s">
        <v>216</v>
      </c>
      <c r="B65" s="32">
        <f ca="1">SUMPRODUCT( (OFFSET('4_raw'!B2,0,0,D9-B9+1,1)="ZCMRF")*( OFFSET('4_raw'!C2,0,0,D9-B9+1,1)="HC"))</f>
        <v>0</v>
      </c>
      <c r="C65" s="33">
        <f ca="1">IF(B16=0,0,(B65/B16)*100)</f>
        <v>0</v>
      </c>
      <c r="D65" s="32"/>
      <c r="E65" s="46"/>
      <c r="G65" s="40" t="s">
        <v>191</v>
      </c>
      <c r="H65">
        <f ca="1">COUNTIF(OFFSET('4_raw'!A2,0,0,D9-B9+1,1),"PAV")</f>
        <v>1</v>
      </c>
      <c r="I65" s="29">
        <f ca="1">(H65/H121)*100</f>
        <v>0.48780487804878048</v>
      </c>
      <c r="J65" s="29">
        <f ca="1">IF(H65=0,0,-1*((H65/B16)*(LN(H65/B16))))</f>
        <v>3.7672964374896679E-2</v>
      </c>
      <c r="K65" s="45">
        <f ca="1">IF(H65=0,0,((H65/B16)^2))</f>
        <v>6.0092542515473829E-5</v>
      </c>
    </row>
    <row r="66" spans="1:11" x14ac:dyDescent="0.35">
      <c r="A66" s="40" t="s">
        <v>218</v>
      </c>
      <c r="B66">
        <f ca="1">SUMPRODUCT( (OFFSET('4_raw'!B2,0,0,D9-B9+1,1)="ZMUSF")*( OFFSET('4_raw'!C2,0,0,D9-B9+1,1)="HC"))</f>
        <v>0</v>
      </c>
      <c r="C66" s="29">
        <f ca="1">IF(B16=0,0,(B66/B16)*100)</f>
        <v>0</v>
      </c>
      <c r="E66" s="47"/>
      <c r="G66" s="40" t="s">
        <v>192</v>
      </c>
      <c r="H66">
        <f ca="1">COUNTIF(OFFSET('4_raw'!A2,0,0,D9-B9+1,1),"PEC")</f>
        <v>2</v>
      </c>
      <c r="I66" s="29">
        <f ca="1">(H66/H121)*100</f>
        <v>0.97560975609756095</v>
      </c>
      <c r="J66" s="29">
        <f ca="1">IF(H66=0,0,-1*((H66/B16)*(LN(H66/B16))))</f>
        <v>6.45994608341353E-2</v>
      </c>
      <c r="K66" s="45">
        <f ca="1">IF(H66=0,0,((H66/B16)^2))</f>
        <v>2.4037017006189532E-4</v>
      </c>
    </row>
    <row r="67" spans="1:11" x14ac:dyDescent="0.35">
      <c r="A67" s="39" t="s">
        <v>220</v>
      </c>
      <c r="B67" s="32">
        <f ca="1">SUMPRODUCT( (OFFSET('4_raw'!B2,0,0,D9-B9+1,1)="ZNSC")*( OFFSET('4_raw'!C2,0,0,D9-B9+1,1)="HC"))</f>
        <v>0</v>
      </c>
      <c r="C67" s="33">
        <f ca="1">IF(B16=0,0,(B67/B16)*100)</f>
        <v>0</v>
      </c>
      <c r="D67" s="32"/>
      <c r="E67" s="46"/>
      <c r="G67" s="40" t="s">
        <v>193</v>
      </c>
      <c r="H67">
        <f ca="1">COUNTIF(OFFSET('4_raw'!A2,0,0,D9-B9+1,1),"PLAT")</f>
        <v>1</v>
      </c>
      <c r="I67" s="29">
        <f ca="1">(H67/H121)*100</f>
        <v>0.48780487804878048</v>
      </c>
      <c r="J67" s="29">
        <f ca="1">IF(H67=0,0,-1*((H67/B16)*(LN(H67/B16))))</f>
        <v>3.7672964374896679E-2</v>
      </c>
      <c r="K67" s="45">
        <f ca="1">IF(H67=0,0,((H67/B16)^2))</f>
        <v>6.0092542515473829E-5</v>
      </c>
    </row>
    <row r="68" spans="1:11" x14ac:dyDescent="0.35">
      <c r="A68" s="40" t="s">
        <v>222</v>
      </c>
      <c r="B68">
        <f ca="1">SUMPRODUCT( (OFFSET('4_raw'!B2,0,0,D9-B9+1,1)="ZOC")*( OFFSET('4_raw'!C2,0,0,D9-B9+1,1)="HC"))</f>
        <v>0</v>
      </c>
      <c r="C68" s="29">
        <f ca="1">IF(B16=0,0,(B68/B16)*100)</f>
        <v>0</v>
      </c>
      <c r="E68" s="47"/>
      <c r="G68" s="40" t="s">
        <v>194</v>
      </c>
      <c r="H68">
        <f ca="1">COUNTIF(OFFSET('4_raw'!A2,0,0,D9-B9+1,1),"POC")</f>
        <v>1</v>
      </c>
      <c r="I68" s="29">
        <f ca="1">(H68/H121)*100</f>
        <v>0.48780487804878048</v>
      </c>
      <c r="J68" s="29">
        <f ca="1">IF(H68=0,0,-1*((H68/B16)*(LN(H68/B16))))</f>
        <v>3.7672964374896679E-2</v>
      </c>
      <c r="K68" s="45">
        <f ca="1">IF(H68=0,0,((H68/B16)^2))</f>
        <v>6.0092542515473829E-5</v>
      </c>
    </row>
    <row r="69" spans="1:11" x14ac:dyDescent="0.35">
      <c r="A69" s="39" t="s">
        <v>224</v>
      </c>
      <c r="B69" s="32">
        <f ca="1">SUMPRODUCT( (OFFSET('4_raw'!B2,0,0,D9-B9+1,1)="ZPOCF")*( OFFSET('4_raw'!C2,0,0,D9-B9+1,1)="HC"))</f>
        <v>0</v>
      </c>
      <c r="C69" s="33">
        <f ca="1">IF(B16=0,0,(B69/B16)*100)</f>
        <v>0</v>
      </c>
      <c r="D69" s="32"/>
      <c r="E69" s="46"/>
      <c r="G69" s="40" t="s">
        <v>195</v>
      </c>
      <c r="H69">
        <f ca="1">COUNTIF(OFFSET('4_raw'!A2,0,0,D9-B9+1,1),"PORB")</f>
        <v>5</v>
      </c>
      <c r="I69" s="29">
        <f ca="1">(H69/H121)*100</f>
        <v>2.4390243902439024</v>
      </c>
      <c r="J69" s="29">
        <f ca="1">IF(H69=0,0,-1*((H69/B16)*(LN(H69/B16))))</f>
        <v>0.12598350743905318</v>
      </c>
      <c r="K69" s="45">
        <f ca="1">IF(H69=0,0,((H69/B16)^2))</f>
        <v>1.5023135628868458E-3</v>
      </c>
    </row>
    <row r="70" spans="1:11" ht="15" thickBot="1" x14ac:dyDescent="0.4">
      <c r="A70" s="42" t="s">
        <v>226</v>
      </c>
      <c r="B70" s="36">
        <f ca="1">SUMPRODUCT( (OFFSET('4_raw'!B2,0,0,D9-B9+1,1)="ZPORF")*( OFFSET('4_raw'!C2,0,0,D9-B9+1,1)="HC"))</f>
        <v>0</v>
      </c>
      <c r="C70" s="37">
        <f ca="1">IF(B16=0,0,(B70/B16)*100)</f>
        <v>0</v>
      </c>
      <c r="D70" s="36"/>
      <c r="E70" s="48"/>
      <c r="G70" s="40" t="s">
        <v>196</v>
      </c>
      <c r="H70">
        <f ca="1">COUNTIF(OFFSET('4_raw'!A2,0,0,D9-B9+1,1),"PORE")</f>
        <v>2</v>
      </c>
      <c r="I70" s="29">
        <f ca="1">(H70/H121)*100</f>
        <v>0.97560975609756095</v>
      </c>
      <c r="J70" s="29">
        <f ca="1">IF(H70=0,0,-1*((H70/B16)*(LN(H70/B16))))</f>
        <v>6.45994608341353E-2</v>
      </c>
      <c r="K70" s="45">
        <f ca="1">IF(H70=0,0,((H70/B16)^2))</f>
        <v>2.4037017006189532E-4</v>
      </c>
    </row>
    <row r="71" spans="1:11" ht="15" thickTop="1" x14ac:dyDescent="0.35">
      <c r="G71" s="40" t="s">
        <v>197</v>
      </c>
      <c r="H71">
        <f ca="1">COUNTIF(OFFSET('4_raw'!A2,0,0,D9-B9+1,1),"PORM")</f>
        <v>7</v>
      </c>
      <c r="I71" s="29">
        <f ca="1">(H71/H121)*100</f>
        <v>3.4146341463414638</v>
      </c>
      <c r="J71" s="29">
        <f ca="1">IF(H71=0,0,-1*((H71/B16)*(LN(H71/B16))))</f>
        <v>0.15811872703212801</v>
      </c>
      <c r="K71" s="45">
        <f ca="1">IF(H71=0,0,((H71/B16)^2))</f>
        <v>2.9445345832582177E-3</v>
      </c>
    </row>
    <row r="72" spans="1:11" x14ac:dyDescent="0.35">
      <c r="G72" s="40" t="s">
        <v>198</v>
      </c>
      <c r="H72">
        <f ca="1">COUNTIF(OFFSET('4_raw'!A2,0,0,D9-B9+1,1),"SER")</f>
        <v>1</v>
      </c>
      <c r="I72" s="29">
        <f ca="1">(H72/H121)*100</f>
        <v>0.48780487804878048</v>
      </c>
      <c r="J72" s="29">
        <f ca="1">IF(H72=0,0,-1*((H72/B16)*(LN(H72/B16))))</f>
        <v>3.7672964374896679E-2</v>
      </c>
      <c r="K72" s="45">
        <f ca="1">IF(H72=0,0,((H72/B16)^2))</f>
        <v>6.0092542515473829E-5</v>
      </c>
    </row>
    <row r="73" spans="1:11" x14ac:dyDescent="0.35">
      <c r="G73" s="40" t="s">
        <v>199</v>
      </c>
      <c r="H73">
        <f ca="1">COUNTIF(OFFSET('4_raw'!A2,0,0,D9-B9+1,1),"STY")</f>
        <v>1</v>
      </c>
      <c r="I73" s="29">
        <f ca="1">(H73/H121)*100</f>
        <v>0.48780487804878048</v>
      </c>
      <c r="J73" s="29">
        <f ca="1">IF(H73=0,0,-1*((H73/B16)*(LN(H73/B16))))</f>
        <v>3.7672964374896679E-2</v>
      </c>
      <c r="K73" s="45">
        <f ca="1">IF(H73=0,0,((H73/B16)^2))</f>
        <v>6.0092542515473829E-5</v>
      </c>
    </row>
    <row r="74" spans="1:11" x14ac:dyDescent="0.35">
      <c r="G74" s="40" t="s">
        <v>200</v>
      </c>
      <c r="H74">
        <f ca="1">COUNTIF(OFFSET('4_raw'!A2,0,0,D9-B9+1,1),"SYM")</f>
        <v>1</v>
      </c>
      <c r="I74" s="29">
        <f ca="1">(H74/H121)*100</f>
        <v>0.48780487804878048</v>
      </c>
      <c r="J74" s="29">
        <f ca="1">IF(H74=0,0,-1*((H74/B16)*(LN(H74/B16))))</f>
        <v>3.7672964374896679E-2</v>
      </c>
      <c r="K74" s="45">
        <f ca="1">IF(H74=0,0,((H74/B16)^2))</f>
        <v>6.0092542515473829E-5</v>
      </c>
    </row>
    <row r="75" spans="1:11" x14ac:dyDescent="0.35">
      <c r="G75" s="40" t="s">
        <v>201</v>
      </c>
      <c r="H75">
        <f ca="1">COUNTIF(OFFSET('4_raw'!A2,0,0,D9-B9+1,1),"TUBI")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45">
        <f ca="1">IF(H75=0,0,((H75/B16)^2))</f>
        <v>0</v>
      </c>
    </row>
    <row r="76" spans="1:11" x14ac:dyDescent="0.35">
      <c r="G76" s="40" t="s">
        <v>203</v>
      </c>
      <c r="H76">
        <f ca="1">COUNTIF(OFFSET('4_raw'!A2,0,0,D9-B9+1,1),"TURB")</f>
        <v>8</v>
      </c>
      <c r="I76" s="29">
        <f ca="1">(H76/H121)*100</f>
        <v>3.9024390243902438</v>
      </c>
      <c r="J76" s="29">
        <f ca="1">IF(H76=0,0,-1*((H76/B16)*(LN(H76/B16))))</f>
        <v>0.17242610001127667</v>
      </c>
      <c r="K76" s="45">
        <f ca="1">IF(H76=0,0,((H76/B16)^2))</f>
        <v>3.8459227209903251E-3</v>
      </c>
    </row>
    <row r="77" spans="1:11" x14ac:dyDescent="0.35">
      <c r="G77" s="40" t="s">
        <v>204</v>
      </c>
      <c r="H77">
        <f ca="1">COUNTIF(OFFSET('4_raw'!A2,0,0,D9-B9+1,1),"ZACRF")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45">
        <f ca="1">IF(H77=0,0,((H77/B16)^2))</f>
        <v>0</v>
      </c>
    </row>
    <row r="78" spans="1:11" x14ac:dyDescent="0.35">
      <c r="G78" s="40" t="s">
        <v>206</v>
      </c>
      <c r="H78">
        <f ca="1">COUNTIF(OFFSET('4_raw'!A2,0,0,D9-B9+1,1),"ZAGARF")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45">
        <f ca="1">IF(H78=0,0,((H78/B16)^2))</f>
        <v>0</v>
      </c>
    </row>
    <row r="79" spans="1:11" x14ac:dyDescent="0.35">
      <c r="G79" s="40" t="s">
        <v>208</v>
      </c>
      <c r="H79">
        <f ca="1">COUNTIF(OFFSET('4_raw'!A2,0,0,D9-B9+1,1),"ZAGATF")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45">
        <f ca="1">IF(H79=0,0,((H79/B16)^2))</f>
        <v>0</v>
      </c>
    </row>
    <row r="80" spans="1:11" x14ac:dyDescent="0.35">
      <c r="G80" s="40" t="s">
        <v>210</v>
      </c>
      <c r="H80">
        <f ca="1">COUNTIF(OFFSET('4_raw'!A2,0,0,D9-B9+1,1),"ZDENF")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45">
        <f ca="1">IF(H80=0,0,((H80/B16)^2))</f>
        <v>0</v>
      </c>
    </row>
    <row r="81" spans="7:11" x14ac:dyDescent="0.35">
      <c r="G81" s="40" t="s">
        <v>212</v>
      </c>
      <c r="H81">
        <f ca="1">COUNTIF(OFFSET('4_raw'!A2,0,0,D9-B9+1,1),"ZEUPF")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45">
        <f ca="1">IF(H81=0,0,((H81/B16)^2))</f>
        <v>0</v>
      </c>
    </row>
    <row r="82" spans="7:11" x14ac:dyDescent="0.35">
      <c r="G82" s="40" t="s">
        <v>214</v>
      </c>
      <c r="H82">
        <f ca="1">COUNTIF(OFFSET('4_raw'!A2,0,0,D9-B9+1,1),"ZFAVF")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45">
        <f ca="1">IF(H82=0,0,((H82/B16)^2))</f>
        <v>0</v>
      </c>
    </row>
    <row r="83" spans="7:11" x14ac:dyDescent="0.35">
      <c r="G83" s="40" t="s">
        <v>216</v>
      </c>
      <c r="H83">
        <f ca="1">COUNTIF(OFFSET('4_raw'!A2,0,0,D9-B9+1,1),"ZCMRF")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45">
        <f ca="1">IF(H83=0,0,((H83/B16)^2))</f>
        <v>0</v>
      </c>
    </row>
    <row r="84" spans="7:11" x14ac:dyDescent="0.35">
      <c r="G84" s="40" t="s">
        <v>218</v>
      </c>
      <c r="H84">
        <f ca="1">COUNTIF(OFFSET('4_raw'!A2,0,0,D9-B9+1,1),"ZMUSF")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45">
        <f ca="1">IF(H84=0,0,((H84/B16)^2))</f>
        <v>0</v>
      </c>
    </row>
    <row r="85" spans="7:11" x14ac:dyDescent="0.35">
      <c r="G85" s="40" t="s">
        <v>220</v>
      </c>
      <c r="H85">
        <f ca="1">COUNTIF(OFFSET('4_raw'!A2,0,0,D9-B9+1,1),"ZNSC")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45">
        <f ca="1">IF(H85=0,0,((H85/B16)^2))</f>
        <v>0</v>
      </c>
    </row>
    <row r="86" spans="7:11" x14ac:dyDescent="0.35">
      <c r="G86" s="40" t="s">
        <v>222</v>
      </c>
      <c r="H86">
        <f ca="1">COUNTIF(OFFSET('4_raw'!A2,0,0,D9-B9+1,1),"ZOC")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45">
        <f ca="1">IF(H86=0,0,((H86/B16)^2))</f>
        <v>0</v>
      </c>
    </row>
    <row r="87" spans="7:11" x14ac:dyDescent="0.35">
      <c r="G87" s="40" t="s">
        <v>224</v>
      </c>
      <c r="H87">
        <f ca="1">COUNTIF(OFFSET('4_raw'!A2,0,0,D9-B9+1,1),"ZPOCF")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45">
        <f ca="1">IF(H87=0,0,((H87/B16)^2))</f>
        <v>0</v>
      </c>
    </row>
    <row r="88" spans="7:11" x14ac:dyDescent="0.35">
      <c r="G88" s="40" t="s">
        <v>226</v>
      </c>
      <c r="H88">
        <f ca="1">COUNTIF(OFFSET('4_raw'!A2,0,0,D9-B9+1,1),"ZPORF")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45">
        <f ca="1">IF(H88=0,0,((H88/B16)^2))</f>
        <v>0</v>
      </c>
    </row>
    <row r="89" spans="7:11" x14ac:dyDescent="0.35">
      <c r="G89" s="41" t="s">
        <v>109</v>
      </c>
      <c r="K89" s="47"/>
    </row>
    <row r="90" spans="7:11" x14ac:dyDescent="0.35">
      <c r="G90" s="40" t="s">
        <v>228</v>
      </c>
      <c r="H90">
        <f ca="1">COUNTIF(OFFSET('4_raw'!A2,0,0,D9-B9+1,1),"AA")</f>
        <v>28</v>
      </c>
      <c r="I90" s="29">
        <f ca="1">(H90/H121)*100</f>
        <v>13.658536585365855</v>
      </c>
      <c r="J90" s="29">
        <f ca="1">IF(H90=0,0,-1*((H90/B17)*(LN(H90/B17))))</f>
        <v>0.32920375355638065</v>
      </c>
      <c r="K90" s="45">
        <f ca="1">IF(H90=0,0,((H90/B17)^2))</f>
        <v>0.3014225297962323</v>
      </c>
    </row>
    <row r="91" spans="7:11" x14ac:dyDescent="0.35">
      <c r="G91" s="40" t="s">
        <v>229</v>
      </c>
      <c r="H91">
        <f ca="1">COUNTIF(OFFSET('4_raw'!A2,0,0,D9-B9+1,1),"CA")</f>
        <v>21</v>
      </c>
      <c r="I91" s="29">
        <f ca="1">(H91/H121)*100</f>
        <v>10.24390243902439</v>
      </c>
      <c r="J91" s="29">
        <f ca="1">IF(H91=0,0,-1*((H91/B17)*(LN(H91/B17))))</f>
        <v>0.36536013911801879</v>
      </c>
      <c r="K91" s="45">
        <f ca="1">IF(H91=0,0,((H91/B17)^2))</f>
        <v>0.16955017301038061</v>
      </c>
    </row>
    <row r="92" spans="7:11" x14ac:dyDescent="0.35">
      <c r="G92" s="40" t="s">
        <v>230</v>
      </c>
      <c r="H92">
        <f ca="1">COUNTIF(OFFSET('4_raw'!A2,0,0,D9-B9+1,1),"DC")</f>
        <v>1</v>
      </c>
      <c r="I92" s="29">
        <f ca="1">(H92/H121)*100</f>
        <v>0.48780487804878048</v>
      </c>
      <c r="J92" s="29">
        <f ca="1">IF(H92=0,0,-1*((H92/B17)*(LN(H92/B17))))</f>
        <v>7.7094620249496579E-2</v>
      </c>
      <c r="K92" s="45">
        <f ca="1">IF(H92=0,0,((H92/B17)^2))</f>
        <v>3.8446751249519417E-4</v>
      </c>
    </row>
    <row r="93" spans="7:11" x14ac:dyDescent="0.35">
      <c r="G93" s="40" t="s">
        <v>231</v>
      </c>
      <c r="H93">
        <f ca="1">COUNTIF(OFFSET('4_raw'!A2,0,0,D9-B9+1,1),"DCA")</f>
        <v>1</v>
      </c>
      <c r="I93" s="29">
        <f ca="1">(H93/H121)*100</f>
        <v>0.48780487804878048</v>
      </c>
      <c r="J93" s="29">
        <f ca="1">IF(H93=0,0,-1*((H93/B17)*(LN(H93/B17))))</f>
        <v>7.7094620249496579E-2</v>
      </c>
      <c r="K93" s="45">
        <f ca="1">IF(H93=0,0,((H93/B17)^2))</f>
        <v>3.8446751249519417E-4</v>
      </c>
    </row>
    <row r="94" spans="7:11" x14ac:dyDescent="0.35">
      <c r="G94" s="40" t="s">
        <v>232</v>
      </c>
      <c r="H94">
        <f ca="1">COUNTIF(OFFSET('4_raw'!A2,0,0,D9-B9+1,1),"DIS")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45">
        <f ca="1">IF(H94=0,0,((H94/B17)^2))</f>
        <v>0</v>
      </c>
    </row>
    <row r="95" spans="7:11" x14ac:dyDescent="0.35">
      <c r="G95" s="41" t="s">
        <v>110</v>
      </c>
      <c r="K95" s="47"/>
    </row>
    <row r="96" spans="7:11" x14ac:dyDescent="0.35">
      <c r="G96" s="40" t="s">
        <v>233</v>
      </c>
      <c r="H96">
        <f ca="1">COUNTIF(OFFSET('4_raw'!A2,0,0,D9-B9+1,1),"GRV")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45">
        <f ca="1">IF(H96=0,0,((H96/B18)^2))</f>
        <v>0</v>
      </c>
    </row>
    <row r="97" spans="7:11" x14ac:dyDescent="0.35">
      <c r="G97" s="40" t="s">
        <v>235</v>
      </c>
      <c r="H97">
        <f ca="1">COUNTIF(OFFSET('4_raw'!A2,0,0,D9-B9+1,1),"R")</f>
        <v>1</v>
      </c>
      <c r="I97" s="29">
        <f ca="1">(H97/H121)*100</f>
        <v>0.48780487804878048</v>
      </c>
      <c r="J97" s="29">
        <f ca="1">IF(H97=0,0,-1*((H97/B18)*(LN(H97/B18))))</f>
        <v>0</v>
      </c>
      <c r="K97" s="45">
        <f ca="1">IF(H97=0,0,((H97/B18)^2))</f>
        <v>1</v>
      </c>
    </row>
    <row r="98" spans="7:11" x14ac:dyDescent="0.35">
      <c r="G98" s="40" t="s">
        <v>236</v>
      </c>
      <c r="H98">
        <f ca="1">COUNTIF(OFFSET('4_raw'!A2,0,0,D9-B9+1,1),"S")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45">
        <f ca="1">IF(H98=0,0,((H98/B18)^2))</f>
        <v>0</v>
      </c>
    </row>
    <row r="99" spans="7:11" x14ac:dyDescent="0.35">
      <c r="G99" s="40" t="s">
        <v>238</v>
      </c>
      <c r="H99">
        <f ca="1">COUNTIF(OFFSET('4_raw'!A2,0,0,D9-B9+1,1),"RCK")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45">
        <f ca="1">IF(H99=0,0,((H99/B18)^2))</f>
        <v>0</v>
      </c>
    </row>
    <row r="100" spans="7:11" x14ac:dyDescent="0.35">
      <c r="G100" s="40" t="s">
        <v>240</v>
      </c>
      <c r="H100">
        <f ca="1">COUNTIF(OFFSET('4_raw'!A2,0,0,D9-B9+1,1),"SI")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45">
        <f ca="1">IF(H100=0,0,((H100/B18)^2))</f>
        <v>0</v>
      </c>
    </row>
    <row r="101" spans="7:11" x14ac:dyDescent="0.35">
      <c r="G101" s="41" t="s">
        <v>111</v>
      </c>
      <c r="K101" s="47"/>
    </row>
    <row r="102" spans="7:11" x14ac:dyDescent="0.35">
      <c r="G102" s="40" t="s">
        <v>242</v>
      </c>
      <c r="H102">
        <f ca="1">COUNTIF(OFFSET('4_raw'!A2,0,0,D9-B9+1,1),"COD")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45">
        <f ca="1">IF(H102=0,0,((H102/B19)^2))</f>
        <v>0</v>
      </c>
    </row>
    <row r="103" spans="7:11" x14ac:dyDescent="0.35">
      <c r="G103" s="40" t="s">
        <v>244</v>
      </c>
      <c r="H103">
        <f ca="1">COUNTIF(OFFSET('4_raw'!A2,0,0,D9-B9+1,1),"KAPP")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45">
        <f ca="1">IF(H103=0,0,((H103/B19)^2))</f>
        <v>0</v>
      </c>
    </row>
    <row r="104" spans="7:11" x14ac:dyDescent="0.35">
      <c r="G104" s="40" t="s">
        <v>246</v>
      </c>
      <c r="H104">
        <f ca="1">COUNTIF(OFFSET('4_raw'!A2,0,0,D9-B9+1,1),"MA")</f>
        <v>0</v>
      </c>
      <c r="I104" s="29">
        <f ca="1">(H104/H121)*100</f>
        <v>0</v>
      </c>
      <c r="J104" s="29">
        <f ca="1">IF(H104=0,0,-1*((H104/B19)*(LN(H104/B19))))</f>
        <v>0</v>
      </c>
      <c r="K104" s="45">
        <f ca="1">IF(H104=0,0,((H104/B19)^2))</f>
        <v>0</v>
      </c>
    </row>
    <row r="105" spans="7:11" x14ac:dyDescent="0.35">
      <c r="G105" s="40" t="s">
        <v>247</v>
      </c>
      <c r="H105">
        <f ca="1">COUNTIF(OFFSET('4_raw'!A2,0,0,D9-B9+1,1),"SARG")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45">
        <f ca="1">IF(H105=0,0,((H105/B19)^2))</f>
        <v>0</v>
      </c>
    </row>
    <row r="106" spans="7:11" x14ac:dyDescent="0.35">
      <c r="G106" s="41" t="s">
        <v>113</v>
      </c>
      <c r="K106" s="47"/>
    </row>
    <row r="107" spans="7:11" x14ac:dyDescent="0.35">
      <c r="G107" s="40" t="s">
        <v>249</v>
      </c>
      <c r="H107">
        <f ca="1">COUNTIF(OFFSET('4_raw'!A2,0,0,D9-B9+1,1),"HA")</f>
        <v>0</v>
      </c>
      <c r="I107" s="29">
        <f ca="1">(H107/H121)*100</f>
        <v>0</v>
      </c>
      <c r="J107" s="29">
        <f ca="1">IF(H107=0,0,-1*((H107/B20)*(LN(H107/B20))))</f>
        <v>0</v>
      </c>
      <c r="K107" s="45">
        <f ca="1">IF(H107=0,0,((H107/B20)^2))</f>
        <v>0</v>
      </c>
    </row>
    <row r="108" spans="7:11" x14ac:dyDescent="0.35">
      <c r="G108" s="41" t="s">
        <v>115</v>
      </c>
      <c r="K108" s="47"/>
    </row>
    <row r="109" spans="7:11" x14ac:dyDescent="0.35">
      <c r="G109" s="40" t="s">
        <v>250</v>
      </c>
      <c r="H109">
        <f ca="1">COUNTIF(OFFSET('4_raw'!A2,0,0,D9-B9+1,1),"COTS")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45">
        <f ca="1">IF(H109=0,0,((H109/B21)^2))</f>
        <v>0</v>
      </c>
    </row>
    <row r="110" spans="7:11" x14ac:dyDescent="0.35">
      <c r="G110" s="40" t="s">
        <v>252</v>
      </c>
      <c r="H110">
        <f ca="1">COUNTIF(OFFSET('4_raw'!A2,0,0,D9-B9+1,1),"COR")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45">
        <f ca="1">IF(H110=0,0,((H110/B21)^2))</f>
        <v>0</v>
      </c>
    </row>
    <row r="111" spans="7:11" x14ac:dyDescent="0.35">
      <c r="G111" s="40" t="s">
        <v>254</v>
      </c>
      <c r="H111">
        <f ca="1">COUNTIF(OFFSET('4_raw'!A2,0,0,D9-B9+1,1),"DIA")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45">
        <f ca="1">IF(H111=0,0,((H111/B21)^2))</f>
        <v>0</v>
      </c>
    </row>
    <row r="112" spans="7:11" x14ac:dyDescent="0.35">
      <c r="G112" s="40" t="s">
        <v>256</v>
      </c>
      <c r="H112">
        <f ca="1">COUNTIF(OFFSET('4_raw'!A2,0,0,D9-B9+1,1),"GORG")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45">
        <f ca="1">IF(H112=0,0,((H112/B21)^2))</f>
        <v>0</v>
      </c>
    </row>
    <row r="113" spans="7:11" x14ac:dyDescent="0.35">
      <c r="G113" s="40" t="s">
        <v>257</v>
      </c>
      <c r="H113">
        <f ca="1">COUNTIF(OFFSET('4_raw'!A2,0,0,D9-B9+1,1),"ISIS")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45">
        <f ca="1">IF(H113=0,0,((H113/B21)^2))</f>
        <v>0</v>
      </c>
    </row>
    <row r="114" spans="7:11" x14ac:dyDescent="0.35">
      <c r="G114" s="40" t="s">
        <v>259</v>
      </c>
      <c r="H114">
        <f ca="1">COUNTIF(OFFSET('4_raw'!A2,0,0,D9-B9+1,1),"OT")</f>
        <v>3</v>
      </c>
      <c r="I114" s="29">
        <f ca="1">(H114/H121)*100</f>
        <v>1.4634146341463417</v>
      </c>
      <c r="J114" s="29">
        <f ca="1">IF(H114=0,0,-1*((H114/B21)*(LN(H114/B21))))</f>
        <v>0.25993019270997947</v>
      </c>
      <c r="K114" s="45">
        <f ca="1">IF(H114=0,0,((H114/B21)^2))</f>
        <v>1.5625E-2</v>
      </c>
    </row>
    <row r="115" spans="7:11" x14ac:dyDescent="0.35">
      <c r="G115" s="40" t="s">
        <v>260</v>
      </c>
      <c r="H115">
        <f ca="1">COUNTIF(OFFSET('4_raw'!A2,0,0,D9-B9+1,1),"SG")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45">
        <f ca="1">IF(H115=0,0,((H115/B21)^2))</f>
        <v>0</v>
      </c>
    </row>
    <row r="116" spans="7:11" x14ac:dyDescent="0.35">
      <c r="G116" s="40" t="s">
        <v>262</v>
      </c>
      <c r="H116">
        <f ca="1">COUNTIF(OFFSET('4_raw'!A2,0,0,D9-B9+1,1),"SC")</f>
        <v>1</v>
      </c>
      <c r="I116" s="29">
        <f ca="1">(H116/H121)*100</f>
        <v>0.48780487804878048</v>
      </c>
      <c r="J116" s="29">
        <f ca="1">IF(H116=0,0,-1*((H116/B21)*(LN(H116/B21))))</f>
        <v>0.13241890959783106</v>
      </c>
      <c r="K116" s="45">
        <f ca="1">IF(H116=0,0,((H116/B21)^2))</f>
        <v>1.736111111111111E-3</v>
      </c>
    </row>
    <row r="117" spans="7:11" x14ac:dyDescent="0.35">
      <c r="G117" s="40" t="s">
        <v>263</v>
      </c>
      <c r="H117">
        <f ca="1">COUNTIF(OFFSET('4_raw'!A2,0,0,D9-B9+1,1),"SP")</f>
        <v>20</v>
      </c>
      <c r="I117" s="29">
        <f ca="1">(H117/H121)*100</f>
        <v>9.7560975609756095</v>
      </c>
      <c r="J117" s="29">
        <f ca="1">IF(H117=0,0,-1*((H117/B21)*(LN(H117/B21))))</f>
        <v>0.15193463066162882</v>
      </c>
      <c r="K117" s="45">
        <f ca="1">IF(H117=0,0,((H117/B21)^2))</f>
        <v>0.69444444444444453</v>
      </c>
    </row>
    <row r="118" spans="7:11" x14ac:dyDescent="0.35">
      <c r="G118" s="40" t="s">
        <v>264</v>
      </c>
      <c r="H118">
        <f ca="1">COUNTIF(OFFSET('4_raw'!A2,0,0,D9-B9+1,1),"ZO")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45">
        <f ca="1">IF(H118=0,0,((H118/B21)^2))</f>
        <v>0</v>
      </c>
    </row>
    <row r="119" spans="7:11" x14ac:dyDescent="0.35">
      <c r="G119" s="41" t="s">
        <v>116</v>
      </c>
      <c r="K119" s="47"/>
    </row>
    <row r="120" spans="7:11" x14ac:dyDescent="0.35">
      <c r="G120" s="40" t="s">
        <v>266</v>
      </c>
      <c r="H120">
        <f ca="1">COUNTIF(OFFSET('4_raw'!A2,0,0,D9-B9+1,1),"TWB")</f>
        <v>15</v>
      </c>
      <c r="I120" s="29">
        <f ca="1">(H120/SUM(H15:H120))*100</f>
        <v>6.8181818181818175</v>
      </c>
      <c r="J120" s="29"/>
      <c r="K120" s="45">
        <f ca="1">IF(H120=0,0,((H120/B22)^2))</f>
        <v>1</v>
      </c>
    </row>
    <row r="121" spans="7:11" ht="15" thickBot="1" x14ac:dyDescent="0.4">
      <c r="G121" s="42" t="s">
        <v>313</v>
      </c>
      <c r="H121" s="37">
        <f ca="1">SUM(H16:H118)</f>
        <v>205</v>
      </c>
      <c r="I121" s="37">
        <f ca="1">SUM(I16:I118)</f>
        <v>99.999999999999972</v>
      </c>
      <c r="J121" s="36"/>
      <c r="K121" s="48"/>
    </row>
    <row r="122" spans="7:11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2A36-7B1E-4C14-94BA-E0CEA165C8A7}">
  <dimension ref="A1:AN221"/>
  <sheetViews>
    <sheetView workbookViewId="0"/>
  </sheetViews>
  <sheetFormatPr defaultRowHeight="14.5" x14ac:dyDescent="0.35"/>
  <cols>
    <col min="1" max="1" width="9.6328125" bestFit="1" customWidth="1"/>
    <col min="2" max="2" width="12.1796875" bestFit="1" customWidth="1"/>
    <col min="3" max="3" width="6.81640625" bestFit="1" customWidth="1"/>
    <col min="4" max="4" width="7.90625" bestFit="1" customWidth="1"/>
    <col min="5" max="5" width="7.54296875" bestFit="1" customWidth="1"/>
    <col min="6" max="6" width="9.26953125" bestFit="1" customWidth="1"/>
    <col min="7" max="7" width="6.1796875" bestFit="1" customWidth="1"/>
    <col min="8" max="8" width="8.6328125" bestFit="1" customWidth="1"/>
    <col min="9" max="9" width="7.7265625" bestFit="1" customWidth="1"/>
    <col min="10" max="10" width="9.08984375" bestFit="1" customWidth="1"/>
    <col min="11" max="11" width="6.81640625" bestFit="1" customWidth="1"/>
    <col min="12" max="12" width="8.1796875" bestFit="1" customWidth="1"/>
    <col min="13" max="13" width="9.453125" bestFit="1" customWidth="1"/>
    <col min="14" max="14" width="6.54296875" bestFit="1" customWidth="1"/>
    <col min="15" max="15" width="8" bestFit="1" customWidth="1"/>
    <col min="16" max="16" width="11.453125" bestFit="1" customWidth="1"/>
    <col min="17" max="17" width="14.1796875" bestFit="1" customWidth="1"/>
    <col min="18" max="18" width="6" bestFit="1" customWidth="1"/>
    <col min="19" max="19" width="5.36328125" bestFit="1" customWidth="1"/>
    <col min="20" max="20" width="7.08984375" bestFit="1" customWidth="1"/>
    <col min="21" max="21" width="11" bestFit="1" customWidth="1"/>
    <col min="22" max="22" width="10.36328125" bestFit="1" customWidth="1"/>
    <col min="23" max="23" width="10.453125" bestFit="1" customWidth="1"/>
    <col min="24" max="24" width="12.453125" bestFit="1" customWidth="1"/>
    <col min="25" max="25" width="7.26953125" bestFit="1" customWidth="1"/>
    <col min="26" max="26" width="4.54296875" bestFit="1" customWidth="1"/>
    <col min="27" max="27" width="12" bestFit="1" customWidth="1"/>
    <col min="28" max="28" width="12.453125" bestFit="1" customWidth="1"/>
    <col min="29" max="29" width="66.08984375" bestFit="1" customWidth="1"/>
    <col min="30" max="30" width="66.26953125" bestFit="1" customWidth="1"/>
    <col min="31" max="31" width="10.81640625" bestFit="1" customWidth="1"/>
    <col min="32" max="32" width="6.7265625" bestFit="1" customWidth="1"/>
    <col min="33" max="33" width="7.26953125" bestFit="1" customWidth="1"/>
    <col min="34" max="34" width="22.81640625" bestFit="1" customWidth="1"/>
    <col min="35" max="35" width="7.36328125" bestFit="1" customWidth="1"/>
    <col min="36" max="36" width="11.08984375" bestFit="1" customWidth="1"/>
    <col min="37" max="37" width="22.81640625" bestFit="1" customWidth="1"/>
    <col min="38" max="38" width="5.81640625" bestFit="1" customWidth="1"/>
    <col min="39" max="40" width="4.81640625" bestFit="1" customWidth="1"/>
  </cols>
  <sheetData>
    <row r="1" spans="1:40" x14ac:dyDescent="0.35">
      <c r="A1" s="1" t="s">
        <v>319</v>
      </c>
      <c r="B1" s="1" t="s">
        <v>362</v>
      </c>
      <c r="C1" s="1" t="s">
        <v>321</v>
      </c>
      <c r="D1" s="1" t="s">
        <v>322</v>
      </c>
      <c r="E1" s="1" t="s">
        <v>323</v>
      </c>
      <c r="F1" s="1" t="s">
        <v>363</v>
      </c>
      <c r="G1" s="1" t="s">
        <v>325</v>
      </c>
      <c r="H1" s="1" t="s">
        <v>326</v>
      </c>
      <c r="I1" s="1" t="s">
        <v>327</v>
      </c>
      <c r="J1" s="1" t="s">
        <v>364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365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366</v>
      </c>
      <c r="V1" s="1" t="s">
        <v>367</v>
      </c>
      <c r="W1" s="1" t="s">
        <v>368</v>
      </c>
      <c r="X1" s="1" t="s">
        <v>342</v>
      </c>
      <c r="Y1" s="1" t="s">
        <v>343</v>
      </c>
      <c r="Z1" s="1" t="s">
        <v>344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315</v>
      </c>
      <c r="AL1" s="1" t="s">
        <v>26</v>
      </c>
      <c r="AM1" s="1" t="s">
        <v>1</v>
      </c>
      <c r="AN1" s="1" t="s">
        <v>2</v>
      </c>
    </row>
    <row r="2" spans="1:40" x14ac:dyDescent="0.35">
      <c r="A2" t="s">
        <v>379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  <c r="N2" t="s">
        <v>379</v>
      </c>
      <c r="O2" t="s">
        <v>379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  <c r="W2" t="s">
        <v>379</v>
      </c>
      <c r="X2" t="s">
        <v>379</v>
      </c>
      <c r="Y2" t="s">
        <v>379</v>
      </c>
      <c r="Z2" t="s">
        <v>379</v>
      </c>
      <c r="AA2" t="s">
        <v>379</v>
      </c>
      <c r="AB2" t="s">
        <v>379</v>
      </c>
      <c r="AC2" t="s">
        <v>359</v>
      </c>
      <c r="AD2" t="s">
        <v>358</v>
      </c>
      <c r="AE2">
        <v>10</v>
      </c>
      <c r="AF2">
        <v>1</v>
      </c>
      <c r="AH2" t="s">
        <v>380</v>
      </c>
      <c r="AJ2" t="s">
        <v>37</v>
      </c>
      <c r="AK2" t="s">
        <v>115</v>
      </c>
      <c r="AM2">
        <v>1928</v>
      </c>
      <c r="AN2">
        <v>2335</v>
      </c>
    </row>
    <row r="3" spans="1:40" x14ac:dyDescent="0.35">
      <c r="A3" t="s">
        <v>379</v>
      </c>
      <c r="B3" t="s">
        <v>379</v>
      </c>
      <c r="C3" t="s">
        <v>379</v>
      </c>
      <c r="D3" t="s">
        <v>379</v>
      </c>
      <c r="E3" t="s">
        <v>379</v>
      </c>
      <c r="F3" t="s">
        <v>379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379</v>
      </c>
      <c r="M3" t="s">
        <v>379</v>
      </c>
      <c r="N3" t="s">
        <v>379</v>
      </c>
      <c r="O3" t="s">
        <v>379</v>
      </c>
      <c r="P3" t="s">
        <v>379</v>
      </c>
      <c r="Q3" t="s">
        <v>379</v>
      </c>
      <c r="R3" t="s">
        <v>379</v>
      </c>
      <c r="S3" t="s">
        <v>379</v>
      </c>
      <c r="T3" t="s">
        <v>379</v>
      </c>
      <c r="U3" t="s">
        <v>379</v>
      </c>
      <c r="V3" t="s">
        <v>379</v>
      </c>
      <c r="W3" t="s">
        <v>379</v>
      </c>
      <c r="X3" t="s">
        <v>379</v>
      </c>
      <c r="Y3" t="s">
        <v>379</v>
      </c>
      <c r="Z3" t="s">
        <v>379</v>
      </c>
      <c r="AA3" t="s">
        <v>379</v>
      </c>
      <c r="AB3" t="s">
        <v>379</v>
      </c>
      <c r="AC3" t="s">
        <v>359</v>
      </c>
      <c r="AD3" t="s">
        <v>358</v>
      </c>
      <c r="AE3">
        <v>10</v>
      </c>
      <c r="AF3">
        <v>2</v>
      </c>
      <c r="AG3">
        <v>1</v>
      </c>
      <c r="AH3" t="s">
        <v>381</v>
      </c>
      <c r="AJ3" t="s">
        <v>39</v>
      </c>
      <c r="AK3" t="s">
        <v>108</v>
      </c>
      <c r="AM3">
        <v>1713</v>
      </c>
      <c r="AN3">
        <v>100</v>
      </c>
    </row>
    <row r="4" spans="1:40" x14ac:dyDescent="0.35">
      <c r="A4" t="s">
        <v>379</v>
      </c>
      <c r="B4" t="s">
        <v>379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  <c r="N4" t="s">
        <v>379</v>
      </c>
      <c r="O4" t="s">
        <v>379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  <c r="W4" t="s">
        <v>379</v>
      </c>
      <c r="X4" t="s">
        <v>379</v>
      </c>
      <c r="Y4" t="s">
        <v>379</v>
      </c>
      <c r="Z4" t="s">
        <v>379</v>
      </c>
      <c r="AA4" t="s">
        <v>379</v>
      </c>
      <c r="AB4" t="s">
        <v>379</v>
      </c>
      <c r="AC4" t="s">
        <v>359</v>
      </c>
      <c r="AD4" t="s">
        <v>358</v>
      </c>
      <c r="AE4">
        <v>10</v>
      </c>
      <c r="AF4">
        <v>3</v>
      </c>
      <c r="AH4" t="s">
        <v>116</v>
      </c>
      <c r="AJ4" t="s">
        <v>41</v>
      </c>
      <c r="AK4" t="s">
        <v>116</v>
      </c>
      <c r="AM4">
        <v>1014</v>
      </c>
      <c r="AN4">
        <v>1254</v>
      </c>
    </row>
    <row r="5" spans="1:40" x14ac:dyDescent="0.35">
      <c r="A5" t="s">
        <v>379</v>
      </c>
      <c r="B5" t="s">
        <v>379</v>
      </c>
      <c r="C5" t="s">
        <v>379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O5" t="s">
        <v>379</v>
      </c>
      <c r="P5" t="s">
        <v>379</v>
      </c>
      <c r="Q5" t="s">
        <v>379</v>
      </c>
      <c r="R5" t="s">
        <v>379</v>
      </c>
      <c r="S5" t="s">
        <v>379</v>
      </c>
      <c r="T5" t="s">
        <v>379</v>
      </c>
      <c r="U5" t="s">
        <v>379</v>
      </c>
      <c r="V5" t="s">
        <v>379</v>
      </c>
      <c r="W5" t="s">
        <v>379</v>
      </c>
      <c r="X5" t="s">
        <v>379</v>
      </c>
      <c r="Y5" t="s">
        <v>379</v>
      </c>
      <c r="Z5" t="s">
        <v>379</v>
      </c>
      <c r="AA5" t="s">
        <v>379</v>
      </c>
      <c r="AB5" t="s">
        <v>379</v>
      </c>
      <c r="AC5" t="s">
        <v>359</v>
      </c>
      <c r="AD5" t="s">
        <v>358</v>
      </c>
      <c r="AE5">
        <v>10</v>
      </c>
      <c r="AF5">
        <v>4</v>
      </c>
      <c r="AG5">
        <v>1</v>
      </c>
      <c r="AH5" t="s">
        <v>382</v>
      </c>
      <c r="AJ5" t="s">
        <v>42</v>
      </c>
      <c r="AK5" t="s">
        <v>108</v>
      </c>
      <c r="AM5">
        <v>1414</v>
      </c>
      <c r="AN5">
        <v>2608</v>
      </c>
    </row>
    <row r="6" spans="1:40" x14ac:dyDescent="0.35">
      <c r="A6" t="s">
        <v>379</v>
      </c>
      <c r="B6" t="s">
        <v>379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  <c r="AB6" t="s">
        <v>379</v>
      </c>
      <c r="AC6" t="s">
        <v>359</v>
      </c>
      <c r="AD6" t="s">
        <v>358</v>
      </c>
      <c r="AE6">
        <v>10</v>
      </c>
      <c r="AF6">
        <v>5</v>
      </c>
      <c r="AG6">
        <v>1</v>
      </c>
      <c r="AH6" t="s">
        <v>383</v>
      </c>
      <c r="AJ6" t="s">
        <v>43</v>
      </c>
      <c r="AK6" t="s">
        <v>108</v>
      </c>
      <c r="AM6">
        <v>52</v>
      </c>
      <c r="AN6">
        <v>283</v>
      </c>
    </row>
    <row r="7" spans="1:40" x14ac:dyDescent="0.35">
      <c r="A7" t="s">
        <v>379</v>
      </c>
      <c r="B7" t="s">
        <v>379</v>
      </c>
      <c r="C7" t="s">
        <v>379</v>
      </c>
      <c r="D7" t="s">
        <v>379</v>
      </c>
      <c r="E7" t="s">
        <v>379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379</v>
      </c>
      <c r="S7" t="s">
        <v>379</v>
      </c>
      <c r="T7" t="s">
        <v>379</v>
      </c>
      <c r="U7" t="s">
        <v>379</v>
      </c>
      <c r="V7" t="s">
        <v>379</v>
      </c>
      <c r="W7" t="s">
        <v>379</v>
      </c>
      <c r="X7" t="s">
        <v>379</v>
      </c>
      <c r="Y7" t="s">
        <v>379</v>
      </c>
      <c r="Z7" t="s">
        <v>379</v>
      </c>
      <c r="AA7" t="s">
        <v>379</v>
      </c>
      <c r="AB7" t="s">
        <v>379</v>
      </c>
      <c r="AC7" t="s">
        <v>359</v>
      </c>
      <c r="AD7" t="s">
        <v>358</v>
      </c>
      <c r="AE7">
        <v>10</v>
      </c>
      <c r="AF7">
        <v>6</v>
      </c>
      <c r="AH7" t="s">
        <v>116</v>
      </c>
      <c r="AJ7" t="s">
        <v>41</v>
      </c>
      <c r="AK7" t="s">
        <v>116</v>
      </c>
      <c r="AM7">
        <v>704</v>
      </c>
      <c r="AN7">
        <v>1562</v>
      </c>
    </row>
    <row r="8" spans="1:40" x14ac:dyDescent="0.35">
      <c r="A8" t="s">
        <v>379</v>
      </c>
      <c r="B8" t="s">
        <v>379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  <c r="AB8" t="s">
        <v>379</v>
      </c>
      <c r="AC8" t="s">
        <v>359</v>
      </c>
      <c r="AD8" t="s">
        <v>358</v>
      </c>
      <c r="AE8">
        <v>10</v>
      </c>
      <c r="AF8">
        <v>7</v>
      </c>
      <c r="AH8" t="s">
        <v>384</v>
      </c>
      <c r="AJ8" t="s">
        <v>44</v>
      </c>
      <c r="AK8" t="s">
        <v>109</v>
      </c>
      <c r="AM8">
        <v>532</v>
      </c>
      <c r="AN8">
        <v>2050</v>
      </c>
    </row>
    <row r="9" spans="1:40" x14ac:dyDescent="0.35">
      <c r="A9" t="s">
        <v>379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  <c r="W9" t="s">
        <v>379</v>
      </c>
      <c r="X9" t="s">
        <v>379</v>
      </c>
      <c r="Y9" t="s">
        <v>379</v>
      </c>
      <c r="Z9" t="s">
        <v>379</v>
      </c>
      <c r="AA9" t="s">
        <v>379</v>
      </c>
      <c r="AB9" t="s">
        <v>379</v>
      </c>
      <c r="AC9" t="s">
        <v>359</v>
      </c>
      <c r="AD9" t="s">
        <v>358</v>
      </c>
      <c r="AE9">
        <v>10</v>
      </c>
      <c r="AF9">
        <v>8</v>
      </c>
      <c r="AG9">
        <v>1</v>
      </c>
      <c r="AH9" t="s">
        <v>382</v>
      </c>
      <c r="AJ9" t="s">
        <v>42</v>
      </c>
      <c r="AK9" t="s">
        <v>108</v>
      </c>
      <c r="AM9">
        <v>1579</v>
      </c>
      <c r="AN9">
        <v>2396</v>
      </c>
    </row>
    <row r="10" spans="1:40" x14ac:dyDescent="0.35">
      <c r="A10" t="s">
        <v>379</v>
      </c>
      <c r="B10" t="s">
        <v>379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  <c r="M10" t="s">
        <v>379</v>
      </c>
      <c r="N10" t="s">
        <v>379</v>
      </c>
      <c r="O10" t="s">
        <v>379</v>
      </c>
      <c r="P10" t="s">
        <v>379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  <c r="W10" t="s">
        <v>379</v>
      </c>
      <c r="X10" t="s">
        <v>379</v>
      </c>
      <c r="Y10" t="s">
        <v>379</v>
      </c>
      <c r="Z10" t="s">
        <v>379</v>
      </c>
      <c r="AA10" t="s">
        <v>379</v>
      </c>
      <c r="AB10" t="s">
        <v>379</v>
      </c>
      <c r="AC10" t="s">
        <v>359</v>
      </c>
      <c r="AD10" t="s">
        <v>358</v>
      </c>
      <c r="AE10">
        <v>10</v>
      </c>
      <c r="AF10">
        <v>9</v>
      </c>
      <c r="AG10">
        <v>1</v>
      </c>
      <c r="AH10" t="s">
        <v>385</v>
      </c>
      <c r="AJ10" t="s">
        <v>45</v>
      </c>
      <c r="AK10" t="s">
        <v>108</v>
      </c>
      <c r="AM10">
        <v>3049</v>
      </c>
      <c r="AN10">
        <v>1939</v>
      </c>
    </row>
    <row r="11" spans="1:40" x14ac:dyDescent="0.35">
      <c r="A11" t="s">
        <v>379</v>
      </c>
      <c r="B11" t="s">
        <v>379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  <c r="AB11" t="s">
        <v>379</v>
      </c>
      <c r="AC11" t="s">
        <v>359</v>
      </c>
      <c r="AD11" t="s">
        <v>358</v>
      </c>
      <c r="AE11">
        <v>10</v>
      </c>
      <c r="AF11">
        <v>10</v>
      </c>
      <c r="AG11">
        <v>1</v>
      </c>
      <c r="AH11" t="s">
        <v>381</v>
      </c>
      <c r="AJ11" t="s">
        <v>39</v>
      </c>
      <c r="AK11" t="s">
        <v>108</v>
      </c>
      <c r="AM11">
        <v>2536</v>
      </c>
      <c r="AN11">
        <v>223</v>
      </c>
    </row>
    <row r="12" spans="1:40" x14ac:dyDescent="0.35">
      <c r="A12" t="s">
        <v>379</v>
      </c>
      <c r="B12" t="s">
        <v>379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387</v>
      </c>
      <c r="AD12" t="s">
        <v>386</v>
      </c>
      <c r="AE12">
        <v>10</v>
      </c>
      <c r="AF12">
        <v>1</v>
      </c>
      <c r="AG12">
        <v>1</v>
      </c>
      <c r="AH12" t="s">
        <v>381</v>
      </c>
      <c r="AJ12" t="s">
        <v>39</v>
      </c>
      <c r="AK12" t="s">
        <v>108</v>
      </c>
      <c r="AM12">
        <v>1877</v>
      </c>
      <c r="AN12">
        <v>1776</v>
      </c>
    </row>
    <row r="13" spans="1:40" x14ac:dyDescent="0.35">
      <c r="A13" t="s">
        <v>379</v>
      </c>
      <c r="B13" t="s">
        <v>379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  <c r="J13" t="s">
        <v>379</v>
      </c>
      <c r="K13" t="s">
        <v>379</v>
      </c>
      <c r="L13" t="s">
        <v>379</v>
      </c>
      <c r="M13" t="s">
        <v>379</v>
      </c>
      <c r="N13" t="s">
        <v>379</v>
      </c>
      <c r="O13" t="s">
        <v>379</v>
      </c>
      <c r="P13" t="s">
        <v>379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  <c r="W13" t="s">
        <v>379</v>
      </c>
      <c r="X13" t="s">
        <v>379</v>
      </c>
      <c r="Y13" t="s">
        <v>379</v>
      </c>
      <c r="Z13" t="s">
        <v>379</v>
      </c>
      <c r="AA13" t="s">
        <v>379</v>
      </c>
      <c r="AB13" t="s">
        <v>379</v>
      </c>
      <c r="AC13" t="s">
        <v>387</v>
      </c>
      <c r="AD13" t="s">
        <v>386</v>
      </c>
      <c r="AE13">
        <v>10</v>
      </c>
      <c r="AF13">
        <v>2</v>
      </c>
      <c r="AH13" t="s">
        <v>384</v>
      </c>
      <c r="AJ13" t="s">
        <v>44</v>
      </c>
      <c r="AK13" t="s">
        <v>109</v>
      </c>
      <c r="AM13">
        <v>2049</v>
      </c>
      <c r="AN13">
        <v>1022</v>
      </c>
    </row>
    <row r="14" spans="1:40" x14ac:dyDescent="0.35">
      <c r="A14" t="s">
        <v>379</v>
      </c>
      <c r="B14" t="s">
        <v>379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  <c r="AB14" t="s">
        <v>379</v>
      </c>
      <c r="AC14" t="s">
        <v>387</v>
      </c>
      <c r="AD14" t="s">
        <v>386</v>
      </c>
      <c r="AE14">
        <v>10</v>
      </c>
      <c r="AF14">
        <v>3</v>
      </c>
      <c r="AH14" t="s">
        <v>380</v>
      </c>
      <c r="AJ14" t="s">
        <v>37</v>
      </c>
      <c r="AK14" t="s">
        <v>115</v>
      </c>
      <c r="AM14">
        <v>2094</v>
      </c>
      <c r="AN14">
        <v>1367</v>
      </c>
    </row>
    <row r="15" spans="1:40" x14ac:dyDescent="0.35">
      <c r="A15" t="s">
        <v>379</v>
      </c>
      <c r="B15" t="s">
        <v>379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379</v>
      </c>
      <c r="K15" t="s">
        <v>379</v>
      </c>
      <c r="L15" t="s">
        <v>379</v>
      </c>
      <c r="M15" t="s">
        <v>379</v>
      </c>
      <c r="N15" t="s">
        <v>379</v>
      </c>
      <c r="O15" t="s">
        <v>379</v>
      </c>
      <c r="P15" t="s">
        <v>379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  <c r="W15" t="s">
        <v>379</v>
      </c>
      <c r="X15" t="s">
        <v>379</v>
      </c>
      <c r="Y15" t="s">
        <v>379</v>
      </c>
      <c r="Z15" t="s">
        <v>379</v>
      </c>
      <c r="AA15" t="s">
        <v>379</v>
      </c>
      <c r="AB15" t="s">
        <v>379</v>
      </c>
      <c r="AC15" t="s">
        <v>387</v>
      </c>
      <c r="AD15" t="s">
        <v>386</v>
      </c>
      <c r="AE15">
        <v>10</v>
      </c>
      <c r="AF15">
        <v>4</v>
      </c>
      <c r="AH15" t="s">
        <v>380</v>
      </c>
      <c r="AJ15" t="s">
        <v>37</v>
      </c>
      <c r="AK15" t="s">
        <v>115</v>
      </c>
      <c r="AM15">
        <v>2197</v>
      </c>
      <c r="AN15">
        <v>305</v>
      </c>
    </row>
    <row r="16" spans="1:40" x14ac:dyDescent="0.35">
      <c r="A16" t="s">
        <v>379</v>
      </c>
      <c r="B16" t="s">
        <v>379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379</v>
      </c>
      <c r="I16" t="s">
        <v>379</v>
      </c>
      <c r="J16" t="s">
        <v>379</v>
      </c>
      <c r="K16" t="s">
        <v>379</v>
      </c>
      <c r="L16" t="s">
        <v>379</v>
      </c>
      <c r="M16" t="s">
        <v>379</v>
      </c>
      <c r="N16" t="s">
        <v>379</v>
      </c>
      <c r="O16" t="s">
        <v>379</v>
      </c>
      <c r="P16" t="s">
        <v>379</v>
      </c>
      <c r="Q16" t="s">
        <v>379</v>
      </c>
      <c r="R16" t="s">
        <v>379</v>
      </c>
      <c r="S16" t="s">
        <v>379</v>
      </c>
      <c r="T16" t="s">
        <v>379</v>
      </c>
      <c r="U16" t="s">
        <v>379</v>
      </c>
      <c r="V16" t="s">
        <v>379</v>
      </c>
      <c r="W16" t="s">
        <v>379</v>
      </c>
      <c r="X16" t="s">
        <v>379</v>
      </c>
      <c r="Y16" t="s">
        <v>379</v>
      </c>
      <c r="Z16" t="s">
        <v>379</v>
      </c>
      <c r="AA16" t="s">
        <v>379</v>
      </c>
      <c r="AB16" t="s">
        <v>379</v>
      </c>
      <c r="AC16" t="s">
        <v>387</v>
      </c>
      <c r="AD16" t="s">
        <v>386</v>
      </c>
      <c r="AE16">
        <v>10</v>
      </c>
      <c r="AF16">
        <v>5</v>
      </c>
      <c r="AG16">
        <v>1</v>
      </c>
      <c r="AH16" t="s">
        <v>381</v>
      </c>
      <c r="AJ16" t="s">
        <v>39</v>
      </c>
      <c r="AK16" t="s">
        <v>108</v>
      </c>
      <c r="AM16">
        <v>1059</v>
      </c>
      <c r="AN16">
        <v>2543</v>
      </c>
    </row>
    <row r="17" spans="1:40" x14ac:dyDescent="0.35">
      <c r="A17" t="s">
        <v>379</v>
      </c>
      <c r="B17" t="s">
        <v>379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379</v>
      </c>
      <c r="AC17" t="s">
        <v>387</v>
      </c>
      <c r="AD17" t="s">
        <v>386</v>
      </c>
      <c r="AE17">
        <v>10</v>
      </c>
      <c r="AF17">
        <v>6</v>
      </c>
      <c r="AG17">
        <v>1</v>
      </c>
      <c r="AH17" t="s">
        <v>382</v>
      </c>
      <c r="AJ17" t="s">
        <v>42</v>
      </c>
      <c r="AK17" t="s">
        <v>108</v>
      </c>
      <c r="AM17">
        <v>254</v>
      </c>
      <c r="AN17">
        <v>398</v>
      </c>
    </row>
    <row r="18" spans="1:40" x14ac:dyDescent="0.35">
      <c r="A18" t="s">
        <v>379</v>
      </c>
      <c r="B18" t="s">
        <v>379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379</v>
      </c>
      <c r="I18" t="s">
        <v>379</v>
      </c>
      <c r="J18" t="s">
        <v>379</v>
      </c>
      <c r="K18" t="s">
        <v>379</v>
      </c>
      <c r="L18" t="s">
        <v>379</v>
      </c>
      <c r="M18" t="s">
        <v>379</v>
      </c>
      <c r="N18" t="s">
        <v>379</v>
      </c>
      <c r="O18" t="s">
        <v>379</v>
      </c>
      <c r="P18" t="s">
        <v>379</v>
      </c>
      <c r="Q18" t="s">
        <v>379</v>
      </c>
      <c r="R18" t="s">
        <v>379</v>
      </c>
      <c r="S18" t="s">
        <v>379</v>
      </c>
      <c r="T18" t="s">
        <v>379</v>
      </c>
      <c r="U18" t="s">
        <v>379</v>
      </c>
      <c r="V18" t="s">
        <v>379</v>
      </c>
      <c r="W18" t="s">
        <v>379</v>
      </c>
      <c r="X18" t="s">
        <v>379</v>
      </c>
      <c r="Y18" t="s">
        <v>379</v>
      </c>
      <c r="Z18" t="s">
        <v>379</v>
      </c>
      <c r="AA18" t="s">
        <v>379</v>
      </c>
      <c r="AB18" t="s">
        <v>379</v>
      </c>
      <c r="AC18" t="s">
        <v>387</v>
      </c>
      <c r="AD18" t="s">
        <v>386</v>
      </c>
      <c r="AE18">
        <v>10</v>
      </c>
      <c r="AF18">
        <v>7</v>
      </c>
      <c r="AG18">
        <v>1</v>
      </c>
      <c r="AH18" t="s">
        <v>388</v>
      </c>
      <c r="AJ18" t="s">
        <v>47</v>
      </c>
      <c r="AK18" t="s">
        <v>108</v>
      </c>
      <c r="AM18">
        <v>3489</v>
      </c>
      <c r="AN18">
        <v>534</v>
      </c>
    </row>
    <row r="19" spans="1:40" x14ac:dyDescent="0.35">
      <c r="A19" t="s">
        <v>379</v>
      </c>
      <c r="B19" t="s">
        <v>379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379</v>
      </c>
      <c r="P19" t="s">
        <v>379</v>
      </c>
      <c r="Q19" t="s">
        <v>379</v>
      </c>
      <c r="R19" t="s">
        <v>379</v>
      </c>
      <c r="S19" t="s">
        <v>379</v>
      </c>
      <c r="T19" t="s">
        <v>379</v>
      </c>
      <c r="U19" t="s">
        <v>379</v>
      </c>
      <c r="V19" t="s">
        <v>379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  <c r="AB19" t="s">
        <v>379</v>
      </c>
      <c r="AC19" t="s">
        <v>387</v>
      </c>
      <c r="AD19" t="s">
        <v>386</v>
      </c>
      <c r="AE19">
        <v>10</v>
      </c>
      <c r="AF19">
        <v>8</v>
      </c>
      <c r="AH19" t="s">
        <v>389</v>
      </c>
      <c r="AJ19" t="s">
        <v>48</v>
      </c>
      <c r="AK19" t="s">
        <v>109</v>
      </c>
      <c r="AM19">
        <v>40</v>
      </c>
      <c r="AN19">
        <v>1890</v>
      </c>
    </row>
    <row r="20" spans="1:40" x14ac:dyDescent="0.35">
      <c r="A20" t="s">
        <v>379</v>
      </c>
      <c r="B20" t="s">
        <v>379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  <c r="N20" t="s">
        <v>379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379</v>
      </c>
      <c r="AC20" t="s">
        <v>387</v>
      </c>
      <c r="AD20" t="s">
        <v>386</v>
      </c>
      <c r="AE20">
        <v>10</v>
      </c>
      <c r="AF20">
        <v>9</v>
      </c>
      <c r="AH20" t="s">
        <v>390</v>
      </c>
      <c r="AJ20" t="s">
        <v>49</v>
      </c>
      <c r="AK20" t="s">
        <v>115</v>
      </c>
      <c r="AL20" t="s">
        <v>50</v>
      </c>
      <c r="AM20">
        <v>3258</v>
      </c>
      <c r="AN20">
        <v>2036</v>
      </c>
    </row>
    <row r="21" spans="1:40" x14ac:dyDescent="0.35">
      <c r="A21" t="s">
        <v>379</v>
      </c>
      <c r="B21" t="s">
        <v>379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  <c r="I21" t="s">
        <v>379</v>
      </c>
      <c r="J21" t="s">
        <v>379</v>
      </c>
      <c r="K21" t="s">
        <v>379</v>
      </c>
      <c r="L21" t="s">
        <v>379</v>
      </c>
      <c r="M21" t="s">
        <v>379</v>
      </c>
      <c r="N21" t="s">
        <v>379</v>
      </c>
      <c r="O21" t="s">
        <v>379</v>
      </c>
      <c r="P21" t="s">
        <v>379</v>
      </c>
      <c r="Q21" t="s">
        <v>379</v>
      </c>
      <c r="R21" t="s">
        <v>379</v>
      </c>
      <c r="S21" t="s">
        <v>379</v>
      </c>
      <c r="T21" t="s">
        <v>379</v>
      </c>
      <c r="U21" t="s">
        <v>379</v>
      </c>
      <c r="V21" t="s">
        <v>379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  <c r="AB21" t="s">
        <v>379</v>
      </c>
      <c r="AC21" t="s">
        <v>387</v>
      </c>
      <c r="AD21" t="s">
        <v>386</v>
      </c>
      <c r="AE21">
        <v>10</v>
      </c>
      <c r="AF21">
        <v>10</v>
      </c>
      <c r="AG21">
        <v>1</v>
      </c>
      <c r="AH21" t="s">
        <v>381</v>
      </c>
      <c r="AJ21" t="s">
        <v>39</v>
      </c>
      <c r="AK21" t="s">
        <v>108</v>
      </c>
      <c r="AM21">
        <v>3026</v>
      </c>
      <c r="AN21">
        <v>2005</v>
      </c>
    </row>
    <row r="22" spans="1:40" x14ac:dyDescent="0.35">
      <c r="A22" t="s">
        <v>379</v>
      </c>
      <c r="B22" t="s">
        <v>379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  <c r="AB22" t="s">
        <v>379</v>
      </c>
      <c r="AC22" t="s">
        <v>392</v>
      </c>
      <c r="AD22" t="s">
        <v>391</v>
      </c>
      <c r="AE22">
        <v>10</v>
      </c>
      <c r="AF22">
        <v>1</v>
      </c>
      <c r="AG22">
        <v>1</v>
      </c>
      <c r="AH22" t="s">
        <v>393</v>
      </c>
      <c r="AJ22" t="s">
        <v>52</v>
      </c>
      <c r="AK22" t="s">
        <v>108</v>
      </c>
      <c r="AM22">
        <v>2008</v>
      </c>
      <c r="AN22">
        <v>1209</v>
      </c>
    </row>
    <row r="23" spans="1:40" x14ac:dyDescent="0.35">
      <c r="A23" t="s">
        <v>379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379</v>
      </c>
      <c r="Q23" t="s">
        <v>379</v>
      </c>
      <c r="R23" t="s">
        <v>379</v>
      </c>
      <c r="S23" t="s">
        <v>379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  <c r="AB23" t="s">
        <v>379</v>
      </c>
      <c r="AC23" t="s">
        <v>392</v>
      </c>
      <c r="AD23" t="s">
        <v>391</v>
      </c>
      <c r="AE23">
        <v>10</v>
      </c>
      <c r="AF23">
        <v>2</v>
      </c>
      <c r="AH23" t="s">
        <v>384</v>
      </c>
      <c r="AJ23" t="s">
        <v>44</v>
      </c>
      <c r="AK23" t="s">
        <v>109</v>
      </c>
      <c r="AM23">
        <v>1167</v>
      </c>
      <c r="AN23">
        <v>1302</v>
      </c>
    </row>
    <row r="24" spans="1:40" x14ac:dyDescent="0.35">
      <c r="A24" t="s">
        <v>379</v>
      </c>
      <c r="B24" t="s">
        <v>379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  <c r="AB24" t="s">
        <v>379</v>
      </c>
      <c r="AC24" t="s">
        <v>392</v>
      </c>
      <c r="AD24" t="s">
        <v>391</v>
      </c>
      <c r="AE24">
        <v>10</v>
      </c>
      <c r="AF24">
        <v>3</v>
      </c>
      <c r="AH24" t="s">
        <v>389</v>
      </c>
      <c r="AJ24" t="s">
        <v>48</v>
      </c>
      <c r="AK24" t="s">
        <v>109</v>
      </c>
      <c r="AM24">
        <v>1881</v>
      </c>
      <c r="AN24">
        <v>1198</v>
      </c>
    </row>
    <row r="25" spans="1:40" x14ac:dyDescent="0.35">
      <c r="A25" t="s">
        <v>379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379</v>
      </c>
      <c r="Q25" t="s">
        <v>379</v>
      </c>
      <c r="R25" t="s">
        <v>379</v>
      </c>
      <c r="S25" t="s">
        <v>379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 t="s">
        <v>379</v>
      </c>
      <c r="Z25" t="s">
        <v>379</v>
      </c>
      <c r="AA25" t="s">
        <v>379</v>
      </c>
      <c r="AB25" t="s">
        <v>379</v>
      </c>
      <c r="AC25" t="s">
        <v>392</v>
      </c>
      <c r="AD25" t="s">
        <v>391</v>
      </c>
      <c r="AE25">
        <v>10</v>
      </c>
      <c r="AF25">
        <v>4</v>
      </c>
      <c r="AG25">
        <v>1</v>
      </c>
      <c r="AH25" t="s">
        <v>394</v>
      </c>
      <c r="AJ25" t="s">
        <v>53</v>
      </c>
      <c r="AK25" t="s">
        <v>108</v>
      </c>
      <c r="AM25">
        <v>2963</v>
      </c>
      <c r="AN25">
        <v>1525</v>
      </c>
    </row>
    <row r="26" spans="1:40" x14ac:dyDescent="0.35">
      <c r="A26" t="s">
        <v>379</v>
      </c>
      <c r="B26" t="s">
        <v>379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  <c r="N26" t="s">
        <v>379</v>
      </c>
      <c r="O26" t="s">
        <v>379</v>
      </c>
      <c r="P26" t="s">
        <v>379</v>
      </c>
      <c r="Q26" t="s">
        <v>379</v>
      </c>
      <c r="R26" t="s">
        <v>379</v>
      </c>
      <c r="S26" t="s">
        <v>379</v>
      </c>
      <c r="T26" t="s">
        <v>379</v>
      </c>
      <c r="U26" t="s">
        <v>379</v>
      </c>
      <c r="V26" t="s">
        <v>379</v>
      </c>
      <c r="W26" t="s">
        <v>379</v>
      </c>
      <c r="X26" t="s">
        <v>379</v>
      </c>
      <c r="Y26" t="s">
        <v>379</v>
      </c>
      <c r="Z26" t="s">
        <v>379</v>
      </c>
      <c r="AA26" t="s">
        <v>379</v>
      </c>
      <c r="AB26" t="s">
        <v>379</v>
      </c>
      <c r="AC26" t="s">
        <v>392</v>
      </c>
      <c r="AD26" t="s">
        <v>391</v>
      </c>
      <c r="AE26">
        <v>10</v>
      </c>
      <c r="AF26">
        <v>5</v>
      </c>
      <c r="AH26" t="s">
        <v>395</v>
      </c>
      <c r="AJ26" t="s">
        <v>54</v>
      </c>
      <c r="AK26" t="s">
        <v>109</v>
      </c>
      <c r="AM26">
        <v>1979</v>
      </c>
      <c r="AN26">
        <v>1833</v>
      </c>
    </row>
    <row r="27" spans="1:40" x14ac:dyDescent="0.35">
      <c r="A27" t="s">
        <v>379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379</v>
      </c>
      <c r="H27" t="s">
        <v>379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379</v>
      </c>
      <c r="R27" t="s">
        <v>379</v>
      </c>
      <c r="S27" t="s">
        <v>379</v>
      </c>
      <c r="T27" t="s">
        <v>379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  <c r="AB27" t="s">
        <v>379</v>
      </c>
      <c r="AC27" t="s">
        <v>392</v>
      </c>
      <c r="AD27" t="s">
        <v>391</v>
      </c>
      <c r="AE27">
        <v>10</v>
      </c>
      <c r="AF27">
        <v>6</v>
      </c>
      <c r="AG27">
        <v>1</v>
      </c>
      <c r="AH27" t="s">
        <v>396</v>
      </c>
      <c r="AJ27" t="s">
        <v>55</v>
      </c>
      <c r="AK27" t="s">
        <v>108</v>
      </c>
      <c r="AM27">
        <v>2045</v>
      </c>
      <c r="AN27">
        <v>1371</v>
      </c>
    </row>
    <row r="28" spans="1:40" x14ac:dyDescent="0.35">
      <c r="A28" t="s">
        <v>379</v>
      </c>
      <c r="B28" t="s">
        <v>379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  <c r="AB28" t="s">
        <v>379</v>
      </c>
      <c r="AC28" t="s">
        <v>392</v>
      </c>
      <c r="AD28" t="s">
        <v>391</v>
      </c>
      <c r="AE28">
        <v>10</v>
      </c>
      <c r="AF28">
        <v>7</v>
      </c>
      <c r="AH28" t="s">
        <v>389</v>
      </c>
      <c r="AJ28" t="s">
        <v>48</v>
      </c>
      <c r="AK28" t="s">
        <v>109</v>
      </c>
      <c r="AM28">
        <v>3094</v>
      </c>
      <c r="AN28">
        <v>439</v>
      </c>
    </row>
    <row r="29" spans="1:40" x14ac:dyDescent="0.35">
      <c r="A29" t="s">
        <v>379</v>
      </c>
      <c r="B29" t="s">
        <v>379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  <c r="N29" t="s">
        <v>379</v>
      </c>
      <c r="O29" t="s">
        <v>379</v>
      </c>
      <c r="P29" t="s">
        <v>379</v>
      </c>
      <c r="Q29" t="s">
        <v>379</v>
      </c>
      <c r="R29" t="s">
        <v>379</v>
      </c>
      <c r="S29" t="s">
        <v>379</v>
      </c>
      <c r="T29" t="s">
        <v>379</v>
      </c>
      <c r="U29" t="s">
        <v>379</v>
      </c>
      <c r="V29" t="s">
        <v>379</v>
      </c>
      <c r="W29" t="s">
        <v>379</v>
      </c>
      <c r="X29" t="s">
        <v>379</v>
      </c>
      <c r="Y29" t="s">
        <v>379</v>
      </c>
      <c r="Z29" t="s">
        <v>379</v>
      </c>
      <c r="AA29" t="s">
        <v>379</v>
      </c>
      <c r="AB29" t="s">
        <v>379</v>
      </c>
      <c r="AC29" t="s">
        <v>392</v>
      </c>
      <c r="AD29" t="s">
        <v>391</v>
      </c>
      <c r="AE29">
        <v>10</v>
      </c>
      <c r="AF29">
        <v>8</v>
      </c>
      <c r="AH29" t="s">
        <v>380</v>
      </c>
      <c r="AJ29" t="s">
        <v>37</v>
      </c>
      <c r="AK29" t="s">
        <v>115</v>
      </c>
      <c r="AM29">
        <v>1642</v>
      </c>
      <c r="AN29">
        <v>2364</v>
      </c>
    </row>
    <row r="30" spans="1:40" x14ac:dyDescent="0.35">
      <c r="A30" t="s">
        <v>379</v>
      </c>
      <c r="B30" t="s">
        <v>379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  <c r="N30" t="s">
        <v>379</v>
      </c>
      <c r="O30" t="s">
        <v>379</v>
      </c>
      <c r="P30" t="s">
        <v>379</v>
      </c>
      <c r="Q30" t="s">
        <v>379</v>
      </c>
      <c r="R30" t="s">
        <v>379</v>
      </c>
      <c r="S30" t="s">
        <v>379</v>
      </c>
      <c r="T30" t="s">
        <v>379</v>
      </c>
      <c r="U30" t="s">
        <v>379</v>
      </c>
      <c r="V30" t="s">
        <v>379</v>
      </c>
      <c r="W30" t="s">
        <v>379</v>
      </c>
      <c r="X30" t="s">
        <v>379</v>
      </c>
      <c r="Y30" t="s">
        <v>379</v>
      </c>
      <c r="Z30" t="s">
        <v>379</v>
      </c>
      <c r="AA30" t="s">
        <v>379</v>
      </c>
      <c r="AB30" t="s">
        <v>379</v>
      </c>
      <c r="AC30" t="s">
        <v>392</v>
      </c>
      <c r="AD30" t="s">
        <v>391</v>
      </c>
      <c r="AE30">
        <v>10</v>
      </c>
      <c r="AF30">
        <v>9</v>
      </c>
      <c r="AG30">
        <v>1</v>
      </c>
      <c r="AH30" t="s">
        <v>397</v>
      </c>
      <c r="AJ30" t="s">
        <v>56</v>
      </c>
      <c r="AK30" t="s">
        <v>108</v>
      </c>
      <c r="AM30">
        <v>1639</v>
      </c>
      <c r="AN30">
        <v>1394</v>
      </c>
    </row>
    <row r="31" spans="1:40" x14ac:dyDescent="0.35">
      <c r="A31" t="s">
        <v>379</v>
      </c>
      <c r="B31" t="s">
        <v>379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  <c r="AB31" t="s">
        <v>379</v>
      </c>
      <c r="AC31" t="s">
        <v>392</v>
      </c>
      <c r="AD31" t="s">
        <v>391</v>
      </c>
      <c r="AE31">
        <v>10</v>
      </c>
      <c r="AF31">
        <v>10</v>
      </c>
      <c r="AH31" t="s">
        <v>384</v>
      </c>
      <c r="AJ31" t="s">
        <v>44</v>
      </c>
      <c r="AK31" t="s">
        <v>109</v>
      </c>
      <c r="AM31">
        <v>1026</v>
      </c>
      <c r="AN31">
        <v>530</v>
      </c>
    </row>
    <row r="32" spans="1:40" x14ac:dyDescent="0.35">
      <c r="A32" t="s">
        <v>379</v>
      </c>
      <c r="B32" t="s">
        <v>379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379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  <c r="P32" t="s">
        <v>379</v>
      </c>
      <c r="Q32" t="s">
        <v>379</v>
      </c>
      <c r="R32" t="s">
        <v>379</v>
      </c>
      <c r="S32" t="s">
        <v>379</v>
      </c>
      <c r="T32" t="s">
        <v>379</v>
      </c>
      <c r="U32" t="s">
        <v>379</v>
      </c>
      <c r="V32" t="s">
        <v>379</v>
      </c>
      <c r="W32" t="s">
        <v>379</v>
      </c>
      <c r="X32" t="s">
        <v>379</v>
      </c>
      <c r="Y32" t="s">
        <v>379</v>
      </c>
      <c r="Z32" t="s">
        <v>379</v>
      </c>
      <c r="AA32" t="s">
        <v>379</v>
      </c>
      <c r="AB32" t="s">
        <v>379</v>
      </c>
      <c r="AC32" t="s">
        <v>399</v>
      </c>
      <c r="AD32" t="s">
        <v>398</v>
      </c>
      <c r="AE32">
        <v>10</v>
      </c>
      <c r="AF32">
        <v>1</v>
      </c>
      <c r="AH32" t="s">
        <v>116</v>
      </c>
      <c r="AJ32" t="s">
        <v>41</v>
      </c>
      <c r="AK32" t="s">
        <v>116</v>
      </c>
      <c r="AM32">
        <v>2803</v>
      </c>
      <c r="AN32">
        <v>2198</v>
      </c>
    </row>
    <row r="33" spans="1:40" x14ac:dyDescent="0.35">
      <c r="A33" t="s">
        <v>379</v>
      </c>
      <c r="B33" t="s">
        <v>379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  <c r="N33" t="s">
        <v>379</v>
      </c>
      <c r="O33" t="s">
        <v>379</v>
      </c>
      <c r="P33" t="s">
        <v>379</v>
      </c>
      <c r="Q33" t="s">
        <v>379</v>
      </c>
      <c r="R33" t="s">
        <v>379</v>
      </c>
      <c r="S33" t="s">
        <v>379</v>
      </c>
      <c r="T33" t="s">
        <v>379</v>
      </c>
      <c r="U33" t="s">
        <v>379</v>
      </c>
      <c r="V33" t="s">
        <v>379</v>
      </c>
      <c r="W33" t="s">
        <v>379</v>
      </c>
      <c r="X33" t="s">
        <v>379</v>
      </c>
      <c r="Y33" t="s">
        <v>379</v>
      </c>
      <c r="Z33" t="s">
        <v>379</v>
      </c>
      <c r="AA33" t="s">
        <v>379</v>
      </c>
      <c r="AB33" t="s">
        <v>379</v>
      </c>
      <c r="AC33" t="s">
        <v>399</v>
      </c>
      <c r="AD33" t="s">
        <v>398</v>
      </c>
      <c r="AE33">
        <v>10</v>
      </c>
      <c r="AF33">
        <v>2</v>
      </c>
      <c r="AG33">
        <v>1</v>
      </c>
      <c r="AH33" t="s">
        <v>381</v>
      </c>
      <c r="AJ33" t="s">
        <v>39</v>
      </c>
      <c r="AK33" t="s">
        <v>108</v>
      </c>
      <c r="AM33">
        <v>2492</v>
      </c>
      <c r="AN33">
        <v>1879</v>
      </c>
    </row>
    <row r="34" spans="1:40" x14ac:dyDescent="0.35">
      <c r="A34" t="s">
        <v>379</v>
      </c>
      <c r="B34" t="s">
        <v>379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379</v>
      </c>
      <c r="AC34" t="s">
        <v>399</v>
      </c>
      <c r="AD34" t="s">
        <v>398</v>
      </c>
      <c r="AE34">
        <v>10</v>
      </c>
      <c r="AF34">
        <v>3</v>
      </c>
      <c r="AG34">
        <v>1</v>
      </c>
      <c r="AH34" t="s">
        <v>400</v>
      </c>
      <c r="AJ34" t="s">
        <v>58</v>
      </c>
      <c r="AK34" t="s">
        <v>108</v>
      </c>
      <c r="AM34">
        <v>1040</v>
      </c>
      <c r="AN34">
        <v>818</v>
      </c>
    </row>
    <row r="35" spans="1:40" x14ac:dyDescent="0.35">
      <c r="A35" t="s">
        <v>379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379</v>
      </c>
      <c r="K35" t="s">
        <v>379</v>
      </c>
      <c r="L35" t="s">
        <v>379</v>
      </c>
      <c r="M35" t="s">
        <v>379</v>
      </c>
      <c r="N35" t="s">
        <v>379</v>
      </c>
      <c r="O35" t="s">
        <v>379</v>
      </c>
      <c r="P35" t="s">
        <v>379</v>
      </c>
      <c r="Q35" t="s">
        <v>379</v>
      </c>
      <c r="R35" t="s">
        <v>379</v>
      </c>
      <c r="S35" t="s">
        <v>379</v>
      </c>
      <c r="T35" t="s">
        <v>379</v>
      </c>
      <c r="U35" t="s">
        <v>379</v>
      </c>
      <c r="V35" t="s">
        <v>379</v>
      </c>
      <c r="W35" t="s">
        <v>379</v>
      </c>
      <c r="X35" t="s">
        <v>379</v>
      </c>
      <c r="Y35" t="s">
        <v>379</v>
      </c>
      <c r="Z35" t="s">
        <v>379</v>
      </c>
      <c r="AA35" t="s">
        <v>379</v>
      </c>
      <c r="AB35" t="s">
        <v>379</v>
      </c>
      <c r="AC35" t="s">
        <v>399</v>
      </c>
      <c r="AD35" t="s">
        <v>398</v>
      </c>
      <c r="AE35">
        <v>10</v>
      </c>
      <c r="AF35">
        <v>4</v>
      </c>
      <c r="AG35">
        <v>1</v>
      </c>
      <c r="AH35" t="s">
        <v>401</v>
      </c>
      <c r="AJ35" t="s">
        <v>59</v>
      </c>
      <c r="AK35" t="s">
        <v>108</v>
      </c>
      <c r="AM35">
        <v>3035</v>
      </c>
      <c r="AN35">
        <v>887</v>
      </c>
    </row>
    <row r="36" spans="1:40" x14ac:dyDescent="0.35">
      <c r="A36" t="s">
        <v>379</v>
      </c>
      <c r="B36" t="s">
        <v>379</v>
      </c>
      <c r="C36" t="s">
        <v>379</v>
      </c>
      <c r="D36" t="s">
        <v>379</v>
      </c>
      <c r="E36" t="s">
        <v>379</v>
      </c>
      <c r="F36" t="s">
        <v>379</v>
      </c>
      <c r="G36" t="s">
        <v>379</v>
      </c>
      <c r="H36" t="s">
        <v>379</v>
      </c>
      <c r="I36" t="s">
        <v>379</v>
      </c>
      <c r="J36" t="s">
        <v>379</v>
      </c>
      <c r="K36" t="s">
        <v>379</v>
      </c>
      <c r="L36" t="s">
        <v>379</v>
      </c>
      <c r="M36" t="s">
        <v>379</v>
      </c>
      <c r="N36" t="s">
        <v>379</v>
      </c>
      <c r="O36" t="s">
        <v>379</v>
      </c>
      <c r="P36" t="s">
        <v>379</v>
      </c>
      <c r="Q36" t="s">
        <v>379</v>
      </c>
      <c r="R36" t="s">
        <v>379</v>
      </c>
      <c r="S36" t="s">
        <v>379</v>
      </c>
      <c r="T36" t="s">
        <v>379</v>
      </c>
      <c r="U36" t="s">
        <v>379</v>
      </c>
      <c r="V36" t="s">
        <v>379</v>
      </c>
      <c r="W36" t="s">
        <v>379</v>
      </c>
      <c r="X36" t="s">
        <v>379</v>
      </c>
      <c r="Y36" t="s">
        <v>379</v>
      </c>
      <c r="Z36" t="s">
        <v>379</v>
      </c>
      <c r="AA36" t="s">
        <v>379</v>
      </c>
      <c r="AB36" t="s">
        <v>379</v>
      </c>
      <c r="AC36" t="s">
        <v>399</v>
      </c>
      <c r="AD36" t="s">
        <v>398</v>
      </c>
      <c r="AE36">
        <v>10</v>
      </c>
      <c r="AF36">
        <v>5</v>
      </c>
      <c r="AG36">
        <v>1</v>
      </c>
      <c r="AH36" t="s">
        <v>402</v>
      </c>
      <c r="AJ36" t="s">
        <v>60</v>
      </c>
      <c r="AK36" t="s">
        <v>108</v>
      </c>
      <c r="AM36">
        <v>1891</v>
      </c>
      <c r="AN36">
        <v>1468</v>
      </c>
    </row>
    <row r="37" spans="1:40" x14ac:dyDescent="0.35">
      <c r="A37" t="s">
        <v>379</v>
      </c>
      <c r="B37" t="s">
        <v>379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  <c r="AB37" t="s">
        <v>379</v>
      </c>
      <c r="AC37" t="s">
        <v>399</v>
      </c>
      <c r="AD37" t="s">
        <v>398</v>
      </c>
      <c r="AE37">
        <v>10</v>
      </c>
      <c r="AF37">
        <v>6</v>
      </c>
      <c r="AG37">
        <v>1</v>
      </c>
      <c r="AH37" t="s">
        <v>403</v>
      </c>
      <c r="AJ37" t="s">
        <v>61</v>
      </c>
      <c r="AK37" t="s">
        <v>108</v>
      </c>
      <c r="AM37">
        <v>91</v>
      </c>
      <c r="AN37">
        <v>153</v>
      </c>
    </row>
    <row r="38" spans="1:40" x14ac:dyDescent="0.35">
      <c r="A38" t="s">
        <v>379</v>
      </c>
      <c r="B38" t="s">
        <v>379</v>
      </c>
      <c r="C38" t="s">
        <v>379</v>
      </c>
      <c r="D38" t="s">
        <v>379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379</v>
      </c>
      <c r="L38" t="s">
        <v>379</v>
      </c>
      <c r="M38" t="s">
        <v>379</v>
      </c>
      <c r="N38" t="s">
        <v>379</v>
      </c>
      <c r="O38" t="s">
        <v>379</v>
      </c>
      <c r="P38" t="s">
        <v>379</v>
      </c>
      <c r="Q38" t="s">
        <v>379</v>
      </c>
      <c r="R38" t="s">
        <v>379</v>
      </c>
      <c r="S38" t="s">
        <v>379</v>
      </c>
      <c r="T38" t="s">
        <v>379</v>
      </c>
      <c r="U38" t="s">
        <v>379</v>
      </c>
      <c r="V38" t="s">
        <v>379</v>
      </c>
      <c r="W38" t="s">
        <v>379</v>
      </c>
      <c r="X38" t="s">
        <v>379</v>
      </c>
      <c r="Y38" t="s">
        <v>379</v>
      </c>
      <c r="Z38" t="s">
        <v>379</v>
      </c>
      <c r="AA38" t="s">
        <v>379</v>
      </c>
      <c r="AB38" t="s">
        <v>379</v>
      </c>
      <c r="AC38" t="s">
        <v>399</v>
      </c>
      <c r="AD38" t="s">
        <v>398</v>
      </c>
      <c r="AE38">
        <v>10</v>
      </c>
      <c r="AF38">
        <v>7</v>
      </c>
      <c r="AG38">
        <v>1</v>
      </c>
      <c r="AH38" t="s">
        <v>402</v>
      </c>
      <c r="AJ38" t="s">
        <v>60</v>
      </c>
      <c r="AK38" t="s">
        <v>108</v>
      </c>
      <c r="AM38">
        <v>2458</v>
      </c>
      <c r="AN38">
        <v>1506</v>
      </c>
    </row>
    <row r="39" spans="1:40" x14ac:dyDescent="0.35">
      <c r="A39" t="s">
        <v>379</v>
      </c>
      <c r="B39" t="s">
        <v>379</v>
      </c>
      <c r="C39" t="s">
        <v>379</v>
      </c>
      <c r="D39" t="s">
        <v>379</v>
      </c>
      <c r="E39" t="s">
        <v>379</v>
      </c>
      <c r="F39" t="s">
        <v>379</v>
      </c>
      <c r="G39" t="s">
        <v>379</v>
      </c>
      <c r="H39" t="s">
        <v>379</v>
      </c>
      <c r="I39" t="s">
        <v>379</v>
      </c>
      <c r="J39" t="s">
        <v>379</v>
      </c>
      <c r="K39" t="s">
        <v>379</v>
      </c>
      <c r="L39" t="s">
        <v>379</v>
      </c>
      <c r="M39" t="s">
        <v>379</v>
      </c>
      <c r="N39" t="s">
        <v>379</v>
      </c>
      <c r="O39" t="s">
        <v>379</v>
      </c>
      <c r="P39" t="s">
        <v>379</v>
      </c>
      <c r="Q39" t="s">
        <v>379</v>
      </c>
      <c r="R39" t="s">
        <v>379</v>
      </c>
      <c r="S39" t="s">
        <v>379</v>
      </c>
      <c r="T39" t="s">
        <v>379</v>
      </c>
      <c r="U39" t="s">
        <v>379</v>
      </c>
      <c r="V39" t="s">
        <v>379</v>
      </c>
      <c r="W39" t="s">
        <v>379</v>
      </c>
      <c r="X39" t="s">
        <v>379</v>
      </c>
      <c r="Y39" t="s">
        <v>379</v>
      </c>
      <c r="Z39" t="s">
        <v>379</v>
      </c>
      <c r="AA39" t="s">
        <v>379</v>
      </c>
      <c r="AB39" t="s">
        <v>379</v>
      </c>
      <c r="AC39" t="s">
        <v>399</v>
      </c>
      <c r="AD39" t="s">
        <v>398</v>
      </c>
      <c r="AE39">
        <v>10</v>
      </c>
      <c r="AF39">
        <v>8</v>
      </c>
      <c r="AG39">
        <v>1</v>
      </c>
      <c r="AH39" t="s">
        <v>404</v>
      </c>
      <c r="AJ39" t="s">
        <v>62</v>
      </c>
      <c r="AK39" t="s">
        <v>108</v>
      </c>
      <c r="AM39">
        <v>1283</v>
      </c>
      <c r="AN39">
        <v>1492</v>
      </c>
    </row>
    <row r="40" spans="1:40" x14ac:dyDescent="0.35">
      <c r="A40" t="s">
        <v>379</v>
      </c>
      <c r="B40" t="s">
        <v>379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  <c r="AB40" t="s">
        <v>379</v>
      </c>
      <c r="AC40" t="s">
        <v>399</v>
      </c>
      <c r="AD40" t="s">
        <v>398</v>
      </c>
      <c r="AE40">
        <v>10</v>
      </c>
      <c r="AF40">
        <v>9</v>
      </c>
      <c r="AG40">
        <v>1</v>
      </c>
      <c r="AH40" t="s">
        <v>402</v>
      </c>
      <c r="AJ40" t="s">
        <v>60</v>
      </c>
      <c r="AK40" t="s">
        <v>108</v>
      </c>
      <c r="AM40">
        <v>1850</v>
      </c>
      <c r="AN40">
        <v>853</v>
      </c>
    </row>
    <row r="41" spans="1:40" x14ac:dyDescent="0.35">
      <c r="A41" t="s">
        <v>379</v>
      </c>
      <c r="B41" t="s">
        <v>379</v>
      </c>
      <c r="C41" t="s">
        <v>379</v>
      </c>
      <c r="D41" t="s">
        <v>379</v>
      </c>
      <c r="E41" t="s">
        <v>379</v>
      </c>
      <c r="F41" t="s">
        <v>379</v>
      </c>
      <c r="G41" t="s">
        <v>379</v>
      </c>
      <c r="H41" t="s">
        <v>379</v>
      </c>
      <c r="I41" t="s">
        <v>379</v>
      </c>
      <c r="J41" t="s">
        <v>379</v>
      </c>
      <c r="K41" t="s">
        <v>379</v>
      </c>
      <c r="L41" t="s">
        <v>379</v>
      </c>
      <c r="M41" t="s">
        <v>379</v>
      </c>
      <c r="N41" t="s">
        <v>379</v>
      </c>
      <c r="O41" t="s">
        <v>379</v>
      </c>
      <c r="P41" t="s">
        <v>379</v>
      </c>
      <c r="Q41" t="s">
        <v>379</v>
      </c>
      <c r="R41" t="s">
        <v>379</v>
      </c>
      <c r="S41" t="s">
        <v>379</v>
      </c>
      <c r="T41" t="s">
        <v>379</v>
      </c>
      <c r="U41" t="s">
        <v>379</v>
      </c>
      <c r="V41" t="s">
        <v>379</v>
      </c>
      <c r="W41" t="s">
        <v>379</v>
      </c>
      <c r="X41" t="s">
        <v>379</v>
      </c>
      <c r="Y41" t="s">
        <v>379</v>
      </c>
      <c r="Z41" t="s">
        <v>379</v>
      </c>
      <c r="AA41" t="s">
        <v>379</v>
      </c>
      <c r="AB41" t="s">
        <v>379</v>
      </c>
      <c r="AC41" t="s">
        <v>399</v>
      </c>
      <c r="AD41" t="s">
        <v>398</v>
      </c>
      <c r="AE41">
        <v>10</v>
      </c>
      <c r="AF41">
        <v>10</v>
      </c>
      <c r="AH41" t="s">
        <v>116</v>
      </c>
      <c r="AJ41" t="s">
        <v>41</v>
      </c>
      <c r="AK41" t="s">
        <v>116</v>
      </c>
      <c r="AM41">
        <v>187</v>
      </c>
      <c r="AN41">
        <v>1980</v>
      </c>
    </row>
    <row r="42" spans="1:40" x14ac:dyDescent="0.35">
      <c r="A42" t="s">
        <v>379</v>
      </c>
      <c r="B42" t="s">
        <v>379</v>
      </c>
      <c r="C42" t="s">
        <v>379</v>
      </c>
      <c r="D42" t="s">
        <v>379</v>
      </c>
      <c r="E42" t="s">
        <v>379</v>
      </c>
      <c r="F42" t="s">
        <v>379</v>
      </c>
      <c r="G42" t="s">
        <v>379</v>
      </c>
      <c r="H42" t="s">
        <v>379</v>
      </c>
      <c r="I42" t="s">
        <v>379</v>
      </c>
      <c r="J42" t="s">
        <v>379</v>
      </c>
      <c r="K42" t="s">
        <v>379</v>
      </c>
      <c r="L42" t="s">
        <v>379</v>
      </c>
      <c r="M42" t="s">
        <v>379</v>
      </c>
      <c r="N42" t="s">
        <v>379</v>
      </c>
      <c r="O42" t="s">
        <v>379</v>
      </c>
      <c r="P42" t="s">
        <v>379</v>
      </c>
      <c r="Q42" t="s">
        <v>379</v>
      </c>
      <c r="R42" t="s">
        <v>379</v>
      </c>
      <c r="S42" t="s">
        <v>379</v>
      </c>
      <c r="T42" t="s">
        <v>379</v>
      </c>
      <c r="U42" t="s">
        <v>379</v>
      </c>
      <c r="V42" t="s">
        <v>379</v>
      </c>
      <c r="W42" t="s">
        <v>379</v>
      </c>
      <c r="X42" t="s">
        <v>379</v>
      </c>
      <c r="Y42" t="s">
        <v>379</v>
      </c>
      <c r="Z42" t="s">
        <v>379</v>
      </c>
      <c r="AA42" t="s">
        <v>379</v>
      </c>
      <c r="AB42" t="s">
        <v>379</v>
      </c>
      <c r="AC42" t="s">
        <v>406</v>
      </c>
      <c r="AD42" t="s">
        <v>405</v>
      </c>
      <c r="AE42">
        <v>10</v>
      </c>
      <c r="AF42">
        <v>1</v>
      </c>
      <c r="AH42" t="s">
        <v>380</v>
      </c>
      <c r="AJ42" t="s">
        <v>37</v>
      </c>
      <c r="AK42" t="s">
        <v>115</v>
      </c>
      <c r="AM42">
        <v>898</v>
      </c>
      <c r="AN42">
        <v>442</v>
      </c>
    </row>
    <row r="43" spans="1:40" x14ac:dyDescent="0.35">
      <c r="A43" t="s">
        <v>379</v>
      </c>
      <c r="B43" t="s">
        <v>379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  <c r="AB43" t="s">
        <v>379</v>
      </c>
      <c r="AC43" t="s">
        <v>406</v>
      </c>
      <c r="AD43" t="s">
        <v>405</v>
      </c>
      <c r="AE43">
        <v>10</v>
      </c>
      <c r="AF43">
        <v>2</v>
      </c>
      <c r="AH43" t="s">
        <v>380</v>
      </c>
      <c r="AJ43" t="s">
        <v>37</v>
      </c>
      <c r="AK43" t="s">
        <v>115</v>
      </c>
      <c r="AM43">
        <v>2106</v>
      </c>
      <c r="AN43">
        <v>2220</v>
      </c>
    </row>
    <row r="44" spans="1:40" x14ac:dyDescent="0.35">
      <c r="A44" t="s">
        <v>379</v>
      </c>
      <c r="B44" t="s">
        <v>379</v>
      </c>
      <c r="C44" t="s">
        <v>379</v>
      </c>
      <c r="D44" t="s">
        <v>379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  <c r="N44" t="s">
        <v>379</v>
      </c>
      <c r="O44" t="s">
        <v>379</v>
      </c>
      <c r="P44" t="s">
        <v>379</v>
      </c>
      <c r="Q44" t="s">
        <v>379</v>
      </c>
      <c r="R44" t="s">
        <v>379</v>
      </c>
      <c r="S44" t="s">
        <v>379</v>
      </c>
      <c r="T44" t="s">
        <v>379</v>
      </c>
      <c r="U44" t="s">
        <v>379</v>
      </c>
      <c r="V44" t="s">
        <v>379</v>
      </c>
      <c r="W44" t="s">
        <v>379</v>
      </c>
      <c r="X44" t="s">
        <v>379</v>
      </c>
      <c r="Y44" t="s">
        <v>379</v>
      </c>
      <c r="Z44" t="s">
        <v>379</v>
      </c>
      <c r="AA44" t="s">
        <v>379</v>
      </c>
      <c r="AB44" t="s">
        <v>379</v>
      </c>
      <c r="AC44" t="s">
        <v>406</v>
      </c>
      <c r="AD44" t="s">
        <v>405</v>
      </c>
      <c r="AE44">
        <v>10</v>
      </c>
      <c r="AF44">
        <v>3</v>
      </c>
      <c r="AH44" t="s">
        <v>389</v>
      </c>
      <c r="AJ44" t="s">
        <v>48</v>
      </c>
      <c r="AK44" t="s">
        <v>109</v>
      </c>
      <c r="AM44">
        <v>227</v>
      </c>
      <c r="AN44">
        <v>2105</v>
      </c>
    </row>
    <row r="45" spans="1:40" x14ac:dyDescent="0.35">
      <c r="A45" t="s">
        <v>379</v>
      </c>
      <c r="B45" t="s">
        <v>379</v>
      </c>
      <c r="C45" t="s">
        <v>379</v>
      </c>
      <c r="D45" t="s">
        <v>379</v>
      </c>
      <c r="E45" t="s">
        <v>379</v>
      </c>
      <c r="F45" t="s">
        <v>379</v>
      </c>
      <c r="G45" t="s">
        <v>379</v>
      </c>
      <c r="H45" t="s">
        <v>379</v>
      </c>
      <c r="I45" t="s">
        <v>379</v>
      </c>
      <c r="J45" t="s">
        <v>379</v>
      </c>
      <c r="K45" t="s">
        <v>379</v>
      </c>
      <c r="L45" t="s">
        <v>379</v>
      </c>
      <c r="M45" t="s">
        <v>379</v>
      </c>
      <c r="N45" t="s">
        <v>379</v>
      </c>
      <c r="O45" t="s">
        <v>379</v>
      </c>
      <c r="P45" t="s">
        <v>379</v>
      </c>
      <c r="Q45" t="s">
        <v>379</v>
      </c>
      <c r="R45" t="s">
        <v>379</v>
      </c>
      <c r="S45" t="s">
        <v>379</v>
      </c>
      <c r="T45" t="s">
        <v>379</v>
      </c>
      <c r="U45" t="s">
        <v>379</v>
      </c>
      <c r="V45" t="s">
        <v>379</v>
      </c>
      <c r="W45" t="s">
        <v>379</v>
      </c>
      <c r="X45" t="s">
        <v>379</v>
      </c>
      <c r="Y45" t="s">
        <v>379</v>
      </c>
      <c r="Z45" t="s">
        <v>379</v>
      </c>
      <c r="AA45" t="s">
        <v>379</v>
      </c>
      <c r="AB45" t="s">
        <v>379</v>
      </c>
      <c r="AC45" t="s">
        <v>406</v>
      </c>
      <c r="AD45" t="s">
        <v>405</v>
      </c>
      <c r="AE45">
        <v>10</v>
      </c>
      <c r="AF45">
        <v>4</v>
      </c>
      <c r="AG45">
        <v>1</v>
      </c>
      <c r="AH45" t="s">
        <v>407</v>
      </c>
      <c r="AJ45" t="s">
        <v>64</v>
      </c>
      <c r="AK45" t="s">
        <v>108</v>
      </c>
      <c r="AM45">
        <v>3443</v>
      </c>
      <c r="AN45">
        <v>2290</v>
      </c>
    </row>
    <row r="46" spans="1:40" x14ac:dyDescent="0.35">
      <c r="A46" t="s">
        <v>379</v>
      </c>
      <c r="B46" t="s">
        <v>379</v>
      </c>
      <c r="C46" t="s">
        <v>379</v>
      </c>
      <c r="D46" t="s">
        <v>379</v>
      </c>
      <c r="E46" t="s">
        <v>379</v>
      </c>
      <c r="F46" t="s">
        <v>379</v>
      </c>
      <c r="G46" t="s">
        <v>379</v>
      </c>
      <c r="H46" t="s">
        <v>379</v>
      </c>
      <c r="I46" t="s">
        <v>379</v>
      </c>
      <c r="J46" t="s">
        <v>379</v>
      </c>
      <c r="K46" t="s">
        <v>379</v>
      </c>
      <c r="L46" t="s">
        <v>379</v>
      </c>
      <c r="M46" t="s">
        <v>379</v>
      </c>
      <c r="N46" t="s">
        <v>379</v>
      </c>
      <c r="O46" t="s">
        <v>379</v>
      </c>
      <c r="P46" t="s">
        <v>379</v>
      </c>
      <c r="Q46" t="s">
        <v>379</v>
      </c>
      <c r="R46" t="s">
        <v>379</v>
      </c>
      <c r="S46" t="s">
        <v>379</v>
      </c>
      <c r="T46" t="s">
        <v>379</v>
      </c>
      <c r="U46" t="s">
        <v>379</v>
      </c>
      <c r="V46" t="s">
        <v>379</v>
      </c>
      <c r="W46" t="s">
        <v>379</v>
      </c>
      <c r="X46" t="s">
        <v>379</v>
      </c>
      <c r="Y46" t="s">
        <v>379</v>
      </c>
      <c r="Z46" t="s">
        <v>379</v>
      </c>
      <c r="AA46" t="s">
        <v>379</v>
      </c>
      <c r="AB46" t="s">
        <v>379</v>
      </c>
      <c r="AC46" t="s">
        <v>406</v>
      </c>
      <c r="AD46" t="s">
        <v>405</v>
      </c>
      <c r="AE46">
        <v>10</v>
      </c>
      <c r="AF46">
        <v>5</v>
      </c>
      <c r="AH46" t="s">
        <v>384</v>
      </c>
      <c r="AJ46" t="s">
        <v>44</v>
      </c>
      <c r="AK46" t="s">
        <v>109</v>
      </c>
      <c r="AM46">
        <v>1735</v>
      </c>
      <c r="AN46">
        <v>815</v>
      </c>
    </row>
    <row r="47" spans="1:40" x14ac:dyDescent="0.35">
      <c r="A47" t="s">
        <v>379</v>
      </c>
      <c r="B47" t="s">
        <v>379</v>
      </c>
      <c r="C47" t="s">
        <v>379</v>
      </c>
      <c r="D47" t="s">
        <v>379</v>
      </c>
      <c r="E47" t="s">
        <v>379</v>
      </c>
      <c r="F47" t="s">
        <v>379</v>
      </c>
      <c r="G47" t="s">
        <v>379</v>
      </c>
      <c r="H47" t="s">
        <v>379</v>
      </c>
      <c r="I47" t="s">
        <v>379</v>
      </c>
      <c r="J47" t="s">
        <v>379</v>
      </c>
      <c r="K47" t="s">
        <v>379</v>
      </c>
      <c r="L47" t="s">
        <v>379</v>
      </c>
      <c r="M47" t="s">
        <v>379</v>
      </c>
      <c r="N47" t="s">
        <v>379</v>
      </c>
      <c r="O47" t="s">
        <v>379</v>
      </c>
      <c r="P47" t="s">
        <v>379</v>
      </c>
      <c r="Q47" t="s">
        <v>379</v>
      </c>
      <c r="R47" t="s">
        <v>379</v>
      </c>
      <c r="S47" t="s">
        <v>379</v>
      </c>
      <c r="T47" t="s">
        <v>379</v>
      </c>
      <c r="U47" t="s">
        <v>379</v>
      </c>
      <c r="V47" t="s">
        <v>379</v>
      </c>
      <c r="W47" t="s">
        <v>379</v>
      </c>
      <c r="X47" t="s">
        <v>379</v>
      </c>
      <c r="Y47" t="s">
        <v>379</v>
      </c>
      <c r="Z47" t="s">
        <v>379</v>
      </c>
      <c r="AA47" t="s">
        <v>379</v>
      </c>
      <c r="AB47" t="s">
        <v>379</v>
      </c>
      <c r="AC47" t="s">
        <v>406</v>
      </c>
      <c r="AD47" t="s">
        <v>405</v>
      </c>
      <c r="AE47">
        <v>10</v>
      </c>
      <c r="AF47">
        <v>6</v>
      </c>
      <c r="AH47" t="s">
        <v>384</v>
      </c>
      <c r="AJ47" t="s">
        <v>44</v>
      </c>
      <c r="AK47" t="s">
        <v>109</v>
      </c>
      <c r="AM47">
        <v>1547</v>
      </c>
      <c r="AN47">
        <v>83</v>
      </c>
    </row>
    <row r="48" spans="1:40" x14ac:dyDescent="0.35">
      <c r="A48" t="s">
        <v>379</v>
      </c>
      <c r="B48" t="s">
        <v>379</v>
      </c>
      <c r="C48" t="s">
        <v>379</v>
      </c>
      <c r="D48" t="s">
        <v>379</v>
      </c>
      <c r="E48" t="s">
        <v>379</v>
      </c>
      <c r="F48" t="s">
        <v>379</v>
      </c>
      <c r="G48" t="s">
        <v>379</v>
      </c>
      <c r="H48" t="s">
        <v>379</v>
      </c>
      <c r="I48" t="s">
        <v>379</v>
      </c>
      <c r="J48" t="s">
        <v>379</v>
      </c>
      <c r="K48" t="s">
        <v>379</v>
      </c>
      <c r="L48" t="s">
        <v>379</v>
      </c>
      <c r="M48" t="s">
        <v>379</v>
      </c>
      <c r="N48" t="s">
        <v>379</v>
      </c>
      <c r="O48" t="s">
        <v>379</v>
      </c>
      <c r="P48" t="s">
        <v>379</v>
      </c>
      <c r="Q48" t="s">
        <v>379</v>
      </c>
      <c r="R48" t="s">
        <v>379</v>
      </c>
      <c r="S48" t="s">
        <v>379</v>
      </c>
      <c r="T48" t="s">
        <v>379</v>
      </c>
      <c r="U48" t="s">
        <v>379</v>
      </c>
      <c r="V48" t="s">
        <v>379</v>
      </c>
      <c r="W48" t="s">
        <v>379</v>
      </c>
      <c r="X48" t="s">
        <v>379</v>
      </c>
      <c r="Y48" t="s">
        <v>379</v>
      </c>
      <c r="Z48" t="s">
        <v>379</v>
      </c>
      <c r="AA48" t="s">
        <v>379</v>
      </c>
      <c r="AB48" t="s">
        <v>379</v>
      </c>
      <c r="AC48" t="s">
        <v>406</v>
      </c>
      <c r="AD48" t="s">
        <v>405</v>
      </c>
      <c r="AE48">
        <v>10</v>
      </c>
      <c r="AF48">
        <v>7</v>
      </c>
      <c r="AH48" t="s">
        <v>390</v>
      </c>
      <c r="AJ48" t="s">
        <v>49</v>
      </c>
      <c r="AK48" t="s">
        <v>115</v>
      </c>
      <c r="AL48" t="s">
        <v>50</v>
      </c>
      <c r="AM48">
        <v>2655</v>
      </c>
      <c r="AN48">
        <v>768</v>
      </c>
    </row>
    <row r="49" spans="1:40" x14ac:dyDescent="0.35">
      <c r="A49" t="s">
        <v>379</v>
      </c>
      <c r="B49" t="s">
        <v>379</v>
      </c>
      <c r="C49" t="s">
        <v>379</v>
      </c>
      <c r="D49" t="s">
        <v>379</v>
      </c>
      <c r="E49" t="s">
        <v>379</v>
      </c>
      <c r="F49" t="s">
        <v>379</v>
      </c>
      <c r="G49" t="s">
        <v>379</v>
      </c>
      <c r="H49" t="s">
        <v>379</v>
      </c>
      <c r="I49" t="s">
        <v>379</v>
      </c>
      <c r="J49" t="s">
        <v>379</v>
      </c>
      <c r="K49" t="s">
        <v>379</v>
      </c>
      <c r="L49" t="s">
        <v>379</v>
      </c>
      <c r="M49" t="s">
        <v>379</v>
      </c>
      <c r="N49" t="s">
        <v>379</v>
      </c>
      <c r="O49" t="s">
        <v>379</v>
      </c>
      <c r="P49" t="s">
        <v>379</v>
      </c>
      <c r="Q49" t="s">
        <v>379</v>
      </c>
      <c r="R49" t="s">
        <v>379</v>
      </c>
      <c r="S49" t="s">
        <v>379</v>
      </c>
      <c r="T49" t="s">
        <v>379</v>
      </c>
      <c r="U49" t="s">
        <v>379</v>
      </c>
      <c r="V49" t="s">
        <v>379</v>
      </c>
      <c r="W49" t="s">
        <v>379</v>
      </c>
      <c r="X49" t="s">
        <v>379</v>
      </c>
      <c r="Y49" t="s">
        <v>379</v>
      </c>
      <c r="Z49" t="s">
        <v>379</v>
      </c>
      <c r="AA49" t="s">
        <v>379</v>
      </c>
      <c r="AB49" t="s">
        <v>379</v>
      </c>
      <c r="AC49" t="s">
        <v>406</v>
      </c>
      <c r="AD49" t="s">
        <v>405</v>
      </c>
      <c r="AE49">
        <v>10</v>
      </c>
      <c r="AF49">
        <v>8</v>
      </c>
      <c r="AH49" t="s">
        <v>389</v>
      </c>
      <c r="AJ49" t="s">
        <v>48</v>
      </c>
      <c r="AK49" t="s">
        <v>109</v>
      </c>
      <c r="AM49">
        <v>1734</v>
      </c>
      <c r="AN49">
        <v>2075</v>
      </c>
    </row>
    <row r="50" spans="1:40" x14ac:dyDescent="0.35">
      <c r="A50" t="s">
        <v>379</v>
      </c>
      <c r="B50" t="s">
        <v>379</v>
      </c>
      <c r="C50" t="s">
        <v>379</v>
      </c>
      <c r="D50" t="s">
        <v>379</v>
      </c>
      <c r="E50" t="s">
        <v>379</v>
      </c>
      <c r="F50" t="s">
        <v>379</v>
      </c>
      <c r="G50" t="s">
        <v>379</v>
      </c>
      <c r="H50" t="s">
        <v>379</v>
      </c>
      <c r="I50" t="s">
        <v>379</v>
      </c>
      <c r="J50" t="s">
        <v>379</v>
      </c>
      <c r="K50" t="s">
        <v>379</v>
      </c>
      <c r="L50" t="s">
        <v>379</v>
      </c>
      <c r="M50" t="s">
        <v>379</v>
      </c>
      <c r="N50" t="s">
        <v>379</v>
      </c>
      <c r="O50" t="s">
        <v>379</v>
      </c>
      <c r="P50" t="s">
        <v>379</v>
      </c>
      <c r="Q50" t="s">
        <v>379</v>
      </c>
      <c r="R50" t="s">
        <v>379</v>
      </c>
      <c r="S50" t="s">
        <v>379</v>
      </c>
      <c r="T50" t="s">
        <v>379</v>
      </c>
      <c r="U50" t="s">
        <v>379</v>
      </c>
      <c r="V50" t="s">
        <v>379</v>
      </c>
      <c r="W50" t="s">
        <v>379</v>
      </c>
      <c r="X50" t="s">
        <v>379</v>
      </c>
      <c r="Y50" t="s">
        <v>379</v>
      </c>
      <c r="Z50" t="s">
        <v>379</v>
      </c>
      <c r="AA50" t="s">
        <v>379</v>
      </c>
      <c r="AB50" t="s">
        <v>379</v>
      </c>
      <c r="AC50" t="s">
        <v>406</v>
      </c>
      <c r="AD50" t="s">
        <v>405</v>
      </c>
      <c r="AE50">
        <v>10</v>
      </c>
      <c r="AF50">
        <v>9</v>
      </c>
      <c r="AG50">
        <v>1</v>
      </c>
      <c r="AH50" t="s">
        <v>385</v>
      </c>
      <c r="AJ50" t="s">
        <v>45</v>
      </c>
      <c r="AK50" t="s">
        <v>108</v>
      </c>
      <c r="AM50">
        <v>1727</v>
      </c>
      <c r="AN50">
        <v>963</v>
      </c>
    </row>
    <row r="51" spans="1:40" x14ac:dyDescent="0.35">
      <c r="A51" t="s">
        <v>379</v>
      </c>
      <c r="B51" t="s">
        <v>379</v>
      </c>
      <c r="C51" t="s">
        <v>379</v>
      </c>
      <c r="D51" t="s">
        <v>379</v>
      </c>
      <c r="E51" t="s">
        <v>379</v>
      </c>
      <c r="F51" t="s">
        <v>379</v>
      </c>
      <c r="G51" t="s">
        <v>379</v>
      </c>
      <c r="H51" t="s">
        <v>379</v>
      </c>
      <c r="I51" t="s">
        <v>379</v>
      </c>
      <c r="J51" t="s">
        <v>379</v>
      </c>
      <c r="K51" t="s">
        <v>379</v>
      </c>
      <c r="L51" t="s">
        <v>379</v>
      </c>
      <c r="M51" t="s">
        <v>379</v>
      </c>
      <c r="N51" t="s">
        <v>379</v>
      </c>
      <c r="O51" t="s">
        <v>379</v>
      </c>
      <c r="P51" t="s">
        <v>379</v>
      </c>
      <c r="Q51" t="s">
        <v>379</v>
      </c>
      <c r="R51" t="s">
        <v>379</v>
      </c>
      <c r="S51" t="s">
        <v>379</v>
      </c>
      <c r="T51" t="s">
        <v>379</v>
      </c>
      <c r="U51" t="s">
        <v>379</v>
      </c>
      <c r="V51" t="s">
        <v>379</v>
      </c>
      <c r="W51" t="s">
        <v>379</v>
      </c>
      <c r="X51" t="s">
        <v>379</v>
      </c>
      <c r="Y51" t="s">
        <v>379</v>
      </c>
      <c r="Z51" t="s">
        <v>379</v>
      </c>
      <c r="AA51" t="s">
        <v>379</v>
      </c>
      <c r="AB51" t="s">
        <v>379</v>
      </c>
      <c r="AC51" t="s">
        <v>406</v>
      </c>
      <c r="AD51" t="s">
        <v>405</v>
      </c>
      <c r="AE51">
        <v>10</v>
      </c>
      <c r="AF51">
        <v>10</v>
      </c>
      <c r="AH51" t="s">
        <v>384</v>
      </c>
      <c r="AJ51" t="s">
        <v>44</v>
      </c>
      <c r="AK51" t="s">
        <v>109</v>
      </c>
      <c r="AM51">
        <v>3153</v>
      </c>
      <c r="AN51">
        <v>759</v>
      </c>
    </row>
    <row r="52" spans="1:40" x14ac:dyDescent="0.35">
      <c r="A52" t="s">
        <v>379</v>
      </c>
      <c r="B52" t="s">
        <v>379</v>
      </c>
      <c r="C52" t="s">
        <v>379</v>
      </c>
      <c r="D52" t="s">
        <v>379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379</v>
      </c>
      <c r="K52" t="s">
        <v>379</v>
      </c>
      <c r="L52" t="s">
        <v>379</v>
      </c>
      <c r="M52" t="s">
        <v>379</v>
      </c>
      <c r="N52" t="s">
        <v>379</v>
      </c>
      <c r="O52" t="s">
        <v>379</v>
      </c>
      <c r="P52" t="s">
        <v>379</v>
      </c>
      <c r="Q52" t="s">
        <v>379</v>
      </c>
      <c r="R52" t="s">
        <v>379</v>
      </c>
      <c r="S52" t="s">
        <v>379</v>
      </c>
      <c r="T52" t="s">
        <v>379</v>
      </c>
      <c r="U52" t="s">
        <v>379</v>
      </c>
      <c r="V52" t="s">
        <v>379</v>
      </c>
      <c r="W52" t="s">
        <v>379</v>
      </c>
      <c r="X52" t="s">
        <v>379</v>
      </c>
      <c r="Y52" t="s">
        <v>379</v>
      </c>
      <c r="Z52" t="s">
        <v>379</v>
      </c>
      <c r="AA52" t="s">
        <v>379</v>
      </c>
      <c r="AB52" t="s">
        <v>379</v>
      </c>
      <c r="AC52" t="s">
        <v>409</v>
      </c>
      <c r="AD52" t="s">
        <v>408</v>
      </c>
      <c r="AE52">
        <v>10</v>
      </c>
      <c r="AF52">
        <v>1</v>
      </c>
      <c r="AG52">
        <v>1</v>
      </c>
      <c r="AH52" t="s">
        <v>410</v>
      </c>
      <c r="AJ52" t="s">
        <v>66</v>
      </c>
      <c r="AK52" t="s">
        <v>108</v>
      </c>
      <c r="AM52">
        <v>1003</v>
      </c>
      <c r="AN52">
        <v>2509</v>
      </c>
    </row>
    <row r="53" spans="1:40" x14ac:dyDescent="0.35">
      <c r="A53" t="s">
        <v>379</v>
      </c>
      <c r="B53" t="s">
        <v>379</v>
      </c>
      <c r="C53" t="s">
        <v>379</v>
      </c>
      <c r="D53" t="s">
        <v>379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379</v>
      </c>
      <c r="L53" t="s">
        <v>379</v>
      </c>
      <c r="M53" t="s">
        <v>379</v>
      </c>
      <c r="N53" t="s">
        <v>379</v>
      </c>
      <c r="O53" t="s">
        <v>379</v>
      </c>
      <c r="P53" t="s">
        <v>379</v>
      </c>
      <c r="Q53" t="s">
        <v>379</v>
      </c>
      <c r="R53" t="s">
        <v>379</v>
      </c>
      <c r="S53" t="s">
        <v>379</v>
      </c>
      <c r="T53" t="s">
        <v>379</v>
      </c>
      <c r="U53" t="s">
        <v>379</v>
      </c>
      <c r="V53" t="s">
        <v>379</v>
      </c>
      <c r="W53" t="s">
        <v>379</v>
      </c>
      <c r="X53" t="s">
        <v>379</v>
      </c>
      <c r="Y53" t="s">
        <v>379</v>
      </c>
      <c r="Z53" t="s">
        <v>379</v>
      </c>
      <c r="AA53" t="s">
        <v>379</v>
      </c>
      <c r="AB53" t="s">
        <v>379</v>
      </c>
      <c r="AC53" t="s">
        <v>409</v>
      </c>
      <c r="AD53" t="s">
        <v>408</v>
      </c>
      <c r="AE53">
        <v>10</v>
      </c>
      <c r="AF53">
        <v>2</v>
      </c>
      <c r="AG53">
        <v>1</v>
      </c>
      <c r="AH53" t="s">
        <v>411</v>
      </c>
      <c r="AJ53" t="s">
        <v>67</v>
      </c>
      <c r="AK53" t="s">
        <v>108</v>
      </c>
      <c r="AM53">
        <v>2259</v>
      </c>
      <c r="AN53">
        <v>845</v>
      </c>
    </row>
    <row r="54" spans="1:40" x14ac:dyDescent="0.35">
      <c r="A54" t="s">
        <v>379</v>
      </c>
      <c r="B54" t="s">
        <v>379</v>
      </c>
      <c r="C54" t="s">
        <v>379</v>
      </c>
      <c r="D54" t="s">
        <v>379</v>
      </c>
      <c r="E54" t="s">
        <v>379</v>
      </c>
      <c r="F54" t="s">
        <v>379</v>
      </c>
      <c r="G54" t="s">
        <v>379</v>
      </c>
      <c r="H54" t="s">
        <v>379</v>
      </c>
      <c r="I54" t="s">
        <v>379</v>
      </c>
      <c r="J54" t="s">
        <v>379</v>
      </c>
      <c r="K54" t="s">
        <v>379</v>
      </c>
      <c r="L54" t="s">
        <v>379</v>
      </c>
      <c r="M54" t="s">
        <v>379</v>
      </c>
      <c r="N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409</v>
      </c>
      <c r="AD54" t="s">
        <v>408</v>
      </c>
      <c r="AE54">
        <v>10</v>
      </c>
      <c r="AF54">
        <v>3</v>
      </c>
      <c r="AG54">
        <v>1</v>
      </c>
      <c r="AH54" t="s">
        <v>412</v>
      </c>
      <c r="AJ54" t="s">
        <v>68</v>
      </c>
      <c r="AK54" t="s">
        <v>108</v>
      </c>
      <c r="AM54">
        <v>2057</v>
      </c>
      <c r="AN54">
        <v>122</v>
      </c>
    </row>
    <row r="55" spans="1:40" x14ac:dyDescent="0.35">
      <c r="A55" t="s">
        <v>379</v>
      </c>
      <c r="B55" t="s">
        <v>379</v>
      </c>
      <c r="C55" t="s">
        <v>379</v>
      </c>
      <c r="D55" t="s">
        <v>379</v>
      </c>
      <c r="E55" t="s">
        <v>379</v>
      </c>
      <c r="F55" t="s">
        <v>379</v>
      </c>
      <c r="G55" t="s">
        <v>379</v>
      </c>
      <c r="H55" t="s">
        <v>379</v>
      </c>
      <c r="I55" t="s">
        <v>379</v>
      </c>
      <c r="J55" t="s">
        <v>379</v>
      </c>
      <c r="K55" t="s">
        <v>379</v>
      </c>
      <c r="L55" t="s">
        <v>379</v>
      </c>
      <c r="M55" t="s">
        <v>379</v>
      </c>
      <c r="N55" t="s">
        <v>379</v>
      </c>
      <c r="O55" t="s">
        <v>379</v>
      </c>
      <c r="P55" t="s">
        <v>379</v>
      </c>
      <c r="Q55" t="s">
        <v>379</v>
      </c>
      <c r="R55" t="s">
        <v>379</v>
      </c>
      <c r="S55" t="s">
        <v>379</v>
      </c>
      <c r="T55" t="s">
        <v>379</v>
      </c>
      <c r="U55" t="s">
        <v>379</v>
      </c>
      <c r="V55" t="s">
        <v>379</v>
      </c>
      <c r="W55" t="s">
        <v>379</v>
      </c>
      <c r="X55" t="s">
        <v>379</v>
      </c>
      <c r="Y55" t="s">
        <v>379</v>
      </c>
      <c r="Z55" t="s">
        <v>379</v>
      </c>
      <c r="AA55" t="s">
        <v>379</v>
      </c>
      <c r="AB55" t="s">
        <v>379</v>
      </c>
      <c r="AC55" t="s">
        <v>409</v>
      </c>
      <c r="AD55" t="s">
        <v>408</v>
      </c>
      <c r="AE55">
        <v>10</v>
      </c>
      <c r="AF55">
        <v>4</v>
      </c>
      <c r="AG55">
        <v>1</v>
      </c>
      <c r="AH55" t="s">
        <v>413</v>
      </c>
      <c r="AJ55" t="s">
        <v>69</v>
      </c>
      <c r="AK55" t="s">
        <v>108</v>
      </c>
      <c r="AM55">
        <v>2414</v>
      </c>
      <c r="AN55">
        <v>2215</v>
      </c>
    </row>
    <row r="56" spans="1:40" x14ac:dyDescent="0.35">
      <c r="A56" t="s">
        <v>379</v>
      </c>
      <c r="B56" t="s">
        <v>379</v>
      </c>
      <c r="C56" t="s">
        <v>379</v>
      </c>
      <c r="D56" t="s">
        <v>379</v>
      </c>
      <c r="E56" t="s">
        <v>379</v>
      </c>
      <c r="F56" t="s">
        <v>379</v>
      </c>
      <c r="G56" t="s">
        <v>379</v>
      </c>
      <c r="H56" t="s">
        <v>379</v>
      </c>
      <c r="I56" t="s">
        <v>379</v>
      </c>
      <c r="J56" t="s">
        <v>379</v>
      </c>
      <c r="K56" t="s">
        <v>379</v>
      </c>
      <c r="L56" t="s">
        <v>379</v>
      </c>
      <c r="M56" t="s">
        <v>379</v>
      </c>
      <c r="N56" t="s">
        <v>379</v>
      </c>
      <c r="O56" t="s">
        <v>379</v>
      </c>
      <c r="P56" t="s">
        <v>379</v>
      </c>
      <c r="Q56" t="s">
        <v>379</v>
      </c>
      <c r="R56" t="s">
        <v>379</v>
      </c>
      <c r="S56" t="s">
        <v>379</v>
      </c>
      <c r="T56" t="s">
        <v>379</v>
      </c>
      <c r="U56" t="s">
        <v>379</v>
      </c>
      <c r="V56" t="s">
        <v>379</v>
      </c>
      <c r="W56" t="s">
        <v>379</v>
      </c>
      <c r="X56" t="s">
        <v>379</v>
      </c>
      <c r="Y56" t="s">
        <v>379</v>
      </c>
      <c r="Z56" t="s">
        <v>379</v>
      </c>
      <c r="AA56" t="s">
        <v>379</v>
      </c>
      <c r="AB56" t="s">
        <v>379</v>
      </c>
      <c r="AC56" t="s">
        <v>409</v>
      </c>
      <c r="AD56" t="s">
        <v>408</v>
      </c>
      <c r="AE56">
        <v>10</v>
      </c>
      <c r="AF56">
        <v>5</v>
      </c>
      <c r="AG56">
        <v>1</v>
      </c>
      <c r="AH56" t="s">
        <v>413</v>
      </c>
      <c r="AJ56" t="s">
        <v>69</v>
      </c>
      <c r="AK56" t="s">
        <v>108</v>
      </c>
      <c r="AM56">
        <v>2393</v>
      </c>
      <c r="AN56">
        <v>1667</v>
      </c>
    </row>
    <row r="57" spans="1:40" x14ac:dyDescent="0.35">
      <c r="A57" t="s">
        <v>379</v>
      </c>
      <c r="B57" t="s">
        <v>379</v>
      </c>
      <c r="C57" t="s">
        <v>379</v>
      </c>
      <c r="D57" t="s">
        <v>379</v>
      </c>
      <c r="E57" t="s">
        <v>379</v>
      </c>
      <c r="F57" t="s">
        <v>379</v>
      </c>
      <c r="G57" t="s">
        <v>379</v>
      </c>
      <c r="H57" t="s">
        <v>379</v>
      </c>
      <c r="I57" t="s">
        <v>379</v>
      </c>
      <c r="J57" t="s">
        <v>379</v>
      </c>
      <c r="K57" t="s">
        <v>379</v>
      </c>
      <c r="L57" t="s">
        <v>379</v>
      </c>
      <c r="M57" t="s">
        <v>379</v>
      </c>
      <c r="N57" t="s">
        <v>379</v>
      </c>
      <c r="O57" t="s">
        <v>379</v>
      </c>
      <c r="P57" t="s">
        <v>379</v>
      </c>
      <c r="Q57" t="s">
        <v>379</v>
      </c>
      <c r="R57" t="s">
        <v>379</v>
      </c>
      <c r="S57" t="s">
        <v>379</v>
      </c>
      <c r="T57" t="s">
        <v>379</v>
      </c>
      <c r="U57" t="s">
        <v>379</v>
      </c>
      <c r="V57" t="s">
        <v>379</v>
      </c>
      <c r="W57" t="s">
        <v>379</v>
      </c>
      <c r="X57" t="s">
        <v>379</v>
      </c>
      <c r="Y57" t="s">
        <v>379</v>
      </c>
      <c r="Z57" t="s">
        <v>379</v>
      </c>
      <c r="AA57" t="s">
        <v>379</v>
      </c>
      <c r="AB57" t="s">
        <v>379</v>
      </c>
      <c r="AC57" t="s">
        <v>409</v>
      </c>
      <c r="AD57" t="s">
        <v>408</v>
      </c>
      <c r="AE57">
        <v>10</v>
      </c>
      <c r="AF57">
        <v>6</v>
      </c>
      <c r="AG57">
        <v>1</v>
      </c>
      <c r="AH57" t="s">
        <v>414</v>
      </c>
      <c r="AJ57" t="s">
        <v>70</v>
      </c>
      <c r="AK57" t="s">
        <v>108</v>
      </c>
      <c r="AM57">
        <v>3037</v>
      </c>
      <c r="AN57">
        <v>64</v>
      </c>
    </row>
    <row r="58" spans="1:40" x14ac:dyDescent="0.35">
      <c r="A58" t="s">
        <v>379</v>
      </c>
      <c r="B58" t="s">
        <v>379</v>
      </c>
      <c r="C58" t="s">
        <v>379</v>
      </c>
      <c r="D58" t="s">
        <v>379</v>
      </c>
      <c r="E58" t="s">
        <v>379</v>
      </c>
      <c r="F58" t="s">
        <v>379</v>
      </c>
      <c r="G58" t="s">
        <v>379</v>
      </c>
      <c r="H58" t="s">
        <v>379</v>
      </c>
      <c r="I58" t="s">
        <v>379</v>
      </c>
      <c r="J58" t="s">
        <v>379</v>
      </c>
      <c r="K58" t="s">
        <v>379</v>
      </c>
      <c r="L58" t="s">
        <v>379</v>
      </c>
      <c r="M58" t="s">
        <v>379</v>
      </c>
      <c r="N58" t="s">
        <v>379</v>
      </c>
      <c r="O58" t="s">
        <v>379</v>
      </c>
      <c r="P58" t="s">
        <v>379</v>
      </c>
      <c r="Q58" t="s">
        <v>379</v>
      </c>
      <c r="R58" t="s">
        <v>379</v>
      </c>
      <c r="S58" t="s">
        <v>379</v>
      </c>
      <c r="T58" t="s">
        <v>379</v>
      </c>
      <c r="U58" t="s">
        <v>379</v>
      </c>
      <c r="V58" t="s">
        <v>379</v>
      </c>
      <c r="W58" t="s">
        <v>379</v>
      </c>
      <c r="X58" t="s">
        <v>379</v>
      </c>
      <c r="Y58" t="s">
        <v>379</v>
      </c>
      <c r="Z58" t="s">
        <v>379</v>
      </c>
      <c r="AA58" t="s">
        <v>379</v>
      </c>
      <c r="AB58" t="s">
        <v>379</v>
      </c>
      <c r="AC58" t="s">
        <v>409</v>
      </c>
      <c r="AD58" t="s">
        <v>408</v>
      </c>
      <c r="AE58">
        <v>10</v>
      </c>
      <c r="AF58">
        <v>7</v>
      </c>
      <c r="AG58">
        <v>1</v>
      </c>
      <c r="AH58" t="s">
        <v>415</v>
      </c>
      <c r="AJ58" t="s">
        <v>71</v>
      </c>
      <c r="AK58" t="s">
        <v>108</v>
      </c>
      <c r="AM58">
        <v>1591</v>
      </c>
      <c r="AN58">
        <v>1710</v>
      </c>
    </row>
    <row r="59" spans="1:40" x14ac:dyDescent="0.35">
      <c r="A59" t="s">
        <v>379</v>
      </c>
      <c r="B59" t="s">
        <v>379</v>
      </c>
      <c r="C59" t="s">
        <v>379</v>
      </c>
      <c r="D59" t="s">
        <v>379</v>
      </c>
      <c r="E59" t="s">
        <v>379</v>
      </c>
      <c r="F59" t="s">
        <v>379</v>
      </c>
      <c r="G59" t="s">
        <v>379</v>
      </c>
      <c r="H59" t="s">
        <v>379</v>
      </c>
      <c r="I59" t="s">
        <v>379</v>
      </c>
      <c r="J59" t="s">
        <v>379</v>
      </c>
      <c r="K59" t="s">
        <v>379</v>
      </c>
      <c r="L59" t="s">
        <v>379</v>
      </c>
      <c r="M59" t="s">
        <v>379</v>
      </c>
      <c r="N59" t="s">
        <v>379</v>
      </c>
      <c r="O59" t="s">
        <v>379</v>
      </c>
      <c r="P59" t="s">
        <v>379</v>
      </c>
      <c r="Q59" t="s">
        <v>379</v>
      </c>
      <c r="R59" t="s">
        <v>379</v>
      </c>
      <c r="S59" t="s">
        <v>379</v>
      </c>
      <c r="T59" t="s">
        <v>379</v>
      </c>
      <c r="U59" t="s">
        <v>379</v>
      </c>
      <c r="V59" t="s">
        <v>379</v>
      </c>
      <c r="W59" t="s">
        <v>379</v>
      </c>
      <c r="X59" t="s">
        <v>379</v>
      </c>
      <c r="Y59" t="s">
        <v>379</v>
      </c>
      <c r="Z59" t="s">
        <v>379</v>
      </c>
      <c r="AA59" t="s">
        <v>379</v>
      </c>
      <c r="AB59" t="s">
        <v>379</v>
      </c>
      <c r="AC59" t="s">
        <v>409</v>
      </c>
      <c r="AD59" t="s">
        <v>408</v>
      </c>
      <c r="AE59">
        <v>10</v>
      </c>
      <c r="AF59">
        <v>8</v>
      </c>
      <c r="AG59">
        <v>1</v>
      </c>
      <c r="AH59" t="s">
        <v>412</v>
      </c>
      <c r="AJ59" t="s">
        <v>68</v>
      </c>
      <c r="AK59" t="s">
        <v>108</v>
      </c>
      <c r="AM59">
        <v>2346</v>
      </c>
      <c r="AN59">
        <v>81</v>
      </c>
    </row>
    <row r="60" spans="1:40" x14ac:dyDescent="0.35">
      <c r="A60" t="s">
        <v>379</v>
      </c>
      <c r="B60" t="s">
        <v>379</v>
      </c>
      <c r="C60" t="s">
        <v>379</v>
      </c>
      <c r="D60" t="s">
        <v>379</v>
      </c>
      <c r="E60" t="s">
        <v>379</v>
      </c>
      <c r="F60" t="s">
        <v>379</v>
      </c>
      <c r="G60" t="s">
        <v>379</v>
      </c>
      <c r="H60" t="s">
        <v>379</v>
      </c>
      <c r="I60" t="s">
        <v>379</v>
      </c>
      <c r="J60" t="s">
        <v>379</v>
      </c>
      <c r="K60" t="s">
        <v>379</v>
      </c>
      <c r="L60" t="s">
        <v>379</v>
      </c>
      <c r="M60" t="s">
        <v>379</v>
      </c>
      <c r="N60" t="s">
        <v>379</v>
      </c>
      <c r="O60" t="s">
        <v>379</v>
      </c>
      <c r="P60" t="s">
        <v>379</v>
      </c>
      <c r="Q60" t="s">
        <v>379</v>
      </c>
      <c r="R60" t="s">
        <v>379</v>
      </c>
      <c r="S60" t="s">
        <v>379</v>
      </c>
      <c r="T60" t="s">
        <v>379</v>
      </c>
      <c r="U60" t="s">
        <v>379</v>
      </c>
      <c r="V60" t="s">
        <v>379</v>
      </c>
      <c r="W60" t="s">
        <v>379</v>
      </c>
      <c r="X60" t="s">
        <v>379</v>
      </c>
      <c r="Y60" t="s">
        <v>379</v>
      </c>
      <c r="Z60" t="s">
        <v>379</v>
      </c>
      <c r="AA60" t="s">
        <v>379</v>
      </c>
      <c r="AB60" t="s">
        <v>379</v>
      </c>
      <c r="AC60" t="s">
        <v>409</v>
      </c>
      <c r="AD60" t="s">
        <v>408</v>
      </c>
      <c r="AE60">
        <v>10</v>
      </c>
      <c r="AF60">
        <v>9</v>
      </c>
      <c r="AH60" t="s">
        <v>116</v>
      </c>
      <c r="AJ60" t="s">
        <v>41</v>
      </c>
      <c r="AK60" t="s">
        <v>116</v>
      </c>
      <c r="AM60">
        <v>14</v>
      </c>
      <c r="AN60">
        <v>200</v>
      </c>
    </row>
    <row r="61" spans="1:40" x14ac:dyDescent="0.35">
      <c r="A61" t="s">
        <v>379</v>
      </c>
      <c r="B61" t="s">
        <v>379</v>
      </c>
      <c r="C61" t="s">
        <v>379</v>
      </c>
      <c r="D61" t="s">
        <v>379</v>
      </c>
      <c r="E61" t="s">
        <v>379</v>
      </c>
      <c r="F61" t="s">
        <v>379</v>
      </c>
      <c r="G61" t="s">
        <v>379</v>
      </c>
      <c r="H61" t="s">
        <v>379</v>
      </c>
      <c r="I61" t="s">
        <v>379</v>
      </c>
      <c r="J61" t="s">
        <v>379</v>
      </c>
      <c r="K61" t="s">
        <v>379</v>
      </c>
      <c r="L61" t="s">
        <v>379</v>
      </c>
      <c r="M61" t="s">
        <v>379</v>
      </c>
      <c r="N61" t="s">
        <v>379</v>
      </c>
      <c r="O61" t="s">
        <v>379</v>
      </c>
      <c r="P61" t="s">
        <v>379</v>
      </c>
      <c r="Q61" t="s">
        <v>379</v>
      </c>
      <c r="R61" t="s">
        <v>379</v>
      </c>
      <c r="S61" t="s">
        <v>379</v>
      </c>
      <c r="T61" t="s">
        <v>379</v>
      </c>
      <c r="U61" t="s">
        <v>379</v>
      </c>
      <c r="V61" t="s">
        <v>379</v>
      </c>
      <c r="W61" t="s">
        <v>379</v>
      </c>
      <c r="X61" t="s">
        <v>379</v>
      </c>
      <c r="Y61" t="s">
        <v>379</v>
      </c>
      <c r="Z61" t="s">
        <v>379</v>
      </c>
      <c r="AA61" t="s">
        <v>379</v>
      </c>
      <c r="AB61" t="s">
        <v>379</v>
      </c>
      <c r="AC61" t="s">
        <v>409</v>
      </c>
      <c r="AD61" t="s">
        <v>408</v>
      </c>
      <c r="AE61">
        <v>10</v>
      </c>
      <c r="AF61">
        <v>10</v>
      </c>
      <c r="AH61" t="s">
        <v>389</v>
      </c>
      <c r="AJ61" t="s">
        <v>48</v>
      </c>
      <c r="AK61" t="s">
        <v>109</v>
      </c>
      <c r="AM61">
        <v>1457</v>
      </c>
      <c r="AN61">
        <v>1180</v>
      </c>
    </row>
    <row r="62" spans="1:40" x14ac:dyDescent="0.35">
      <c r="A62" t="s">
        <v>379</v>
      </c>
      <c r="B62" t="s">
        <v>379</v>
      </c>
      <c r="C62" t="s">
        <v>379</v>
      </c>
      <c r="D62" t="s">
        <v>379</v>
      </c>
      <c r="E62" t="s">
        <v>379</v>
      </c>
      <c r="F62" t="s">
        <v>379</v>
      </c>
      <c r="G62" t="s">
        <v>379</v>
      </c>
      <c r="H62" t="s">
        <v>379</v>
      </c>
      <c r="I62" t="s">
        <v>379</v>
      </c>
      <c r="J62" t="s">
        <v>379</v>
      </c>
      <c r="K62" t="s">
        <v>379</v>
      </c>
      <c r="L62" t="s">
        <v>379</v>
      </c>
      <c r="M62" t="s">
        <v>379</v>
      </c>
      <c r="N62" t="s">
        <v>379</v>
      </c>
      <c r="O62" t="s">
        <v>379</v>
      </c>
      <c r="P62" t="s">
        <v>379</v>
      </c>
      <c r="Q62" t="s">
        <v>379</v>
      </c>
      <c r="R62" t="s">
        <v>379</v>
      </c>
      <c r="S62" t="s">
        <v>379</v>
      </c>
      <c r="T62" t="s">
        <v>379</v>
      </c>
      <c r="U62" t="s">
        <v>379</v>
      </c>
      <c r="V62" t="s">
        <v>379</v>
      </c>
      <c r="W62" t="s">
        <v>379</v>
      </c>
      <c r="X62" t="s">
        <v>379</v>
      </c>
      <c r="Y62" t="s">
        <v>379</v>
      </c>
      <c r="Z62" t="s">
        <v>379</v>
      </c>
      <c r="AA62" t="s">
        <v>379</v>
      </c>
      <c r="AB62" t="s">
        <v>379</v>
      </c>
      <c r="AC62" t="s">
        <v>417</v>
      </c>
      <c r="AD62" t="s">
        <v>416</v>
      </c>
      <c r="AE62">
        <v>10</v>
      </c>
      <c r="AF62">
        <v>1</v>
      </c>
      <c r="AH62" t="s">
        <v>380</v>
      </c>
      <c r="AJ62" t="s">
        <v>37</v>
      </c>
      <c r="AK62" t="s">
        <v>115</v>
      </c>
      <c r="AM62">
        <v>848</v>
      </c>
      <c r="AN62">
        <v>593</v>
      </c>
    </row>
    <row r="63" spans="1:40" x14ac:dyDescent="0.35">
      <c r="A63" t="s">
        <v>379</v>
      </c>
      <c r="B63" t="s">
        <v>379</v>
      </c>
      <c r="C63" t="s">
        <v>379</v>
      </c>
      <c r="D63" t="s">
        <v>379</v>
      </c>
      <c r="E63" t="s">
        <v>379</v>
      </c>
      <c r="F63" t="s">
        <v>379</v>
      </c>
      <c r="G63" t="s">
        <v>379</v>
      </c>
      <c r="H63" t="s">
        <v>379</v>
      </c>
      <c r="I63" t="s">
        <v>379</v>
      </c>
      <c r="J63" t="s">
        <v>379</v>
      </c>
      <c r="K63" t="s">
        <v>379</v>
      </c>
      <c r="L63" t="s">
        <v>379</v>
      </c>
      <c r="M63" t="s">
        <v>379</v>
      </c>
      <c r="N63" t="s">
        <v>379</v>
      </c>
      <c r="O63" t="s">
        <v>379</v>
      </c>
      <c r="P63" t="s">
        <v>379</v>
      </c>
      <c r="Q63" t="s">
        <v>379</v>
      </c>
      <c r="R63" t="s">
        <v>379</v>
      </c>
      <c r="S63" t="s">
        <v>379</v>
      </c>
      <c r="T63" t="s">
        <v>379</v>
      </c>
      <c r="U63" t="s">
        <v>379</v>
      </c>
      <c r="V63" t="s">
        <v>379</v>
      </c>
      <c r="W63" t="s">
        <v>379</v>
      </c>
      <c r="X63" t="s">
        <v>379</v>
      </c>
      <c r="Y63" t="s">
        <v>379</v>
      </c>
      <c r="Z63" t="s">
        <v>379</v>
      </c>
      <c r="AA63" t="s">
        <v>379</v>
      </c>
      <c r="AB63" t="s">
        <v>379</v>
      </c>
      <c r="AC63" t="s">
        <v>417</v>
      </c>
      <c r="AD63" t="s">
        <v>416</v>
      </c>
      <c r="AE63">
        <v>10</v>
      </c>
      <c r="AF63">
        <v>2</v>
      </c>
      <c r="AG63">
        <v>1</v>
      </c>
      <c r="AH63" t="s">
        <v>418</v>
      </c>
      <c r="AJ63" t="s">
        <v>73</v>
      </c>
      <c r="AK63" t="s">
        <v>108</v>
      </c>
      <c r="AM63">
        <v>882</v>
      </c>
      <c r="AN63">
        <v>195</v>
      </c>
    </row>
    <row r="64" spans="1:40" x14ac:dyDescent="0.35">
      <c r="A64" t="s">
        <v>379</v>
      </c>
      <c r="B64" t="s">
        <v>379</v>
      </c>
      <c r="C64" t="s">
        <v>379</v>
      </c>
      <c r="D64" t="s">
        <v>379</v>
      </c>
      <c r="E64" t="s">
        <v>379</v>
      </c>
      <c r="F64" t="s">
        <v>379</v>
      </c>
      <c r="G64" t="s">
        <v>379</v>
      </c>
      <c r="H64" t="s">
        <v>379</v>
      </c>
      <c r="I64" t="s">
        <v>379</v>
      </c>
      <c r="J64" t="s">
        <v>379</v>
      </c>
      <c r="K64" t="s">
        <v>379</v>
      </c>
      <c r="L64" t="s">
        <v>379</v>
      </c>
      <c r="M64" t="s">
        <v>379</v>
      </c>
      <c r="N64" t="s">
        <v>379</v>
      </c>
      <c r="O64" t="s">
        <v>379</v>
      </c>
      <c r="P64" t="s">
        <v>379</v>
      </c>
      <c r="Q64" t="s">
        <v>379</v>
      </c>
      <c r="R64" t="s">
        <v>379</v>
      </c>
      <c r="S64" t="s">
        <v>379</v>
      </c>
      <c r="T64" t="s">
        <v>379</v>
      </c>
      <c r="U64" t="s">
        <v>379</v>
      </c>
      <c r="V64" t="s">
        <v>379</v>
      </c>
      <c r="W64" t="s">
        <v>379</v>
      </c>
      <c r="X64" t="s">
        <v>379</v>
      </c>
      <c r="Y64" t="s">
        <v>379</v>
      </c>
      <c r="Z64" t="s">
        <v>379</v>
      </c>
      <c r="AA64" t="s">
        <v>379</v>
      </c>
      <c r="AB64" t="s">
        <v>379</v>
      </c>
      <c r="AC64" t="s">
        <v>417</v>
      </c>
      <c r="AD64" t="s">
        <v>416</v>
      </c>
      <c r="AE64">
        <v>10</v>
      </c>
      <c r="AF64">
        <v>3</v>
      </c>
      <c r="AH64" t="s">
        <v>116</v>
      </c>
      <c r="AJ64" t="s">
        <v>41</v>
      </c>
      <c r="AK64" t="s">
        <v>116</v>
      </c>
      <c r="AM64">
        <v>142</v>
      </c>
      <c r="AN64">
        <v>214</v>
      </c>
    </row>
    <row r="65" spans="1:40" x14ac:dyDescent="0.35">
      <c r="A65" t="s">
        <v>379</v>
      </c>
      <c r="B65" t="s">
        <v>379</v>
      </c>
      <c r="C65" t="s">
        <v>379</v>
      </c>
      <c r="D65" t="s">
        <v>379</v>
      </c>
      <c r="E65" t="s">
        <v>379</v>
      </c>
      <c r="F65" t="s">
        <v>379</v>
      </c>
      <c r="G65" t="s">
        <v>379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379</v>
      </c>
      <c r="T65" t="s">
        <v>379</v>
      </c>
      <c r="U65" t="s">
        <v>379</v>
      </c>
      <c r="V65" t="s">
        <v>379</v>
      </c>
      <c r="W65" t="s">
        <v>379</v>
      </c>
      <c r="X65" t="s">
        <v>379</v>
      </c>
      <c r="Y65" t="s">
        <v>379</v>
      </c>
      <c r="Z65" t="s">
        <v>379</v>
      </c>
      <c r="AA65" t="s">
        <v>379</v>
      </c>
      <c r="AB65" t="s">
        <v>379</v>
      </c>
      <c r="AC65" t="s">
        <v>417</v>
      </c>
      <c r="AD65" t="s">
        <v>416</v>
      </c>
      <c r="AE65">
        <v>10</v>
      </c>
      <c r="AF65">
        <v>4</v>
      </c>
      <c r="AG65">
        <v>1</v>
      </c>
      <c r="AH65" t="s">
        <v>383</v>
      </c>
      <c r="AJ65" t="s">
        <v>43</v>
      </c>
      <c r="AK65" t="s">
        <v>108</v>
      </c>
      <c r="AM65">
        <v>3089</v>
      </c>
      <c r="AN65">
        <v>668</v>
      </c>
    </row>
    <row r="66" spans="1:40" x14ac:dyDescent="0.35">
      <c r="A66" t="s">
        <v>379</v>
      </c>
      <c r="B66" t="s">
        <v>379</v>
      </c>
      <c r="C66" t="s">
        <v>379</v>
      </c>
      <c r="D66" t="s">
        <v>379</v>
      </c>
      <c r="E66" t="s">
        <v>379</v>
      </c>
      <c r="F66" t="s">
        <v>379</v>
      </c>
      <c r="G66" t="s">
        <v>379</v>
      </c>
      <c r="H66" t="s">
        <v>379</v>
      </c>
      <c r="I66" t="s">
        <v>379</v>
      </c>
      <c r="J66" t="s">
        <v>379</v>
      </c>
      <c r="K66" t="s">
        <v>379</v>
      </c>
      <c r="L66" t="s">
        <v>379</v>
      </c>
      <c r="M66" t="s">
        <v>379</v>
      </c>
      <c r="N66" t="s">
        <v>379</v>
      </c>
      <c r="O66" t="s">
        <v>379</v>
      </c>
      <c r="P66" t="s">
        <v>379</v>
      </c>
      <c r="Q66" t="s">
        <v>379</v>
      </c>
      <c r="R66" t="s">
        <v>379</v>
      </c>
      <c r="S66" t="s">
        <v>379</v>
      </c>
      <c r="T66" t="s">
        <v>379</v>
      </c>
      <c r="U66" t="s">
        <v>379</v>
      </c>
      <c r="V66" t="s">
        <v>379</v>
      </c>
      <c r="W66" t="s">
        <v>379</v>
      </c>
      <c r="X66" t="s">
        <v>379</v>
      </c>
      <c r="Y66" t="s">
        <v>379</v>
      </c>
      <c r="Z66" t="s">
        <v>379</v>
      </c>
      <c r="AA66" t="s">
        <v>379</v>
      </c>
      <c r="AB66" t="s">
        <v>379</v>
      </c>
      <c r="AC66" t="s">
        <v>417</v>
      </c>
      <c r="AD66" t="s">
        <v>416</v>
      </c>
      <c r="AE66">
        <v>10</v>
      </c>
      <c r="AF66">
        <v>5</v>
      </c>
      <c r="AG66">
        <v>1</v>
      </c>
      <c r="AH66" t="s">
        <v>383</v>
      </c>
      <c r="AJ66" t="s">
        <v>43</v>
      </c>
      <c r="AK66" t="s">
        <v>108</v>
      </c>
      <c r="AM66">
        <v>1970</v>
      </c>
      <c r="AN66">
        <v>371</v>
      </c>
    </row>
    <row r="67" spans="1:40" x14ac:dyDescent="0.35">
      <c r="A67" t="s">
        <v>379</v>
      </c>
      <c r="B67" t="s">
        <v>379</v>
      </c>
      <c r="C67" t="s">
        <v>379</v>
      </c>
      <c r="D67" t="s">
        <v>379</v>
      </c>
      <c r="E67" t="s">
        <v>379</v>
      </c>
      <c r="F67" t="s">
        <v>379</v>
      </c>
      <c r="G67" t="s">
        <v>379</v>
      </c>
      <c r="H67" t="s">
        <v>379</v>
      </c>
      <c r="I67" t="s">
        <v>379</v>
      </c>
      <c r="J67" t="s">
        <v>379</v>
      </c>
      <c r="K67" t="s">
        <v>379</v>
      </c>
      <c r="L67" t="s">
        <v>379</v>
      </c>
      <c r="M67" t="s">
        <v>379</v>
      </c>
      <c r="N67" t="s">
        <v>379</v>
      </c>
      <c r="O67" t="s">
        <v>379</v>
      </c>
      <c r="P67" t="s">
        <v>379</v>
      </c>
      <c r="Q67" t="s">
        <v>379</v>
      </c>
      <c r="R67" t="s">
        <v>379</v>
      </c>
      <c r="S67" t="s">
        <v>379</v>
      </c>
      <c r="T67" t="s">
        <v>379</v>
      </c>
      <c r="U67" t="s">
        <v>379</v>
      </c>
      <c r="V67" t="s">
        <v>379</v>
      </c>
      <c r="W67" t="s">
        <v>379</v>
      </c>
      <c r="X67" t="s">
        <v>379</v>
      </c>
      <c r="Y67" t="s">
        <v>379</v>
      </c>
      <c r="Z67" t="s">
        <v>379</v>
      </c>
      <c r="AA67" t="s">
        <v>379</v>
      </c>
      <c r="AB67" t="s">
        <v>379</v>
      </c>
      <c r="AC67" t="s">
        <v>417</v>
      </c>
      <c r="AD67" t="s">
        <v>416</v>
      </c>
      <c r="AE67">
        <v>10</v>
      </c>
      <c r="AF67">
        <v>6</v>
      </c>
      <c r="AG67">
        <v>1</v>
      </c>
      <c r="AH67" t="s">
        <v>383</v>
      </c>
      <c r="AJ67" t="s">
        <v>43</v>
      </c>
      <c r="AK67" t="s">
        <v>108</v>
      </c>
      <c r="AL67" t="s">
        <v>74</v>
      </c>
      <c r="AM67">
        <v>1642</v>
      </c>
      <c r="AN67">
        <v>840</v>
      </c>
    </row>
    <row r="68" spans="1:40" x14ac:dyDescent="0.35">
      <c r="A68" t="s">
        <v>379</v>
      </c>
      <c r="B68" t="s">
        <v>379</v>
      </c>
      <c r="C68" t="s">
        <v>379</v>
      </c>
      <c r="D68" t="s">
        <v>379</v>
      </c>
      <c r="E68" t="s">
        <v>379</v>
      </c>
      <c r="F68" t="s">
        <v>379</v>
      </c>
      <c r="G68" t="s">
        <v>379</v>
      </c>
      <c r="H68" t="s">
        <v>379</v>
      </c>
      <c r="I68" t="s">
        <v>379</v>
      </c>
      <c r="J68" t="s">
        <v>379</v>
      </c>
      <c r="K68" t="s">
        <v>379</v>
      </c>
      <c r="L68" t="s">
        <v>379</v>
      </c>
      <c r="M68" t="s">
        <v>379</v>
      </c>
      <c r="N68" t="s">
        <v>379</v>
      </c>
      <c r="O68" t="s">
        <v>379</v>
      </c>
      <c r="P68" t="s">
        <v>379</v>
      </c>
      <c r="Q68" t="s">
        <v>379</v>
      </c>
      <c r="R68" t="s">
        <v>379</v>
      </c>
      <c r="S68" t="s">
        <v>379</v>
      </c>
      <c r="T68" t="s">
        <v>379</v>
      </c>
      <c r="U68" t="s">
        <v>379</v>
      </c>
      <c r="V68" t="s">
        <v>379</v>
      </c>
      <c r="W68" t="s">
        <v>379</v>
      </c>
      <c r="X68" t="s">
        <v>379</v>
      </c>
      <c r="Y68" t="s">
        <v>379</v>
      </c>
      <c r="Z68" t="s">
        <v>379</v>
      </c>
      <c r="AA68" t="s">
        <v>379</v>
      </c>
      <c r="AB68" t="s">
        <v>379</v>
      </c>
      <c r="AC68" t="s">
        <v>417</v>
      </c>
      <c r="AD68" t="s">
        <v>416</v>
      </c>
      <c r="AE68">
        <v>10</v>
      </c>
      <c r="AF68">
        <v>7</v>
      </c>
      <c r="AH68" t="s">
        <v>116</v>
      </c>
      <c r="AJ68" t="s">
        <v>41</v>
      </c>
      <c r="AK68" t="s">
        <v>116</v>
      </c>
      <c r="AM68">
        <v>3209</v>
      </c>
      <c r="AN68">
        <v>2565</v>
      </c>
    </row>
    <row r="69" spans="1:40" x14ac:dyDescent="0.35">
      <c r="A69" t="s">
        <v>379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379</v>
      </c>
      <c r="O69" t="s">
        <v>379</v>
      </c>
      <c r="P69" t="s">
        <v>379</v>
      </c>
      <c r="Q69" t="s">
        <v>379</v>
      </c>
      <c r="R69" t="s">
        <v>379</v>
      </c>
      <c r="S69" t="s">
        <v>379</v>
      </c>
      <c r="T69" t="s">
        <v>379</v>
      </c>
      <c r="U69" t="s">
        <v>379</v>
      </c>
      <c r="V69" t="s">
        <v>379</v>
      </c>
      <c r="W69" t="s">
        <v>379</v>
      </c>
      <c r="X69" t="s">
        <v>379</v>
      </c>
      <c r="Y69" t="s">
        <v>379</v>
      </c>
      <c r="Z69" t="s">
        <v>379</v>
      </c>
      <c r="AA69" t="s">
        <v>379</v>
      </c>
      <c r="AB69" t="s">
        <v>379</v>
      </c>
      <c r="AC69" t="s">
        <v>417</v>
      </c>
      <c r="AD69" t="s">
        <v>416</v>
      </c>
      <c r="AE69">
        <v>10</v>
      </c>
      <c r="AF69">
        <v>8</v>
      </c>
      <c r="AG69">
        <v>1</v>
      </c>
      <c r="AH69" t="s">
        <v>383</v>
      </c>
      <c r="AJ69" t="s">
        <v>43</v>
      </c>
      <c r="AK69" t="s">
        <v>108</v>
      </c>
      <c r="AM69">
        <v>2079</v>
      </c>
      <c r="AN69">
        <v>1080</v>
      </c>
    </row>
    <row r="70" spans="1:40" x14ac:dyDescent="0.35">
      <c r="A70" t="s">
        <v>379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379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  <c r="P70" t="s">
        <v>379</v>
      </c>
      <c r="Q70" t="s">
        <v>379</v>
      </c>
      <c r="R70" t="s">
        <v>379</v>
      </c>
      <c r="S70" t="s">
        <v>379</v>
      </c>
      <c r="T70" t="s">
        <v>379</v>
      </c>
      <c r="U70" t="s">
        <v>379</v>
      </c>
      <c r="V70" t="s">
        <v>379</v>
      </c>
      <c r="W70" t="s">
        <v>379</v>
      </c>
      <c r="X70" t="s">
        <v>379</v>
      </c>
      <c r="Y70" t="s">
        <v>379</v>
      </c>
      <c r="Z70" t="s">
        <v>379</v>
      </c>
      <c r="AA70" t="s">
        <v>379</v>
      </c>
      <c r="AB70" t="s">
        <v>379</v>
      </c>
      <c r="AC70" t="s">
        <v>417</v>
      </c>
      <c r="AD70" t="s">
        <v>416</v>
      </c>
      <c r="AE70">
        <v>10</v>
      </c>
      <c r="AF70">
        <v>9</v>
      </c>
      <c r="AG70">
        <v>1</v>
      </c>
      <c r="AH70" t="s">
        <v>383</v>
      </c>
      <c r="AJ70" t="s">
        <v>43</v>
      </c>
      <c r="AK70" t="s">
        <v>108</v>
      </c>
      <c r="AM70">
        <v>2079</v>
      </c>
      <c r="AN70">
        <v>160</v>
      </c>
    </row>
    <row r="71" spans="1:40" x14ac:dyDescent="0.35">
      <c r="A71" t="s">
        <v>379</v>
      </c>
      <c r="B71" t="s">
        <v>379</v>
      </c>
      <c r="C71" t="s">
        <v>379</v>
      </c>
      <c r="D71" t="s">
        <v>379</v>
      </c>
      <c r="E71" t="s">
        <v>379</v>
      </c>
      <c r="F71" t="s">
        <v>379</v>
      </c>
      <c r="G71" t="s">
        <v>379</v>
      </c>
      <c r="H71" t="s">
        <v>379</v>
      </c>
      <c r="I71" t="s">
        <v>379</v>
      </c>
      <c r="J71" t="s">
        <v>379</v>
      </c>
      <c r="K71" t="s">
        <v>379</v>
      </c>
      <c r="L71" t="s">
        <v>379</v>
      </c>
      <c r="M71" t="s">
        <v>379</v>
      </c>
      <c r="N71" t="s">
        <v>379</v>
      </c>
      <c r="O71" t="s">
        <v>379</v>
      </c>
      <c r="P71" t="s">
        <v>379</v>
      </c>
      <c r="Q71" t="s">
        <v>379</v>
      </c>
      <c r="R71" t="s">
        <v>379</v>
      </c>
      <c r="S71" t="s">
        <v>379</v>
      </c>
      <c r="T71" t="s">
        <v>379</v>
      </c>
      <c r="U71" t="s">
        <v>379</v>
      </c>
      <c r="V71" t="s">
        <v>379</v>
      </c>
      <c r="W71" t="s">
        <v>379</v>
      </c>
      <c r="X71" t="s">
        <v>379</v>
      </c>
      <c r="Y71" t="s">
        <v>379</v>
      </c>
      <c r="Z71" t="s">
        <v>379</v>
      </c>
      <c r="AA71" t="s">
        <v>379</v>
      </c>
      <c r="AB71" t="s">
        <v>379</v>
      </c>
      <c r="AC71" t="s">
        <v>417</v>
      </c>
      <c r="AD71" t="s">
        <v>416</v>
      </c>
      <c r="AE71">
        <v>10</v>
      </c>
      <c r="AF71">
        <v>10</v>
      </c>
      <c r="AG71">
        <v>1</v>
      </c>
      <c r="AH71" t="s">
        <v>383</v>
      </c>
      <c r="AJ71" t="s">
        <v>43</v>
      </c>
      <c r="AK71" t="s">
        <v>108</v>
      </c>
      <c r="AM71">
        <v>3404</v>
      </c>
      <c r="AN71">
        <v>1115</v>
      </c>
    </row>
    <row r="72" spans="1:40" x14ac:dyDescent="0.35">
      <c r="A72" t="s">
        <v>379</v>
      </c>
      <c r="B72" t="s">
        <v>379</v>
      </c>
      <c r="C72" t="s">
        <v>379</v>
      </c>
      <c r="D72" t="s">
        <v>379</v>
      </c>
      <c r="E72" t="s">
        <v>379</v>
      </c>
      <c r="F72" t="s">
        <v>379</v>
      </c>
      <c r="G72" t="s">
        <v>379</v>
      </c>
      <c r="H72" t="s">
        <v>379</v>
      </c>
      <c r="I72" t="s">
        <v>379</v>
      </c>
      <c r="J72" t="s">
        <v>379</v>
      </c>
      <c r="K72" t="s">
        <v>379</v>
      </c>
      <c r="L72" t="s">
        <v>379</v>
      </c>
      <c r="M72" t="s">
        <v>379</v>
      </c>
      <c r="N72" t="s">
        <v>379</v>
      </c>
      <c r="O72" t="s">
        <v>379</v>
      </c>
      <c r="P72" t="s">
        <v>379</v>
      </c>
      <c r="Q72" t="s">
        <v>379</v>
      </c>
      <c r="R72" t="s">
        <v>379</v>
      </c>
      <c r="S72" t="s">
        <v>379</v>
      </c>
      <c r="T72" t="s">
        <v>379</v>
      </c>
      <c r="U72" t="s">
        <v>379</v>
      </c>
      <c r="V72" t="s">
        <v>379</v>
      </c>
      <c r="W72" t="s">
        <v>379</v>
      </c>
      <c r="X72" t="s">
        <v>379</v>
      </c>
      <c r="Y72" t="s">
        <v>379</v>
      </c>
      <c r="Z72" t="s">
        <v>379</v>
      </c>
      <c r="AA72" t="s">
        <v>379</v>
      </c>
      <c r="AB72" t="s">
        <v>379</v>
      </c>
      <c r="AC72" t="s">
        <v>420</v>
      </c>
      <c r="AD72" t="s">
        <v>419</v>
      </c>
      <c r="AE72">
        <v>10</v>
      </c>
      <c r="AF72">
        <v>1</v>
      </c>
      <c r="AH72" t="s">
        <v>389</v>
      </c>
      <c r="AJ72" t="s">
        <v>48</v>
      </c>
      <c r="AK72" t="s">
        <v>109</v>
      </c>
      <c r="AM72">
        <v>1931</v>
      </c>
      <c r="AN72">
        <v>1195</v>
      </c>
    </row>
    <row r="73" spans="1:40" x14ac:dyDescent="0.35">
      <c r="A73" t="s">
        <v>379</v>
      </c>
      <c r="B73" t="s">
        <v>379</v>
      </c>
      <c r="C73" t="s">
        <v>379</v>
      </c>
      <c r="D73" t="s">
        <v>379</v>
      </c>
      <c r="E73" t="s">
        <v>379</v>
      </c>
      <c r="F73" t="s">
        <v>379</v>
      </c>
      <c r="G73" t="s">
        <v>379</v>
      </c>
      <c r="H73" t="s">
        <v>379</v>
      </c>
      <c r="I73" t="s">
        <v>379</v>
      </c>
      <c r="J73" t="s">
        <v>379</v>
      </c>
      <c r="K73" t="s">
        <v>379</v>
      </c>
      <c r="L73" t="s">
        <v>379</v>
      </c>
      <c r="M73" t="s">
        <v>379</v>
      </c>
      <c r="N73" t="s">
        <v>379</v>
      </c>
      <c r="O73" t="s">
        <v>379</v>
      </c>
      <c r="P73" t="s">
        <v>379</v>
      </c>
      <c r="Q73" t="s">
        <v>379</v>
      </c>
      <c r="R73" t="s">
        <v>379</v>
      </c>
      <c r="S73" t="s">
        <v>379</v>
      </c>
      <c r="T73" t="s">
        <v>379</v>
      </c>
      <c r="U73" t="s">
        <v>379</v>
      </c>
      <c r="V73" t="s">
        <v>379</v>
      </c>
      <c r="W73" t="s">
        <v>379</v>
      </c>
      <c r="X73" t="s">
        <v>379</v>
      </c>
      <c r="Y73" t="s">
        <v>379</v>
      </c>
      <c r="Z73" t="s">
        <v>379</v>
      </c>
      <c r="AA73" t="s">
        <v>379</v>
      </c>
      <c r="AB73" t="s">
        <v>379</v>
      </c>
      <c r="AC73" t="s">
        <v>420</v>
      </c>
      <c r="AD73" t="s">
        <v>419</v>
      </c>
      <c r="AE73">
        <v>10</v>
      </c>
      <c r="AF73">
        <v>2</v>
      </c>
      <c r="AH73" t="s">
        <v>384</v>
      </c>
      <c r="AJ73" t="s">
        <v>44</v>
      </c>
      <c r="AK73" t="s">
        <v>109</v>
      </c>
      <c r="AM73">
        <v>1105</v>
      </c>
      <c r="AN73">
        <v>2430</v>
      </c>
    </row>
    <row r="74" spans="1:40" x14ac:dyDescent="0.35">
      <c r="A74" t="s">
        <v>379</v>
      </c>
      <c r="B74" t="s">
        <v>379</v>
      </c>
      <c r="C74" t="s">
        <v>379</v>
      </c>
      <c r="D74" t="s">
        <v>379</v>
      </c>
      <c r="E74" t="s">
        <v>379</v>
      </c>
      <c r="F74" t="s">
        <v>379</v>
      </c>
      <c r="G74" t="s">
        <v>379</v>
      </c>
      <c r="H74" t="s">
        <v>379</v>
      </c>
      <c r="I74" t="s">
        <v>379</v>
      </c>
      <c r="J74" t="s">
        <v>379</v>
      </c>
      <c r="K74" t="s">
        <v>379</v>
      </c>
      <c r="L74" t="s">
        <v>379</v>
      </c>
      <c r="M74" t="s">
        <v>379</v>
      </c>
      <c r="N74" t="s">
        <v>379</v>
      </c>
      <c r="O74" t="s">
        <v>379</v>
      </c>
      <c r="P74" t="s">
        <v>379</v>
      </c>
      <c r="Q74" t="s">
        <v>379</v>
      </c>
      <c r="R74" t="s">
        <v>379</v>
      </c>
      <c r="S74" t="s">
        <v>379</v>
      </c>
      <c r="T74" t="s">
        <v>379</v>
      </c>
      <c r="U74" t="s">
        <v>379</v>
      </c>
      <c r="V74" t="s">
        <v>379</v>
      </c>
      <c r="W74" t="s">
        <v>379</v>
      </c>
      <c r="X74" t="s">
        <v>379</v>
      </c>
      <c r="Y74" t="s">
        <v>379</v>
      </c>
      <c r="Z74" t="s">
        <v>379</v>
      </c>
      <c r="AA74" t="s">
        <v>379</v>
      </c>
      <c r="AB74" t="s">
        <v>379</v>
      </c>
      <c r="AC74" t="s">
        <v>420</v>
      </c>
      <c r="AD74" t="s">
        <v>419</v>
      </c>
      <c r="AE74">
        <v>10</v>
      </c>
      <c r="AF74">
        <v>3</v>
      </c>
      <c r="AH74" t="s">
        <v>384</v>
      </c>
      <c r="AJ74" t="s">
        <v>44</v>
      </c>
      <c r="AK74" t="s">
        <v>109</v>
      </c>
      <c r="AM74">
        <v>2877</v>
      </c>
      <c r="AN74">
        <v>1133</v>
      </c>
    </row>
    <row r="75" spans="1:40" x14ac:dyDescent="0.35">
      <c r="A75" t="s">
        <v>379</v>
      </c>
      <c r="B75" t="s">
        <v>379</v>
      </c>
      <c r="C75" t="s">
        <v>379</v>
      </c>
      <c r="D75" t="s">
        <v>379</v>
      </c>
      <c r="E75" t="s">
        <v>379</v>
      </c>
      <c r="F75" t="s">
        <v>379</v>
      </c>
      <c r="G75" t="s">
        <v>379</v>
      </c>
      <c r="H75" t="s">
        <v>379</v>
      </c>
      <c r="I75" t="s">
        <v>379</v>
      </c>
      <c r="J75" t="s">
        <v>379</v>
      </c>
      <c r="K75" t="s">
        <v>379</v>
      </c>
      <c r="L75" t="s">
        <v>379</v>
      </c>
      <c r="M75" t="s">
        <v>379</v>
      </c>
      <c r="N75" t="s">
        <v>379</v>
      </c>
      <c r="O75" t="s">
        <v>379</v>
      </c>
      <c r="P75" t="s">
        <v>379</v>
      </c>
      <c r="Q75" t="s">
        <v>379</v>
      </c>
      <c r="R75" t="s">
        <v>379</v>
      </c>
      <c r="S75" t="s">
        <v>379</v>
      </c>
      <c r="T75" t="s">
        <v>379</v>
      </c>
      <c r="U75" t="s">
        <v>379</v>
      </c>
      <c r="V75" t="s">
        <v>379</v>
      </c>
      <c r="W75" t="s">
        <v>379</v>
      </c>
      <c r="X75" t="s">
        <v>379</v>
      </c>
      <c r="Y75" t="s">
        <v>379</v>
      </c>
      <c r="Z75" t="s">
        <v>379</v>
      </c>
      <c r="AA75" t="s">
        <v>379</v>
      </c>
      <c r="AB75" t="s">
        <v>379</v>
      </c>
      <c r="AC75" t="s">
        <v>420</v>
      </c>
      <c r="AD75" t="s">
        <v>419</v>
      </c>
      <c r="AE75">
        <v>10</v>
      </c>
      <c r="AF75">
        <v>4</v>
      </c>
      <c r="AH75" t="s">
        <v>389</v>
      </c>
      <c r="AJ75" t="s">
        <v>48</v>
      </c>
      <c r="AK75" t="s">
        <v>109</v>
      </c>
      <c r="AM75">
        <v>2255</v>
      </c>
      <c r="AN75">
        <v>528</v>
      </c>
    </row>
    <row r="76" spans="1:40" x14ac:dyDescent="0.35">
      <c r="A76" t="s">
        <v>379</v>
      </c>
      <c r="B76" t="s">
        <v>379</v>
      </c>
      <c r="C76" t="s">
        <v>379</v>
      </c>
      <c r="D76" t="s">
        <v>379</v>
      </c>
      <c r="E76" t="s">
        <v>379</v>
      </c>
      <c r="F76" t="s">
        <v>379</v>
      </c>
      <c r="G76" t="s">
        <v>379</v>
      </c>
      <c r="H76" t="s">
        <v>379</v>
      </c>
      <c r="I76" t="s">
        <v>379</v>
      </c>
      <c r="J76" t="s">
        <v>379</v>
      </c>
      <c r="K76" t="s">
        <v>379</v>
      </c>
      <c r="L76" t="s">
        <v>379</v>
      </c>
      <c r="M76" t="s">
        <v>379</v>
      </c>
      <c r="N76" t="s">
        <v>379</v>
      </c>
      <c r="O76" t="s">
        <v>379</v>
      </c>
      <c r="P76" t="s">
        <v>379</v>
      </c>
      <c r="Q76" t="s">
        <v>379</v>
      </c>
      <c r="R76" t="s">
        <v>379</v>
      </c>
      <c r="S76" t="s">
        <v>379</v>
      </c>
      <c r="T76" t="s">
        <v>379</v>
      </c>
      <c r="U76" t="s">
        <v>379</v>
      </c>
      <c r="V76" t="s">
        <v>379</v>
      </c>
      <c r="W76" t="s">
        <v>379</v>
      </c>
      <c r="X76" t="s">
        <v>379</v>
      </c>
      <c r="Y76" t="s">
        <v>379</v>
      </c>
      <c r="Z76" t="s">
        <v>379</v>
      </c>
      <c r="AA76" t="s">
        <v>379</v>
      </c>
      <c r="AB76" t="s">
        <v>379</v>
      </c>
      <c r="AC76" t="s">
        <v>420</v>
      </c>
      <c r="AD76" t="s">
        <v>419</v>
      </c>
      <c r="AE76">
        <v>10</v>
      </c>
      <c r="AF76">
        <v>5</v>
      </c>
      <c r="AH76" t="s">
        <v>116</v>
      </c>
      <c r="AJ76" t="s">
        <v>41</v>
      </c>
      <c r="AK76" t="s">
        <v>116</v>
      </c>
      <c r="AM76">
        <v>218</v>
      </c>
      <c r="AN76">
        <v>173</v>
      </c>
    </row>
    <row r="77" spans="1:40" x14ac:dyDescent="0.35">
      <c r="A77" t="s">
        <v>379</v>
      </c>
      <c r="B77" t="s">
        <v>379</v>
      </c>
      <c r="C77" t="s">
        <v>379</v>
      </c>
      <c r="D77" t="s">
        <v>379</v>
      </c>
      <c r="E77" t="s">
        <v>379</v>
      </c>
      <c r="F77" t="s">
        <v>379</v>
      </c>
      <c r="G77" t="s">
        <v>379</v>
      </c>
      <c r="H77" t="s">
        <v>379</v>
      </c>
      <c r="I77" t="s">
        <v>379</v>
      </c>
      <c r="J77" t="s">
        <v>379</v>
      </c>
      <c r="K77" t="s">
        <v>379</v>
      </c>
      <c r="L77" t="s">
        <v>379</v>
      </c>
      <c r="M77" t="s">
        <v>379</v>
      </c>
      <c r="N77" t="s">
        <v>379</v>
      </c>
      <c r="O77" t="s">
        <v>379</v>
      </c>
      <c r="P77" t="s">
        <v>379</v>
      </c>
      <c r="Q77" t="s">
        <v>379</v>
      </c>
      <c r="R77" t="s">
        <v>379</v>
      </c>
      <c r="S77" t="s">
        <v>379</v>
      </c>
      <c r="T77" t="s">
        <v>379</v>
      </c>
      <c r="U77" t="s">
        <v>379</v>
      </c>
      <c r="V77" t="s">
        <v>379</v>
      </c>
      <c r="W77" t="s">
        <v>379</v>
      </c>
      <c r="X77" t="s">
        <v>379</v>
      </c>
      <c r="Y77" t="s">
        <v>379</v>
      </c>
      <c r="Z77" t="s">
        <v>379</v>
      </c>
      <c r="AA77" t="s">
        <v>379</v>
      </c>
      <c r="AB77" t="s">
        <v>379</v>
      </c>
      <c r="AC77" t="s">
        <v>420</v>
      </c>
      <c r="AD77" t="s">
        <v>419</v>
      </c>
      <c r="AE77">
        <v>10</v>
      </c>
      <c r="AF77">
        <v>6</v>
      </c>
      <c r="AH77" t="s">
        <v>384</v>
      </c>
      <c r="AJ77" t="s">
        <v>44</v>
      </c>
      <c r="AK77" t="s">
        <v>109</v>
      </c>
      <c r="AM77">
        <v>1772</v>
      </c>
      <c r="AN77">
        <v>1630</v>
      </c>
    </row>
    <row r="78" spans="1:40" x14ac:dyDescent="0.35">
      <c r="A78" t="s">
        <v>379</v>
      </c>
      <c r="B78" t="s">
        <v>379</v>
      </c>
      <c r="C78" t="s">
        <v>379</v>
      </c>
      <c r="D78" t="s">
        <v>379</v>
      </c>
      <c r="E78" t="s">
        <v>379</v>
      </c>
      <c r="F78" t="s">
        <v>379</v>
      </c>
      <c r="G78" t="s">
        <v>379</v>
      </c>
      <c r="H78" t="s">
        <v>379</v>
      </c>
      <c r="I78" t="s">
        <v>379</v>
      </c>
      <c r="J78" t="s">
        <v>379</v>
      </c>
      <c r="K78" t="s">
        <v>379</v>
      </c>
      <c r="L78" t="s">
        <v>379</v>
      </c>
      <c r="M78" t="s">
        <v>379</v>
      </c>
      <c r="N78" t="s">
        <v>379</v>
      </c>
      <c r="O78" t="s">
        <v>379</v>
      </c>
      <c r="P78" t="s">
        <v>379</v>
      </c>
      <c r="Q78" t="s">
        <v>379</v>
      </c>
      <c r="R78" t="s">
        <v>379</v>
      </c>
      <c r="S78" t="s">
        <v>379</v>
      </c>
      <c r="T78" t="s">
        <v>379</v>
      </c>
      <c r="U78" t="s">
        <v>379</v>
      </c>
      <c r="V78" t="s">
        <v>379</v>
      </c>
      <c r="W78" t="s">
        <v>379</v>
      </c>
      <c r="X78" t="s">
        <v>379</v>
      </c>
      <c r="Y78" t="s">
        <v>379</v>
      </c>
      <c r="Z78" t="s">
        <v>379</v>
      </c>
      <c r="AA78" t="s">
        <v>379</v>
      </c>
      <c r="AB78" t="s">
        <v>379</v>
      </c>
      <c r="AC78" t="s">
        <v>420</v>
      </c>
      <c r="AD78" t="s">
        <v>419</v>
      </c>
      <c r="AE78">
        <v>10</v>
      </c>
      <c r="AF78">
        <v>7</v>
      </c>
      <c r="AG78">
        <v>1</v>
      </c>
      <c r="AH78" t="s">
        <v>401</v>
      </c>
      <c r="AJ78" t="s">
        <v>59</v>
      </c>
      <c r="AK78" t="s">
        <v>108</v>
      </c>
      <c r="AM78">
        <v>1135</v>
      </c>
      <c r="AN78">
        <v>1549</v>
      </c>
    </row>
    <row r="79" spans="1:40" x14ac:dyDescent="0.35">
      <c r="A79" t="s">
        <v>379</v>
      </c>
      <c r="B79" t="s">
        <v>379</v>
      </c>
      <c r="C79" t="s">
        <v>379</v>
      </c>
      <c r="D79" t="s">
        <v>379</v>
      </c>
      <c r="E79" t="s">
        <v>379</v>
      </c>
      <c r="F79" t="s">
        <v>379</v>
      </c>
      <c r="G79" t="s">
        <v>379</v>
      </c>
      <c r="H79" t="s">
        <v>379</v>
      </c>
      <c r="I79" t="s">
        <v>379</v>
      </c>
      <c r="J79" t="s">
        <v>379</v>
      </c>
      <c r="K79" t="s">
        <v>379</v>
      </c>
      <c r="L79" t="s">
        <v>379</v>
      </c>
      <c r="M79" t="s">
        <v>379</v>
      </c>
      <c r="N79" t="s">
        <v>379</v>
      </c>
      <c r="O79" t="s">
        <v>379</v>
      </c>
      <c r="P79" t="s">
        <v>379</v>
      </c>
      <c r="Q79" t="s">
        <v>379</v>
      </c>
      <c r="R79" t="s">
        <v>379</v>
      </c>
      <c r="S79" t="s">
        <v>379</v>
      </c>
      <c r="T79" t="s">
        <v>379</v>
      </c>
      <c r="U79" t="s">
        <v>379</v>
      </c>
      <c r="V79" t="s">
        <v>379</v>
      </c>
      <c r="W79" t="s">
        <v>379</v>
      </c>
      <c r="X79" t="s">
        <v>379</v>
      </c>
      <c r="Y79" t="s">
        <v>379</v>
      </c>
      <c r="Z79" t="s">
        <v>379</v>
      </c>
      <c r="AA79" t="s">
        <v>379</v>
      </c>
      <c r="AB79" t="s">
        <v>379</v>
      </c>
      <c r="AC79" t="s">
        <v>420</v>
      </c>
      <c r="AD79" t="s">
        <v>419</v>
      </c>
      <c r="AE79">
        <v>10</v>
      </c>
      <c r="AF79">
        <v>8</v>
      </c>
      <c r="AG79">
        <v>1</v>
      </c>
      <c r="AH79" t="s">
        <v>401</v>
      </c>
      <c r="AJ79" t="s">
        <v>59</v>
      </c>
      <c r="AK79" t="s">
        <v>108</v>
      </c>
      <c r="AM79">
        <v>468</v>
      </c>
      <c r="AN79">
        <v>1578</v>
      </c>
    </row>
    <row r="80" spans="1:40" x14ac:dyDescent="0.35">
      <c r="A80" t="s">
        <v>379</v>
      </c>
      <c r="B80" t="s">
        <v>379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379</v>
      </c>
      <c r="K80" t="s">
        <v>379</v>
      </c>
      <c r="L80" t="s">
        <v>379</v>
      </c>
      <c r="M80" t="s">
        <v>379</v>
      </c>
      <c r="N80" t="s">
        <v>379</v>
      </c>
      <c r="O80" t="s">
        <v>379</v>
      </c>
      <c r="P80" t="s">
        <v>379</v>
      </c>
      <c r="Q80" t="s">
        <v>379</v>
      </c>
      <c r="R80" t="s">
        <v>379</v>
      </c>
      <c r="S80" t="s">
        <v>379</v>
      </c>
      <c r="T80" t="s">
        <v>379</v>
      </c>
      <c r="U80" t="s">
        <v>379</v>
      </c>
      <c r="V80" t="s">
        <v>379</v>
      </c>
      <c r="W80" t="s">
        <v>379</v>
      </c>
      <c r="X80" t="s">
        <v>379</v>
      </c>
      <c r="Y80" t="s">
        <v>379</v>
      </c>
      <c r="Z80" t="s">
        <v>379</v>
      </c>
      <c r="AA80" t="s">
        <v>379</v>
      </c>
      <c r="AB80" t="s">
        <v>379</v>
      </c>
      <c r="AC80" t="s">
        <v>420</v>
      </c>
      <c r="AD80" t="s">
        <v>419</v>
      </c>
      <c r="AE80">
        <v>10</v>
      </c>
      <c r="AF80">
        <v>9</v>
      </c>
      <c r="AG80">
        <v>1</v>
      </c>
      <c r="AH80" t="s">
        <v>383</v>
      </c>
      <c r="AJ80" t="s">
        <v>43</v>
      </c>
      <c r="AK80" t="s">
        <v>108</v>
      </c>
      <c r="AM80">
        <v>3175</v>
      </c>
      <c r="AN80">
        <v>2076</v>
      </c>
    </row>
    <row r="81" spans="1:40" x14ac:dyDescent="0.35">
      <c r="A81" t="s">
        <v>379</v>
      </c>
      <c r="B81" t="s">
        <v>379</v>
      </c>
      <c r="C81" t="s">
        <v>379</v>
      </c>
      <c r="D81" t="s">
        <v>379</v>
      </c>
      <c r="E81" t="s">
        <v>379</v>
      </c>
      <c r="F81" t="s">
        <v>379</v>
      </c>
      <c r="G81" t="s">
        <v>379</v>
      </c>
      <c r="H81" t="s">
        <v>379</v>
      </c>
      <c r="I81" t="s">
        <v>379</v>
      </c>
      <c r="J81" t="s">
        <v>379</v>
      </c>
      <c r="K81" t="s">
        <v>379</v>
      </c>
      <c r="L81" t="s">
        <v>379</v>
      </c>
      <c r="M81" t="s">
        <v>379</v>
      </c>
      <c r="N81" t="s">
        <v>379</v>
      </c>
      <c r="O81" t="s">
        <v>379</v>
      </c>
      <c r="P81" t="s">
        <v>379</v>
      </c>
      <c r="Q81" t="s">
        <v>379</v>
      </c>
      <c r="R81" t="s">
        <v>379</v>
      </c>
      <c r="S81" t="s">
        <v>379</v>
      </c>
      <c r="T81" t="s">
        <v>379</v>
      </c>
      <c r="U81" t="s">
        <v>379</v>
      </c>
      <c r="V81" t="s">
        <v>379</v>
      </c>
      <c r="W81" t="s">
        <v>379</v>
      </c>
      <c r="X81" t="s">
        <v>379</v>
      </c>
      <c r="Y81" t="s">
        <v>379</v>
      </c>
      <c r="Z81" t="s">
        <v>379</v>
      </c>
      <c r="AA81" t="s">
        <v>379</v>
      </c>
      <c r="AB81" t="s">
        <v>379</v>
      </c>
      <c r="AC81" t="s">
        <v>420</v>
      </c>
      <c r="AD81" t="s">
        <v>419</v>
      </c>
      <c r="AE81">
        <v>10</v>
      </c>
      <c r="AF81">
        <v>10</v>
      </c>
      <c r="AG81">
        <v>1</v>
      </c>
      <c r="AH81" t="s">
        <v>385</v>
      </c>
      <c r="AJ81" t="s">
        <v>45</v>
      </c>
      <c r="AK81" t="s">
        <v>108</v>
      </c>
      <c r="AM81">
        <v>1450</v>
      </c>
      <c r="AN81">
        <v>6</v>
      </c>
    </row>
    <row r="82" spans="1:40" x14ac:dyDescent="0.35">
      <c r="A82" t="s">
        <v>379</v>
      </c>
      <c r="B82" t="s">
        <v>379</v>
      </c>
      <c r="C82" t="s">
        <v>379</v>
      </c>
      <c r="D82" t="s">
        <v>379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  <c r="J82" t="s">
        <v>379</v>
      </c>
      <c r="K82" t="s">
        <v>379</v>
      </c>
      <c r="L82" t="s">
        <v>379</v>
      </c>
      <c r="M82" t="s">
        <v>379</v>
      </c>
      <c r="N82" t="s">
        <v>379</v>
      </c>
      <c r="O82" t="s">
        <v>379</v>
      </c>
      <c r="P82" t="s">
        <v>379</v>
      </c>
      <c r="Q82" t="s">
        <v>379</v>
      </c>
      <c r="R82" t="s">
        <v>379</v>
      </c>
      <c r="S82" t="s">
        <v>379</v>
      </c>
      <c r="T82" t="s">
        <v>379</v>
      </c>
      <c r="U82" t="s">
        <v>379</v>
      </c>
      <c r="V82" t="s">
        <v>379</v>
      </c>
      <c r="W82" t="s">
        <v>379</v>
      </c>
      <c r="X82" t="s">
        <v>379</v>
      </c>
      <c r="Y82" t="s">
        <v>379</v>
      </c>
      <c r="Z82" t="s">
        <v>379</v>
      </c>
      <c r="AA82" t="s">
        <v>379</v>
      </c>
      <c r="AB82" t="s">
        <v>379</v>
      </c>
      <c r="AC82" t="s">
        <v>422</v>
      </c>
      <c r="AD82" t="s">
        <v>421</v>
      </c>
      <c r="AE82">
        <v>10</v>
      </c>
      <c r="AF82">
        <v>1</v>
      </c>
      <c r="AG82">
        <v>1</v>
      </c>
      <c r="AH82" t="s">
        <v>385</v>
      </c>
      <c r="AJ82" t="s">
        <v>45</v>
      </c>
      <c r="AK82" t="s">
        <v>108</v>
      </c>
      <c r="AM82">
        <v>2109</v>
      </c>
      <c r="AN82">
        <v>1307</v>
      </c>
    </row>
    <row r="83" spans="1:40" x14ac:dyDescent="0.35">
      <c r="A83" t="s">
        <v>379</v>
      </c>
      <c r="B83" t="s">
        <v>379</v>
      </c>
      <c r="C83" t="s">
        <v>379</v>
      </c>
      <c r="D83" t="s">
        <v>379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379</v>
      </c>
      <c r="L83" t="s">
        <v>379</v>
      </c>
      <c r="M83" t="s">
        <v>379</v>
      </c>
      <c r="N83" t="s">
        <v>379</v>
      </c>
      <c r="O83" t="s">
        <v>379</v>
      </c>
      <c r="P83" t="s">
        <v>379</v>
      </c>
      <c r="Q83" t="s">
        <v>379</v>
      </c>
      <c r="R83" t="s">
        <v>379</v>
      </c>
      <c r="S83" t="s">
        <v>379</v>
      </c>
      <c r="T83" t="s">
        <v>379</v>
      </c>
      <c r="U83" t="s">
        <v>379</v>
      </c>
      <c r="V83" t="s">
        <v>379</v>
      </c>
      <c r="W83" t="s">
        <v>379</v>
      </c>
      <c r="X83" t="s">
        <v>379</v>
      </c>
      <c r="Y83" t="s">
        <v>379</v>
      </c>
      <c r="Z83" t="s">
        <v>379</v>
      </c>
      <c r="AA83" t="s">
        <v>379</v>
      </c>
      <c r="AB83" t="s">
        <v>379</v>
      </c>
      <c r="AC83" t="s">
        <v>422</v>
      </c>
      <c r="AD83" t="s">
        <v>421</v>
      </c>
      <c r="AE83">
        <v>10</v>
      </c>
      <c r="AF83">
        <v>2</v>
      </c>
      <c r="AH83" t="s">
        <v>423</v>
      </c>
      <c r="AJ83" t="s">
        <v>77</v>
      </c>
      <c r="AK83" t="s">
        <v>115</v>
      </c>
      <c r="AM83">
        <v>2586</v>
      </c>
      <c r="AN83">
        <v>1528</v>
      </c>
    </row>
    <row r="84" spans="1:40" x14ac:dyDescent="0.35">
      <c r="A84" t="s">
        <v>379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379</v>
      </c>
      <c r="K84" t="s">
        <v>379</v>
      </c>
      <c r="L84" t="s">
        <v>379</v>
      </c>
      <c r="M84" t="s">
        <v>379</v>
      </c>
      <c r="N84" t="s">
        <v>379</v>
      </c>
      <c r="O84" t="s">
        <v>379</v>
      </c>
      <c r="P84" t="s">
        <v>379</v>
      </c>
      <c r="Q84" t="s">
        <v>379</v>
      </c>
      <c r="R84" t="s">
        <v>379</v>
      </c>
      <c r="S84" t="s">
        <v>379</v>
      </c>
      <c r="T84" t="s">
        <v>379</v>
      </c>
      <c r="U84" t="s">
        <v>379</v>
      </c>
      <c r="V84" t="s">
        <v>379</v>
      </c>
      <c r="W84" t="s">
        <v>379</v>
      </c>
      <c r="X84" t="s">
        <v>379</v>
      </c>
      <c r="Y84" t="s">
        <v>379</v>
      </c>
      <c r="Z84" t="s">
        <v>379</v>
      </c>
      <c r="AA84" t="s">
        <v>379</v>
      </c>
      <c r="AB84" t="s">
        <v>379</v>
      </c>
      <c r="AC84" t="s">
        <v>422</v>
      </c>
      <c r="AD84" t="s">
        <v>421</v>
      </c>
      <c r="AE84">
        <v>10</v>
      </c>
      <c r="AF84">
        <v>3</v>
      </c>
      <c r="AG84">
        <v>1</v>
      </c>
      <c r="AH84" t="s">
        <v>424</v>
      </c>
      <c r="AJ84" t="s">
        <v>78</v>
      </c>
      <c r="AK84" t="s">
        <v>108</v>
      </c>
      <c r="AM84">
        <v>1706</v>
      </c>
      <c r="AN84">
        <v>2466</v>
      </c>
    </row>
    <row r="85" spans="1:40" x14ac:dyDescent="0.35">
      <c r="A85" t="s">
        <v>379</v>
      </c>
      <c r="B85" t="s">
        <v>379</v>
      </c>
      <c r="C85" t="s">
        <v>379</v>
      </c>
      <c r="D85" t="s">
        <v>379</v>
      </c>
      <c r="E85" t="s">
        <v>379</v>
      </c>
      <c r="F85" t="s">
        <v>379</v>
      </c>
      <c r="G85" t="s">
        <v>379</v>
      </c>
      <c r="H85" t="s">
        <v>379</v>
      </c>
      <c r="I85" t="s">
        <v>379</v>
      </c>
      <c r="J85" t="s">
        <v>379</v>
      </c>
      <c r="K85" t="s">
        <v>379</v>
      </c>
      <c r="L85" t="s">
        <v>379</v>
      </c>
      <c r="M85" t="s">
        <v>379</v>
      </c>
      <c r="N85" t="s">
        <v>379</v>
      </c>
      <c r="O85" t="s">
        <v>379</v>
      </c>
      <c r="P85" t="s">
        <v>379</v>
      </c>
      <c r="Q85" t="s">
        <v>379</v>
      </c>
      <c r="R85" t="s">
        <v>379</v>
      </c>
      <c r="S85" t="s">
        <v>379</v>
      </c>
      <c r="T85" t="s">
        <v>379</v>
      </c>
      <c r="U85" t="s">
        <v>379</v>
      </c>
      <c r="V85" t="s">
        <v>379</v>
      </c>
      <c r="W85" t="s">
        <v>379</v>
      </c>
      <c r="X85" t="s">
        <v>379</v>
      </c>
      <c r="Y85" t="s">
        <v>379</v>
      </c>
      <c r="Z85" t="s">
        <v>379</v>
      </c>
      <c r="AA85" t="s">
        <v>379</v>
      </c>
      <c r="AB85" t="s">
        <v>379</v>
      </c>
      <c r="AC85" t="s">
        <v>422</v>
      </c>
      <c r="AD85" t="s">
        <v>421</v>
      </c>
      <c r="AE85">
        <v>10</v>
      </c>
      <c r="AF85">
        <v>4</v>
      </c>
      <c r="AG85">
        <v>1</v>
      </c>
      <c r="AH85" t="s">
        <v>385</v>
      </c>
      <c r="AJ85" t="s">
        <v>45</v>
      </c>
      <c r="AK85" t="s">
        <v>108</v>
      </c>
      <c r="AM85">
        <v>2446</v>
      </c>
      <c r="AN85">
        <v>56</v>
      </c>
    </row>
    <row r="86" spans="1:40" x14ac:dyDescent="0.35">
      <c r="A86" t="s">
        <v>379</v>
      </c>
      <c r="B86" t="s">
        <v>379</v>
      </c>
      <c r="C86" t="s">
        <v>379</v>
      </c>
      <c r="D86" t="s">
        <v>379</v>
      </c>
      <c r="E86" t="s">
        <v>379</v>
      </c>
      <c r="F86" t="s">
        <v>379</v>
      </c>
      <c r="G86" t="s">
        <v>379</v>
      </c>
      <c r="H86" t="s">
        <v>379</v>
      </c>
      <c r="I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379</v>
      </c>
      <c r="AA86" t="s">
        <v>379</v>
      </c>
      <c r="AB86" t="s">
        <v>379</v>
      </c>
      <c r="AC86" t="s">
        <v>422</v>
      </c>
      <c r="AD86" t="s">
        <v>421</v>
      </c>
      <c r="AE86">
        <v>10</v>
      </c>
      <c r="AF86">
        <v>5</v>
      </c>
      <c r="AG86">
        <v>1</v>
      </c>
      <c r="AH86" t="s">
        <v>385</v>
      </c>
      <c r="AJ86" t="s">
        <v>45</v>
      </c>
      <c r="AK86" t="s">
        <v>108</v>
      </c>
      <c r="AM86">
        <v>2264</v>
      </c>
      <c r="AN86">
        <v>742</v>
      </c>
    </row>
    <row r="87" spans="1:40" x14ac:dyDescent="0.35">
      <c r="A87" t="s">
        <v>379</v>
      </c>
      <c r="B87" t="s">
        <v>379</v>
      </c>
      <c r="C87" t="s">
        <v>379</v>
      </c>
      <c r="D87" t="s">
        <v>379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379</v>
      </c>
      <c r="N87" t="s">
        <v>379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  <c r="U87" t="s">
        <v>379</v>
      </c>
      <c r="V87" t="s">
        <v>379</v>
      </c>
      <c r="W87" t="s">
        <v>379</v>
      </c>
      <c r="X87" t="s">
        <v>379</v>
      </c>
      <c r="Y87" t="s">
        <v>379</v>
      </c>
      <c r="Z87" t="s">
        <v>379</v>
      </c>
      <c r="AA87" t="s">
        <v>379</v>
      </c>
      <c r="AB87" t="s">
        <v>379</v>
      </c>
      <c r="AC87" t="s">
        <v>422</v>
      </c>
      <c r="AD87" t="s">
        <v>421</v>
      </c>
      <c r="AE87">
        <v>10</v>
      </c>
      <c r="AF87">
        <v>6</v>
      </c>
      <c r="AG87">
        <v>1</v>
      </c>
      <c r="AH87" t="s">
        <v>385</v>
      </c>
      <c r="AJ87" t="s">
        <v>45</v>
      </c>
      <c r="AK87" t="s">
        <v>108</v>
      </c>
      <c r="AM87">
        <v>1588</v>
      </c>
      <c r="AN87">
        <v>371</v>
      </c>
    </row>
    <row r="88" spans="1:40" x14ac:dyDescent="0.35">
      <c r="A88" t="s">
        <v>379</v>
      </c>
      <c r="B88" t="s">
        <v>379</v>
      </c>
      <c r="C88" t="s">
        <v>379</v>
      </c>
      <c r="D88" t="s">
        <v>379</v>
      </c>
      <c r="E88" t="s">
        <v>379</v>
      </c>
      <c r="F88" t="s">
        <v>379</v>
      </c>
      <c r="G88" t="s">
        <v>379</v>
      </c>
      <c r="H88" t="s">
        <v>379</v>
      </c>
      <c r="I88" t="s">
        <v>379</v>
      </c>
      <c r="J88" t="s">
        <v>379</v>
      </c>
      <c r="K88" t="s">
        <v>379</v>
      </c>
      <c r="L88" t="s">
        <v>379</v>
      </c>
      <c r="M88" t="s">
        <v>379</v>
      </c>
      <c r="N88" t="s">
        <v>379</v>
      </c>
      <c r="O88" t="s">
        <v>379</v>
      </c>
      <c r="P88" t="s">
        <v>379</v>
      </c>
      <c r="Q88" t="s">
        <v>379</v>
      </c>
      <c r="R88" t="s">
        <v>379</v>
      </c>
      <c r="S88" t="s">
        <v>379</v>
      </c>
      <c r="T88" t="s">
        <v>379</v>
      </c>
      <c r="U88" t="s">
        <v>379</v>
      </c>
      <c r="V88" t="s">
        <v>379</v>
      </c>
      <c r="W88" t="s">
        <v>379</v>
      </c>
      <c r="X88" t="s">
        <v>379</v>
      </c>
      <c r="Y88" t="s">
        <v>379</v>
      </c>
      <c r="Z88" t="s">
        <v>379</v>
      </c>
      <c r="AA88" t="s">
        <v>379</v>
      </c>
      <c r="AB88" t="s">
        <v>379</v>
      </c>
      <c r="AC88" t="s">
        <v>422</v>
      </c>
      <c r="AD88" t="s">
        <v>421</v>
      </c>
      <c r="AE88">
        <v>10</v>
      </c>
      <c r="AF88">
        <v>7</v>
      </c>
      <c r="AH88" t="s">
        <v>380</v>
      </c>
      <c r="AJ88" t="s">
        <v>37</v>
      </c>
      <c r="AK88" t="s">
        <v>115</v>
      </c>
      <c r="AM88">
        <v>435</v>
      </c>
      <c r="AN88">
        <v>698</v>
      </c>
    </row>
    <row r="89" spans="1:40" x14ac:dyDescent="0.35">
      <c r="A89" t="s">
        <v>379</v>
      </c>
      <c r="B89" t="s">
        <v>379</v>
      </c>
      <c r="C89" t="s">
        <v>379</v>
      </c>
      <c r="D89" t="s">
        <v>379</v>
      </c>
      <c r="E89" t="s">
        <v>379</v>
      </c>
      <c r="F89" t="s">
        <v>379</v>
      </c>
      <c r="G89" t="s">
        <v>379</v>
      </c>
      <c r="H89" t="s">
        <v>379</v>
      </c>
      <c r="I89" t="s">
        <v>379</v>
      </c>
      <c r="J89" t="s">
        <v>379</v>
      </c>
      <c r="K89" t="s">
        <v>379</v>
      </c>
      <c r="L89" t="s">
        <v>379</v>
      </c>
      <c r="M89" t="s">
        <v>379</v>
      </c>
      <c r="N89" t="s">
        <v>379</v>
      </c>
      <c r="O89" t="s">
        <v>379</v>
      </c>
      <c r="P89" t="s">
        <v>379</v>
      </c>
      <c r="Q89" t="s">
        <v>379</v>
      </c>
      <c r="R89" t="s">
        <v>379</v>
      </c>
      <c r="S89" t="s">
        <v>379</v>
      </c>
      <c r="T89" t="s">
        <v>379</v>
      </c>
      <c r="U89" t="s">
        <v>379</v>
      </c>
      <c r="V89" t="s">
        <v>379</v>
      </c>
      <c r="W89" t="s">
        <v>379</v>
      </c>
      <c r="X89" t="s">
        <v>379</v>
      </c>
      <c r="Y89" t="s">
        <v>379</v>
      </c>
      <c r="Z89" t="s">
        <v>379</v>
      </c>
      <c r="AA89" t="s">
        <v>379</v>
      </c>
      <c r="AB89" t="s">
        <v>379</v>
      </c>
      <c r="AC89" t="s">
        <v>422</v>
      </c>
      <c r="AD89" t="s">
        <v>421</v>
      </c>
      <c r="AE89">
        <v>10</v>
      </c>
      <c r="AF89">
        <v>8</v>
      </c>
      <c r="AH89" t="s">
        <v>389</v>
      </c>
      <c r="AJ89" t="s">
        <v>48</v>
      </c>
      <c r="AK89" t="s">
        <v>109</v>
      </c>
      <c r="AM89">
        <v>390</v>
      </c>
      <c r="AN89">
        <v>193</v>
      </c>
    </row>
    <row r="90" spans="1:40" x14ac:dyDescent="0.35">
      <c r="A90" t="s">
        <v>379</v>
      </c>
      <c r="B90" t="s">
        <v>379</v>
      </c>
      <c r="C90" t="s">
        <v>379</v>
      </c>
      <c r="D90" t="s">
        <v>379</v>
      </c>
      <c r="E90" t="s">
        <v>379</v>
      </c>
      <c r="F90" t="s">
        <v>379</v>
      </c>
      <c r="G90" t="s">
        <v>379</v>
      </c>
      <c r="H90" t="s">
        <v>379</v>
      </c>
      <c r="I90" t="s">
        <v>379</v>
      </c>
      <c r="J90" t="s">
        <v>379</v>
      </c>
      <c r="K90" t="s">
        <v>379</v>
      </c>
      <c r="L90" t="s">
        <v>379</v>
      </c>
      <c r="M90" t="s">
        <v>379</v>
      </c>
      <c r="N90" t="s">
        <v>379</v>
      </c>
      <c r="O90" t="s">
        <v>379</v>
      </c>
      <c r="P90" t="s">
        <v>379</v>
      </c>
      <c r="Q90" t="s">
        <v>379</v>
      </c>
      <c r="R90" t="s">
        <v>379</v>
      </c>
      <c r="S90" t="s">
        <v>379</v>
      </c>
      <c r="T90" t="s">
        <v>379</v>
      </c>
      <c r="U90" t="s">
        <v>379</v>
      </c>
      <c r="V90" t="s">
        <v>379</v>
      </c>
      <c r="W90" t="s">
        <v>379</v>
      </c>
      <c r="X90" t="s">
        <v>379</v>
      </c>
      <c r="Y90" t="s">
        <v>379</v>
      </c>
      <c r="Z90" t="s">
        <v>379</v>
      </c>
      <c r="AA90" t="s">
        <v>379</v>
      </c>
      <c r="AB90" t="s">
        <v>379</v>
      </c>
      <c r="AC90" t="s">
        <v>422</v>
      </c>
      <c r="AD90" t="s">
        <v>421</v>
      </c>
      <c r="AE90">
        <v>10</v>
      </c>
      <c r="AF90">
        <v>9</v>
      </c>
      <c r="AG90">
        <v>1</v>
      </c>
      <c r="AH90" t="s">
        <v>385</v>
      </c>
      <c r="AJ90" t="s">
        <v>45</v>
      </c>
      <c r="AK90" t="s">
        <v>108</v>
      </c>
      <c r="AM90">
        <v>1491</v>
      </c>
      <c r="AN90">
        <v>840</v>
      </c>
    </row>
    <row r="91" spans="1:40" x14ac:dyDescent="0.35">
      <c r="A91" t="s">
        <v>379</v>
      </c>
      <c r="B91" t="s">
        <v>379</v>
      </c>
      <c r="C91" t="s">
        <v>379</v>
      </c>
      <c r="D91" t="s">
        <v>379</v>
      </c>
      <c r="E91" t="s">
        <v>379</v>
      </c>
      <c r="F91" t="s">
        <v>379</v>
      </c>
      <c r="G91" t="s">
        <v>379</v>
      </c>
      <c r="H91" t="s">
        <v>379</v>
      </c>
      <c r="I91" t="s">
        <v>379</v>
      </c>
      <c r="J91" t="s">
        <v>379</v>
      </c>
      <c r="K91" t="s">
        <v>379</v>
      </c>
      <c r="L91" t="s">
        <v>379</v>
      </c>
      <c r="M91" t="s">
        <v>379</v>
      </c>
      <c r="N91" t="s">
        <v>379</v>
      </c>
      <c r="O91" t="s">
        <v>379</v>
      </c>
      <c r="P91" t="s">
        <v>379</v>
      </c>
      <c r="Q91" t="s">
        <v>379</v>
      </c>
      <c r="R91" t="s">
        <v>379</v>
      </c>
      <c r="S91" t="s">
        <v>379</v>
      </c>
      <c r="T91" t="s">
        <v>379</v>
      </c>
      <c r="U91" t="s">
        <v>379</v>
      </c>
      <c r="V91" t="s">
        <v>379</v>
      </c>
      <c r="W91" t="s">
        <v>379</v>
      </c>
      <c r="X91" t="s">
        <v>379</v>
      </c>
      <c r="Y91" t="s">
        <v>379</v>
      </c>
      <c r="Z91" t="s">
        <v>379</v>
      </c>
      <c r="AA91" t="s">
        <v>379</v>
      </c>
      <c r="AB91" t="s">
        <v>379</v>
      </c>
      <c r="AC91" t="s">
        <v>422</v>
      </c>
      <c r="AD91" t="s">
        <v>421</v>
      </c>
      <c r="AE91">
        <v>10</v>
      </c>
      <c r="AF91">
        <v>10</v>
      </c>
      <c r="AH91" t="s">
        <v>389</v>
      </c>
      <c r="AJ91" t="s">
        <v>48</v>
      </c>
      <c r="AK91" t="s">
        <v>109</v>
      </c>
      <c r="AM91">
        <v>762</v>
      </c>
      <c r="AN91">
        <v>38</v>
      </c>
    </row>
    <row r="92" spans="1:40" x14ac:dyDescent="0.35">
      <c r="A92" t="s">
        <v>379</v>
      </c>
      <c r="B92" t="s">
        <v>379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  <c r="P92" t="s">
        <v>379</v>
      </c>
      <c r="Q92" t="s">
        <v>379</v>
      </c>
      <c r="R92" t="s">
        <v>379</v>
      </c>
      <c r="S92" t="s">
        <v>379</v>
      </c>
      <c r="T92" t="s">
        <v>379</v>
      </c>
      <c r="U92" t="s">
        <v>379</v>
      </c>
      <c r="V92" t="s">
        <v>379</v>
      </c>
      <c r="W92" t="s">
        <v>379</v>
      </c>
      <c r="X92" t="s">
        <v>379</v>
      </c>
      <c r="Y92" t="s">
        <v>379</v>
      </c>
      <c r="Z92" t="s">
        <v>379</v>
      </c>
      <c r="AA92" t="s">
        <v>379</v>
      </c>
      <c r="AB92" t="s">
        <v>379</v>
      </c>
      <c r="AC92" t="s">
        <v>426</v>
      </c>
      <c r="AD92" t="s">
        <v>425</v>
      </c>
      <c r="AE92">
        <v>10</v>
      </c>
      <c r="AF92">
        <v>1</v>
      </c>
      <c r="AG92">
        <v>1</v>
      </c>
      <c r="AH92" t="s">
        <v>385</v>
      </c>
      <c r="AJ92" t="s">
        <v>45</v>
      </c>
      <c r="AK92" t="s">
        <v>108</v>
      </c>
      <c r="AM92">
        <v>2174</v>
      </c>
      <c r="AN92">
        <v>1029</v>
      </c>
    </row>
    <row r="93" spans="1:40" x14ac:dyDescent="0.35">
      <c r="A93" t="s">
        <v>379</v>
      </c>
      <c r="B93" t="s">
        <v>379</v>
      </c>
      <c r="C93" t="s">
        <v>379</v>
      </c>
      <c r="D93" t="s">
        <v>379</v>
      </c>
      <c r="E93" t="s">
        <v>379</v>
      </c>
      <c r="F93" t="s">
        <v>379</v>
      </c>
      <c r="G93" t="s">
        <v>379</v>
      </c>
      <c r="H93" t="s">
        <v>379</v>
      </c>
      <c r="I93" t="s">
        <v>379</v>
      </c>
      <c r="J93" t="s">
        <v>379</v>
      </c>
      <c r="K93" t="s">
        <v>379</v>
      </c>
      <c r="L93" t="s">
        <v>379</v>
      </c>
      <c r="M93" t="s">
        <v>379</v>
      </c>
      <c r="N93" t="s">
        <v>379</v>
      </c>
      <c r="O93" t="s">
        <v>379</v>
      </c>
      <c r="P93" t="s">
        <v>379</v>
      </c>
      <c r="Q93" t="s">
        <v>379</v>
      </c>
      <c r="R93" t="s">
        <v>379</v>
      </c>
      <c r="S93" t="s">
        <v>379</v>
      </c>
      <c r="T93" t="s">
        <v>379</v>
      </c>
      <c r="U93" t="s">
        <v>379</v>
      </c>
      <c r="V93" t="s">
        <v>379</v>
      </c>
      <c r="W93" t="s">
        <v>379</v>
      </c>
      <c r="X93" t="s">
        <v>379</v>
      </c>
      <c r="Y93" t="s">
        <v>379</v>
      </c>
      <c r="Z93" t="s">
        <v>379</v>
      </c>
      <c r="AA93" t="s">
        <v>379</v>
      </c>
      <c r="AB93" t="s">
        <v>379</v>
      </c>
      <c r="AC93" t="s">
        <v>426</v>
      </c>
      <c r="AD93" t="s">
        <v>425</v>
      </c>
      <c r="AE93">
        <v>10</v>
      </c>
      <c r="AF93">
        <v>2</v>
      </c>
      <c r="AH93" t="s">
        <v>116</v>
      </c>
      <c r="AJ93" t="s">
        <v>41</v>
      </c>
      <c r="AK93" t="s">
        <v>116</v>
      </c>
      <c r="AM93">
        <v>952</v>
      </c>
      <c r="AN93">
        <v>818</v>
      </c>
    </row>
    <row r="94" spans="1:40" x14ac:dyDescent="0.35">
      <c r="A94" t="s">
        <v>379</v>
      </c>
      <c r="B94" t="s">
        <v>379</v>
      </c>
      <c r="C94" t="s">
        <v>379</v>
      </c>
      <c r="D94" t="s">
        <v>379</v>
      </c>
      <c r="E94" t="s">
        <v>379</v>
      </c>
      <c r="F94" t="s">
        <v>379</v>
      </c>
      <c r="G94" t="s">
        <v>379</v>
      </c>
      <c r="H94" t="s">
        <v>379</v>
      </c>
      <c r="I94" t="s">
        <v>379</v>
      </c>
      <c r="J94" t="s">
        <v>379</v>
      </c>
      <c r="K94" t="s">
        <v>379</v>
      </c>
      <c r="L94" t="s">
        <v>379</v>
      </c>
      <c r="M94" t="s">
        <v>379</v>
      </c>
      <c r="N94" t="s">
        <v>379</v>
      </c>
      <c r="O94" t="s">
        <v>379</v>
      </c>
      <c r="P94" t="s">
        <v>379</v>
      </c>
      <c r="Q94" t="s">
        <v>379</v>
      </c>
      <c r="R94" t="s">
        <v>379</v>
      </c>
      <c r="S94" t="s">
        <v>379</v>
      </c>
      <c r="T94" t="s">
        <v>379</v>
      </c>
      <c r="U94" t="s">
        <v>379</v>
      </c>
      <c r="V94" t="s">
        <v>379</v>
      </c>
      <c r="W94" t="s">
        <v>379</v>
      </c>
      <c r="X94" t="s">
        <v>379</v>
      </c>
      <c r="Y94" t="s">
        <v>379</v>
      </c>
      <c r="Z94" t="s">
        <v>379</v>
      </c>
      <c r="AA94" t="s">
        <v>379</v>
      </c>
      <c r="AB94" t="s">
        <v>379</v>
      </c>
      <c r="AC94" t="s">
        <v>426</v>
      </c>
      <c r="AD94" t="s">
        <v>425</v>
      </c>
      <c r="AE94">
        <v>10</v>
      </c>
      <c r="AF94">
        <v>3</v>
      </c>
      <c r="AG94">
        <v>1</v>
      </c>
      <c r="AH94" t="s">
        <v>385</v>
      </c>
      <c r="AJ94" t="s">
        <v>45</v>
      </c>
      <c r="AK94" t="s">
        <v>108</v>
      </c>
      <c r="AM94">
        <v>3016</v>
      </c>
      <c r="AN94">
        <v>2094</v>
      </c>
    </row>
    <row r="95" spans="1:40" x14ac:dyDescent="0.35">
      <c r="A95" t="s">
        <v>379</v>
      </c>
      <c r="B95" t="s">
        <v>379</v>
      </c>
      <c r="C95" t="s">
        <v>379</v>
      </c>
      <c r="D95" t="s">
        <v>379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379</v>
      </c>
      <c r="M95" t="s">
        <v>379</v>
      </c>
      <c r="N95" t="s">
        <v>379</v>
      </c>
      <c r="O95" t="s">
        <v>379</v>
      </c>
      <c r="P95" t="s">
        <v>379</v>
      </c>
      <c r="Q95" t="s">
        <v>379</v>
      </c>
      <c r="R95" t="s">
        <v>379</v>
      </c>
      <c r="S95" t="s">
        <v>379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379</v>
      </c>
      <c r="Z95" t="s">
        <v>379</v>
      </c>
      <c r="AA95" t="s">
        <v>379</v>
      </c>
      <c r="AB95" t="s">
        <v>379</v>
      </c>
      <c r="AC95" t="s">
        <v>426</v>
      </c>
      <c r="AD95" t="s">
        <v>425</v>
      </c>
      <c r="AE95">
        <v>10</v>
      </c>
      <c r="AF95">
        <v>4</v>
      </c>
      <c r="AH95" t="s">
        <v>116</v>
      </c>
      <c r="AJ95" t="s">
        <v>41</v>
      </c>
      <c r="AK95" t="s">
        <v>116</v>
      </c>
      <c r="AM95">
        <v>3383</v>
      </c>
      <c r="AN95">
        <v>1822</v>
      </c>
    </row>
    <row r="96" spans="1:40" x14ac:dyDescent="0.35">
      <c r="A96" t="s">
        <v>379</v>
      </c>
      <c r="B96" t="s">
        <v>379</v>
      </c>
      <c r="C96" t="s">
        <v>379</v>
      </c>
      <c r="D96" t="s">
        <v>379</v>
      </c>
      <c r="E96" t="s">
        <v>379</v>
      </c>
      <c r="F96" t="s">
        <v>379</v>
      </c>
      <c r="G96" t="s">
        <v>379</v>
      </c>
      <c r="H96" t="s">
        <v>379</v>
      </c>
      <c r="I96" t="s">
        <v>379</v>
      </c>
      <c r="J96" t="s">
        <v>379</v>
      </c>
      <c r="K96" t="s">
        <v>379</v>
      </c>
      <c r="L96" t="s">
        <v>379</v>
      </c>
      <c r="M96" t="s">
        <v>379</v>
      </c>
      <c r="N96" t="s">
        <v>379</v>
      </c>
      <c r="O96" t="s">
        <v>379</v>
      </c>
      <c r="P96" t="s">
        <v>379</v>
      </c>
      <c r="Q96" t="s">
        <v>379</v>
      </c>
      <c r="R96" t="s">
        <v>379</v>
      </c>
      <c r="S96" t="s">
        <v>379</v>
      </c>
      <c r="T96" t="s">
        <v>379</v>
      </c>
      <c r="U96" t="s">
        <v>379</v>
      </c>
      <c r="V96" t="s">
        <v>379</v>
      </c>
      <c r="W96" t="s">
        <v>379</v>
      </c>
      <c r="X96" t="s">
        <v>379</v>
      </c>
      <c r="Y96" t="s">
        <v>379</v>
      </c>
      <c r="Z96" t="s">
        <v>379</v>
      </c>
      <c r="AA96" t="s">
        <v>379</v>
      </c>
      <c r="AB96" t="s">
        <v>379</v>
      </c>
      <c r="AC96" t="s">
        <v>426</v>
      </c>
      <c r="AD96" t="s">
        <v>425</v>
      </c>
      <c r="AE96">
        <v>10</v>
      </c>
      <c r="AF96">
        <v>5</v>
      </c>
      <c r="AG96">
        <v>1</v>
      </c>
      <c r="AH96" t="s">
        <v>385</v>
      </c>
      <c r="AJ96" t="s">
        <v>45</v>
      </c>
      <c r="AK96" t="s">
        <v>108</v>
      </c>
      <c r="AM96">
        <v>2396</v>
      </c>
      <c r="AN96">
        <v>2181</v>
      </c>
    </row>
    <row r="97" spans="1:40" x14ac:dyDescent="0.35">
      <c r="A97" t="s">
        <v>379</v>
      </c>
      <c r="B97" t="s">
        <v>379</v>
      </c>
      <c r="C97" t="s">
        <v>379</v>
      </c>
      <c r="D97" t="s">
        <v>379</v>
      </c>
      <c r="E97" t="s">
        <v>379</v>
      </c>
      <c r="F97" t="s">
        <v>379</v>
      </c>
      <c r="G97" t="s">
        <v>379</v>
      </c>
      <c r="H97" t="s">
        <v>379</v>
      </c>
      <c r="I97" t="s">
        <v>379</v>
      </c>
      <c r="J97" t="s">
        <v>379</v>
      </c>
      <c r="K97" t="s">
        <v>379</v>
      </c>
      <c r="L97" t="s">
        <v>379</v>
      </c>
      <c r="M97" t="s">
        <v>379</v>
      </c>
      <c r="N97" t="s">
        <v>379</v>
      </c>
      <c r="O97" t="s">
        <v>379</v>
      </c>
      <c r="P97" t="s">
        <v>379</v>
      </c>
      <c r="Q97" t="s">
        <v>379</v>
      </c>
      <c r="R97" t="s">
        <v>379</v>
      </c>
      <c r="S97" t="s">
        <v>379</v>
      </c>
      <c r="T97" t="s">
        <v>379</v>
      </c>
      <c r="U97" t="s">
        <v>379</v>
      </c>
      <c r="V97" t="s">
        <v>379</v>
      </c>
      <c r="W97" t="s">
        <v>379</v>
      </c>
      <c r="X97" t="s">
        <v>379</v>
      </c>
      <c r="Y97" t="s">
        <v>379</v>
      </c>
      <c r="Z97" t="s">
        <v>379</v>
      </c>
      <c r="AA97" t="s">
        <v>379</v>
      </c>
      <c r="AB97" t="s">
        <v>379</v>
      </c>
      <c r="AC97" t="s">
        <v>426</v>
      </c>
      <c r="AD97" t="s">
        <v>425</v>
      </c>
      <c r="AE97">
        <v>10</v>
      </c>
      <c r="AF97">
        <v>6</v>
      </c>
      <c r="AG97">
        <v>1</v>
      </c>
      <c r="AH97" t="s">
        <v>385</v>
      </c>
      <c r="AJ97" t="s">
        <v>45</v>
      </c>
      <c r="AK97" t="s">
        <v>108</v>
      </c>
      <c r="AM97">
        <v>2088</v>
      </c>
      <c r="AN97">
        <v>579</v>
      </c>
    </row>
    <row r="98" spans="1:40" x14ac:dyDescent="0.35">
      <c r="A98" t="s">
        <v>379</v>
      </c>
      <c r="B98" t="s">
        <v>379</v>
      </c>
      <c r="C98" t="s">
        <v>379</v>
      </c>
      <c r="D98" t="s">
        <v>379</v>
      </c>
      <c r="E98" t="s">
        <v>379</v>
      </c>
      <c r="F98" t="s">
        <v>379</v>
      </c>
      <c r="G98" t="s">
        <v>379</v>
      </c>
      <c r="H98" t="s">
        <v>379</v>
      </c>
      <c r="I98" t="s">
        <v>379</v>
      </c>
      <c r="J98" t="s">
        <v>379</v>
      </c>
      <c r="K98" t="s">
        <v>379</v>
      </c>
      <c r="L98" t="s">
        <v>379</v>
      </c>
      <c r="M98" t="s">
        <v>379</v>
      </c>
      <c r="N98" t="s">
        <v>379</v>
      </c>
      <c r="O98" t="s">
        <v>379</v>
      </c>
      <c r="P98" t="s">
        <v>379</v>
      </c>
      <c r="Q98" t="s">
        <v>379</v>
      </c>
      <c r="R98" t="s">
        <v>379</v>
      </c>
      <c r="S98" t="s">
        <v>379</v>
      </c>
      <c r="T98" t="s">
        <v>379</v>
      </c>
      <c r="U98" t="s">
        <v>379</v>
      </c>
      <c r="V98" t="s">
        <v>379</v>
      </c>
      <c r="W98" t="s">
        <v>379</v>
      </c>
      <c r="X98" t="s">
        <v>379</v>
      </c>
      <c r="Y98" t="s">
        <v>379</v>
      </c>
      <c r="Z98" t="s">
        <v>379</v>
      </c>
      <c r="AA98" t="s">
        <v>379</v>
      </c>
      <c r="AB98" t="s">
        <v>379</v>
      </c>
      <c r="AC98" t="s">
        <v>426</v>
      </c>
      <c r="AD98" t="s">
        <v>425</v>
      </c>
      <c r="AE98">
        <v>10</v>
      </c>
      <c r="AF98">
        <v>7</v>
      </c>
      <c r="AG98">
        <v>1</v>
      </c>
      <c r="AH98" t="s">
        <v>385</v>
      </c>
      <c r="AJ98" t="s">
        <v>45</v>
      </c>
      <c r="AK98" t="s">
        <v>108</v>
      </c>
      <c r="AM98">
        <v>1421</v>
      </c>
      <c r="AN98">
        <v>1610</v>
      </c>
    </row>
    <row r="99" spans="1:40" x14ac:dyDescent="0.35">
      <c r="A99" t="s">
        <v>379</v>
      </c>
      <c r="B99" t="s">
        <v>379</v>
      </c>
      <c r="C99" t="s">
        <v>379</v>
      </c>
      <c r="D99" t="s">
        <v>379</v>
      </c>
      <c r="E99" t="s">
        <v>379</v>
      </c>
      <c r="F99" t="s">
        <v>379</v>
      </c>
      <c r="G99" t="s">
        <v>379</v>
      </c>
      <c r="H99" t="s">
        <v>379</v>
      </c>
      <c r="I99" t="s">
        <v>379</v>
      </c>
      <c r="J99" t="s">
        <v>379</v>
      </c>
      <c r="K99" t="s">
        <v>379</v>
      </c>
      <c r="L99" t="s">
        <v>379</v>
      </c>
      <c r="M99" t="s">
        <v>379</v>
      </c>
      <c r="N99" t="s">
        <v>379</v>
      </c>
      <c r="O99" t="s">
        <v>379</v>
      </c>
      <c r="P99" t="s">
        <v>379</v>
      </c>
      <c r="Q99" t="s">
        <v>379</v>
      </c>
      <c r="R99" t="s">
        <v>379</v>
      </c>
      <c r="S99" t="s">
        <v>379</v>
      </c>
      <c r="T99" t="s">
        <v>379</v>
      </c>
      <c r="U99" t="s">
        <v>379</v>
      </c>
      <c r="V99" t="s">
        <v>379</v>
      </c>
      <c r="W99" t="s">
        <v>379</v>
      </c>
      <c r="X99" t="s">
        <v>379</v>
      </c>
      <c r="Y99" t="s">
        <v>379</v>
      </c>
      <c r="Z99" t="s">
        <v>379</v>
      </c>
      <c r="AA99" t="s">
        <v>379</v>
      </c>
      <c r="AB99" t="s">
        <v>379</v>
      </c>
      <c r="AC99" t="s">
        <v>426</v>
      </c>
      <c r="AD99" t="s">
        <v>425</v>
      </c>
      <c r="AE99">
        <v>10</v>
      </c>
      <c r="AF99">
        <v>8</v>
      </c>
      <c r="AG99">
        <v>1</v>
      </c>
      <c r="AH99" t="s">
        <v>385</v>
      </c>
      <c r="AJ99" t="s">
        <v>45</v>
      </c>
      <c r="AK99" t="s">
        <v>108</v>
      </c>
      <c r="AM99">
        <v>2527</v>
      </c>
      <c r="AN99">
        <v>393</v>
      </c>
    </row>
    <row r="100" spans="1:40" x14ac:dyDescent="0.35">
      <c r="A100" t="s">
        <v>379</v>
      </c>
      <c r="B100" t="s">
        <v>379</v>
      </c>
      <c r="C100" t="s">
        <v>379</v>
      </c>
      <c r="D100" t="s">
        <v>379</v>
      </c>
      <c r="E100" t="s">
        <v>379</v>
      </c>
      <c r="F100" t="s">
        <v>379</v>
      </c>
      <c r="G100" t="s">
        <v>379</v>
      </c>
      <c r="H100" t="s">
        <v>379</v>
      </c>
      <c r="I100" t="s">
        <v>379</v>
      </c>
      <c r="J100" t="s">
        <v>379</v>
      </c>
      <c r="K100" t="s">
        <v>379</v>
      </c>
      <c r="L100" t="s">
        <v>379</v>
      </c>
      <c r="M100" t="s">
        <v>379</v>
      </c>
      <c r="N100" t="s">
        <v>379</v>
      </c>
      <c r="O100" t="s">
        <v>379</v>
      </c>
      <c r="P100" t="s">
        <v>379</v>
      </c>
      <c r="Q100" t="s">
        <v>379</v>
      </c>
      <c r="R100" t="s">
        <v>379</v>
      </c>
      <c r="S100" t="s">
        <v>379</v>
      </c>
      <c r="T100" t="s">
        <v>379</v>
      </c>
      <c r="U100" t="s">
        <v>379</v>
      </c>
      <c r="V100" t="s">
        <v>379</v>
      </c>
      <c r="W100" t="s">
        <v>379</v>
      </c>
      <c r="X100" t="s">
        <v>379</v>
      </c>
      <c r="Y100" t="s">
        <v>379</v>
      </c>
      <c r="Z100" t="s">
        <v>379</v>
      </c>
      <c r="AA100" t="s">
        <v>379</v>
      </c>
      <c r="AB100" t="s">
        <v>379</v>
      </c>
      <c r="AC100" t="s">
        <v>426</v>
      </c>
      <c r="AD100" t="s">
        <v>425</v>
      </c>
      <c r="AE100">
        <v>10</v>
      </c>
      <c r="AF100">
        <v>9</v>
      </c>
      <c r="AG100">
        <v>1</v>
      </c>
      <c r="AH100" t="s">
        <v>427</v>
      </c>
      <c r="AJ100" t="s">
        <v>80</v>
      </c>
      <c r="AK100" t="s">
        <v>108</v>
      </c>
      <c r="AM100">
        <v>3247</v>
      </c>
      <c r="AN100">
        <v>263</v>
      </c>
    </row>
    <row r="101" spans="1:40" x14ac:dyDescent="0.35">
      <c r="A101" t="s">
        <v>379</v>
      </c>
      <c r="B101" t="s">
        <v>379</v>
      </c>
      <c r="C101" t="s">
        <v>379</v>
      </c>
      <c r="D101" t="s">
        <v>379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379</v>
      </c>
      <c r="K101" t="s">
        <v>379</v>
      </c>
      <c r="L101" t="s">
        <v>379</v>
      </c>
      <c r="M101" t="s">
        <v>379</v>
      </c>
      <c r="N101" t="s">
        <v>379</v>
      </c>
      <c r="O101" t="s">
        <v>379</v>
      </c>
      <c r="P101" t="s">
        <v>379</v>
      </c>
      <c r="Q101" t="s">
        <v>379</v>
      </c>
      <c r="R101" t="s">
        <v>379</v>
      </c>
      <c r="S101" t="s">
        <v>379</v>
      </c>
      <c r="T101" t="s">
        <v>379</v>
      </c>
      <c r="U101" t="s">
        <v>379</v>
      </c>
      <c r="V101" t="s">
        <v>379</v>
      </c>
      <c r="W101" t="s">
        <v>379</v>
      </c>
      <c r="X101" t="s">
        <v>379</v>
      </c>
      <c r="Y101" t="s">
        <v>379</v>
      </c>
      <c r="Z101" t="s">
        <v>379</v>
      </c>
      <c r="AA101" t="s">
        <v>379</v>
      </c>
      <c r="AB101" t="s">
        <v>379</v>
      </c>
      <c r="AC101" t="s">
        <v>426</v>
      </c>
      <c r="AD101" t="s">
        <v>425</v>
      </c>
      <c r="AE101">
        <v>10</v>
      </c>
      <c r="AF101">
        <v>10</v>
      </c>
      <c r="AG101">
        <v>1</v>
      </c>
      <c r="AH101" t="s">
        <v>385</v>
      </c>
      <c r="AJ101" t="s">
        <v>45</v>
      </c>
      <c r="AK101" t="s">
        <v>108</v>
      </c>
      <c r="AM101">
        <v>1810</v>
      </c>
      <c r="AN101">
        <v>2265</v>
      </c>
    </row>
    <row r="102" spans="1:40" x14ac:dyDescent="0.35">
      <c r="A102" t="s">
        <v>379</v>
      </c>
      <c r="B102" t="s">
        <v>379</v>
      </c>
      <c r="C102" t="s">
        <v>379</v>
      </c>
      <c r="D102" t="s">
        <v>379</v>
      </c>
      <c r="E102" t="s">
        <v>379</v>
      </c>
      <c r="F102" t="s">
        <v>379</v>
      </c>
      <c r="G102" t="s">
        <v>379</v>
      </c>
      <c r="H102" t="s">
        <v>379</v>
      </c>
      <c r="I102" t="s">
        <v>379</v>
      </c>
      <c r="J102" t="s">
        <v>379</v>
      </c>
      <c r="K102" t="s">
        <v>379</v>
      </c>
      <c r="L102" t="s">
        <v>379</v>
      </c>
      <c r="M102" t="s">
        <v>379</v>
      </c>
      <c r="N102" t="s">
        <v>379</v>
      </c>
      <c r="O102" t="s">
        <v>379</v>
      </c>
      <c r="P102" t="s">
        <v>379</v>
      </c>
      <c r="Q102" t="s">
        <v>379</v>
      </c>
      <c r="R102" t="s">
        <v>379</v>
      </c>
      <c r="S102" t="s">
        <v>379</v>
      </c>
      <c r="T102" t="s">
        <v>379</v>
      </c>
      <c r="U102" t="s">
        <v>379</v>
      </c>
      <c r="V102" t="s">
        <v>379</v>
      </c>
      <c r="W102" t="s">
        <v>379</v>
      </c>
      <c r="X102" t="s">
        <v>379</v>
      </c>
      <c r="Y102" t="s">
        <v>379</v>
      </c>
      <c r="Z102" t="s">
        <v>379</v>
      </c>
      <c r="AA102" t="s">
        <v>379</v>
      </c>
      <c r="AB102" t="s">
        <v>379</v>
      </c>
      <c r="AC102" t="s">
        <v>429</v>
      </c>
      <c r="AD102" t="s">
        <v>428</v>
      </c>
      <c r="AE102">
        <v>10</v>
      </c>
      <c r="AF102">
        <v>1</v>
      </c>
      <c r="AG102">
        <v>1</v>
      </c>
      <c r="AH102" t="s">
        <v>382</v>
      </c>
      <c r="AJ102" t="s">
        <v>42</v>
      </c>
      <c r="AK102" t="s">
        <v>108</v>
      </c>
      <c r="AM102">
        <v>2590</v>
      </c>
      <c r="AN102">
        <v>1260</v>
      </c>
    </row>
    <row r="103" spans="1:40" x14ac:dyDescent="0.35">
      <c r="A103" t="s">
        <v>379</v>
      </c>
      <c r="B103" t="s">
        <v>379</v>
      </c>
      <c r="C103" t="s">
        <v>379</v>
      </c>
      <c r="D103" t="s">
        <v>379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379</v>
      </c>
      <c r="K103" t="s">
        <v>379</v>
      </c>
      <c r="L103" t="s">
        <v>379</v>
      </c>
      <c r="M103" t="s">
        <v>379</v>
      </c>
      <c r="N103" t="s">
        <v>379</v>
      </c>
      <c r="O103" t="s">
        <v>379</v>
      </c>
      <c r="P103" t="s">
        <v>379</v>
      </c>
      <c r="Q103" t="s">
        <v>379</v>
      </c>
      <c r="R103" t="s">
        <v>379</v>
      </c>
      <c r="S103" t="s">
        <v>379</v>
      </c>
      <c r="T103" t="s">
        <v>379</v>
      </c>
      <c r="U103" t="s">
        <v>379</v>
      </c>
      <c r="V103" t="s">
        <v>379</v>
      </c>
      <c r="W103" t="s">
        <v>379</v>
      </c>
      <c r="X103" t="s">
        <v>379</v>
      </c>
      <c r="Y103" t="s">
        <v>379</v>
      </c>
      <c r="Z103" t="s">
        <v>379</v>
      </c>
      <c r="AA103" t="s">
        <v>379</v>
      </c>
      <c r="AB103" t="s">
        <v>379</v>
      </c>
      <c r="AC103" t="s">
        <v>429</v>
      </c>
      <c r="AD103" t="s">
        <v>428</v>
      </c>
      <c r="AE103">
        <v>10</v>
      </c>
      <c r="AF103">
        <v>2</v>
      </c>
      <c r="AG103">
        <v>1</v>
      </c>
      <c r="AH103" t="s">
        <v>385</v>
      </c>
      <c r="AJ103" t="s">
        <v>45</v>
      </c>
      <c r="AK103" t="s">
        <v>108</v>
      </c>
      <c r="AM103">
        <v>2442</v>
      </c>
      <c r="AN103">
        <v>2061</v>
      </c>
    </row>
    <row r="104" spans="1:40" x14ac:dyDescent="0.35">
      <c r="A104" t="s">
        <v>379</v>
      </c>
      <c r="B104" t="s">
        <v>379</v>
      </c>
      <c r="C104" t="s">
        <v>379</v>
      </c>
      <c r="D104" t="s">
        <v>379</v>
      </c>
      <c r="E104" t="s">
        <v>379</v>
      </c>
      <c r="F104" t="s">
        <v>379</v>
      </c>
      <c r="G104" t="s">
        <v>379</v>
      </c>
      <c r="H104" t="s">
        <v>379</v>
      </c>
      <c r="I104" t="s">
        <v>379</v>
      </c>
      <c r="J104" t="s">
        <v>379</v>
      </c>
      <c r="K104" t="s">
        <v>379</v>
      </c>
      <c r="L104" t="s">
        <v>379</v>
      </c>
      <c r="M104" t="s">
        <v>379</v>
      </c>
      <c r="N104" t="s">
        <v>379</v>
      </c>
      <c r="O104" t="s">
        <v>379</v>
      </c>
      <c r="P104" t="s">
        <v>379</v>
      </c>
      <c r="Q104" t="s">
        <v>379</v>
      </c>
      <c r="R104" t="s">
        <v>379</v>
      </c>
      <c r="S104" t="s">
        <v>379</v>
      </c>
      <c r="T104" t="s">
        <v>379</v>
      </c>
      <c r="U104" t="s">
        <v>379</v>
      </c>
      <c r="V104" t="s">
        <v>379</v>
      </c>
      <c r="W104" t="s">
        <v>379</v>
      </c>
      <c r="X104" t="s">
        <v>379</v>
      </c>
      <c r="Y104" t="s">
        <v>379</v>
      </c>
      <c r="Z104" t="s">
        <v>379</v>
      </c>
      <c r="AA104" t="s">
        <v>379</v>
      </c>
      <c r="AB104" t="s">
        <v>379</v>
      </c>
      <c r="AC104" t="s">
        <v>429</v>
      </c>
      <c r="AD104" t="s">
        <v>428</v>
      </c>
      <c r="AE104">
        <v>10</v>
      </c>
      <c r="AF104">
        <v>3</v>
      </c>
      <c r="AG104">
        <v>1</v>
      </c>
      <c r="AH104" t="s">
        <v>385</v>
      </c>
      <c r="AJ104" t="s">
        <v>45</v>
      </c>
      <c r="AK104" t="s">
        <v>108</v>
      </c>
      <c r="AM104">
        <v>1266</v>
      </c>
      <c r="AN104">
        <v>1786</v>
      </c>
    </row>
    <row r="105" spans="1:40" x14ac:dyDescent="0.35">
      <c r="A105" t="s">
        <v>379</v>
      </c>
      <c r="B105" t="s">
        <v>379</v>
      </c>
      <c r="C105" t="s">
        <v>379</v>
      </c>
      <c r="D105" t="s">
        <v>379</v>
      </c>
      <c r="E105" t="s">
        <v>379</v>
      </c>
      <c r="F105" t="s">
        <v>379</v>
      </c>
      <c r="G105" t="s">
        <v>379</v>
      </c>
      <c r="H105" t="s">
        <v>379</v>
      </c>
      <c r="I105" t="s">
        <v>379</v>
      </c>
      <c r="J105" t="s">
        <v>379</v>
      </c>
      <c r="K105" t="s">
        <v>379</v>
      </c>
      <c r="L105" t="s">
        <v>379</v>
      </c>
      <c r="M105" t="s">
        <v>379</v>
      </c>
      <c r="N105" t="s">
        <v>379</v>
      </c>
      <c r="O105" t="s">
        <v>379</v>
      </c>
      <c r="P105" t="s">
        <v>379</v>
      </c>
      <c r="Q105" t="s">
        <v>379</v>
      </c>
      <c r="R105" t="s">
        <v>379</v>
      </c>
      <c r="S105" t="s">
        <v>379</v>
      </c>
      <c r="T105" t="s">
        <v>379</v>
      </c>
      <c r="U105" t="s">
        <v>379</v>
      </c>
      <c r="V105" t="s">
        <v>379</v>
      </c>
      <c r="W105" t="s">
        <v>379</v>
      </c>
      <c r="X105" t="s">
        <v>379</v>
      </c>
      <c r="Y105" t="s">
        <v>379</v>
      </c>
      <c r="Z105" t="s">
        <v>379</v>
      </c>
      <c r="AA105" t="s">
        <v>379</v>
      </c>
      <c r="AB105" t="s">
        <v>379</v>
      </c>
      <c r="AC105" t="s">
        <v>429</v>
      </c>
      <c r="AD105" t="s">
        <v>428</v>
      </c>
      <c r="AE105">
        <v>10</v>
      </c>
      <c r="AF105">
        <v>4</v>
      </c>
      <c r="AH105" t="s">
        <v>384</v>
      </c>
      <c r="AJ105" t="s">
        <v>44</v>
      </c>
      <c r="AK105" t="s">
        <v>109</v>
      </c>
      <c r="AM105">
        <v>758</v>
      </c>
      <c r="AN105">
        <v>1330</v>
      </c>
    </row>
    <row r="106" spans="1:40" x14ac:dyDescent="0.35">
      <c r="A106" t="s">
        <v>379</v>
      </c>
      <c r="B106" t="s">
        <v>379</v>
      </c>
      <c r="C106" t="s">
        <v>379</v>
      </c>
      <c r="D106" t="s">
        <v>379</v>
      </c>
      <c r="E106" t="s">
        <v>379</v>
      </c>
      <c r="F106" t="s">
        <v>379</v>
      </c>
      <c r="G106" t="s">
        <v>379</v>
      </c>
      <c r="H106" t="s">
        <v>379</v>
      </c>
      <c r="I106" t="s">
        <v>379</v>
      </c>
      <c r="J106" t="s">
        <v>379</v>
      </c>
      <c r="K106" t="s">
        <v>379</v>
      </c>
      <c r="L106" t="s">
        <v>379</v>
      </c>
      <c r="M106" t="s">
        <v>379</v>
      </c>
      <c r="N106" t="s">
        <v>379</v>
      </c>
      <c r="O106" t="s">
        <v>379</v>
      </c>
      <c r="P106" t="s">
        <v>379</v>
      </c>
      <c r="Q106" t="s">
        <v>379</v>
      </c>
      <c r="R106" t="s">
        <v>379</v>
      </c>
      <c r="S106" t="s">
        <v>379</v>
      </c>
      <c r="T106" t="s">
        <v>379</v>
      </c>
      <c r="U106" t="s">
        <v>379</v>
      </c>
      <c r="V106" t="s">
        <v>379</v>
      </c>
      <c r="W106" t="s">
        <v>379</v>
      </c>
      <c r="X106" t="s">
        <v>379</v>
      </c>
      <c r="Y106" t="s">
        <v>379</v>
      </c>
      <c r="Z106" t="s">
        <v>379</v>
      </c>
      <c r="AA106" t="s">
        <v>379</v>
      </c>
      <c r="AB106" t="s">
        <v>379</v>
      </c>
      <c r="AC106" t="s">
        <v>429</v>
      </c>
      <c r="AD106" t="s">
        <v>428</v>
      </c>
      <c r="AE106">
        <v>10</v>
      </c>
      <c r="AF106">
        <v>5</v>
      </c>
      <c r="AG106">
        <v>1</v>
      </c>
      <c r="AH106" t="s">
        <v>393</v>
      </c>
      <c r="AJ106" t="s">
        <v>52</v>
      </c>
      <c r="AK106" t="s">
        <v>108</v>
      </c>
      <c r="AM106">
        <v>530</v>
      </c>
      <c r="AN106">
        <v>1702</v>
      </c>
    </row>
    <row r="107" spans="1:40" x14ac:dyDescent="0.35">
      <c r="A107" t="s">
        <v>379</v>
      </c>
      <c r="B107" t="s">
        <v>379</v>
      </c>
      <c r="C107" t="s">
        <v>379</v>
      </c>
      <c r="D107" t="s">
        <v>379</v>
      </c>
      <c r="E107" t="s">
        <v>379</v>
      </c>
      <c r="F107" t="s">
        <v>379</v>
      </c>
      <c r="G107" t="s">
        <v>379</v>
      </c>
      <c r="H107" t="s">
        <v>379</v>
      </c>
      <c r="I107" t="s">
        <v>379</v>
      </c>
      <c r="J107" t="s">
        <v>379</v>
      </c>
      <c r="K107" t="s">
        <v>379</v>
      </c>
      <c r="L107" t="s">
        <v>379</v>
      </c>
      <c r="M107" t="s">
        <v>379</v>
      </c>
      <c r="N107" t="s">
        <v>379</v>
      </c>
      <c r="O107" t="s">
        <v>379</v>
      </c>
      <c r="P107" t="s">
        <v>379</v>
      </c>
      <c r="Q107" t="s">
        <v>379</v>
      </c>
      <c r="R107" t="s">
        <v>379</v>
      </c>
      <c r="S107" t="s">
        <v>379</v>
      </c>
      <c r="T107" t="s">
        <v>379</v>
      </c>
      <c r="U107" t="s">
        <v>379</v>
      </c>
      <c r="V107" t="s">
        <v>379</v>
      </c>
      <c r="W107" t="s">
        <v>379</v>
      </c>
      <c r="X107" t="s">
        <v>379</v>
      </c>
      <c r="Y107" t="s">
        <v>379</v>
      </c>
      <c r="Z107" t="s">
        <v>379</v>
      </c>
      <c r="AA107" t="s">
        <v>379</v>
      </c>
      <c r="AB107" t="s">
        <v>379</v>
      </c>
      <c r="AC107" t="s">
        <v>429</v>
      </c>
      <c r="AD107" t="s">
        <v>428</v>
      </c>
      <c r="AE107">
        <v>10</v>
      </c>
      <c r="AF107">
        <v>6</v>
      </c>
      <c r="AG107">
        <v>1</v>
      </c>
      <c r="AH107" t="s">
        <v>385</v>
      </c>
      <c r="AJ107" t="s">
        <v>45</v>
      </c>
      <c r="AK107" t="s">
        <v>108</v>
      </c>
      <c r="AM107">
        <v>2449</v>
      </c>
      <c r="AN107">
        <v>1758</v>
      </c>
    </row>
    <row r="108" spans="1:40" x14ac:dyDescent="0.35">
      <c r="A108" t="s">
        <v>379</v>
      </c>
      <c r="B108" t="s">
        <v>379</v>
      </c>
      <c r="C108" t="s">
        <v>379</v>
      </c>
      <c r="D108" t="s">
        <v>379</v>
      </c>
      <c r="E108" t="s">
        <v>379</v>
      </c>
      <c r="F108" t="s">
        <v>379</v>
      </c>
      <c r="G108" t="s">
        <v>379</v>
      </c>
      <c r="H108" t="s">
        <v>379</v>
      </c>
      <c r="I108" t="s">
        <v>379</v>
      </c>
      <c r="J108" t="s">
        <v>379</v>
      </c>
      <c r="K108" t="s">
        <v>379</v>
      </c>
      <c r="L108" t="s">
        <v>379</v>
      </c>
      <c r="M108" t="s">
        <v>379</v>
      </c>
      <c r="N108" t="s">
        <v>379</v>
      </c>
      <c r="O108" t="s">
        <v>379</v>
      </c>
      <c r="P108" t="s">
        <v>379</v>
      </c>
      <c r="Q108" t="s">
        <v>379</v>
      </c>
      <c r="R108" t="s">
        <v>379</v>
      </c>
      <c r="S108" t="s">
        <v>379</v>
      </c>
      <c r="T108" t="s">
        <v>379</v>
      </c>
      <c r="U108" t="s">
        <v>379</v>
      </c>
      <c r="V108" t="s">
        <v>379</v>
      </c>
      <c r="W108" t="s">
        <v>379</v>
      </c>
      <c r="X108" t="s">
        <v>379</v>
      </c>
      <c r="Y108" t="s">
        <v>379</v>
      </c>
      <c r="Z108" t="s">
        <v>379</v>
      </c>
      <c r="AA108" t="s">
        <v>379</v>
      </c>
      <c r="AB108" t="s">
        <v>379</v>
      </c>
      <c r="AC108" t="s">
        <v>429</v>
      </c>
      <c r="AD108" t="s">
        <v>428</v>
      </c>
      <c r="AE108">
        <v>10</v>
      </c>
      <c r="AF108">
        <v>7</v>
      </c>
      <c r="AG108">
        <v>1</v>
      </c>
      <c r="AH108" t="s">
        <v>385</v>
      </c>
      <c r="AJ108" t="s">
        <v>45</v>
      </c>
      <c r="AK108" t="s">
        <v>108</v>
      </c>
      <c r="AM108">
        <v>2324</v>
      </c>
      <c r="AN108">
        <v>2255</v>
      </c>
    </row>
    <row r="109" spans="1:40" x14ac:dyDescent="0.35">
      <c r="A109" t="s">
        <v>379</v>
      </c>
      <c r="B109" t="s">
        <v>379</v>
      </c>
      <c r="C109" t="s">
        <v>379</v>
      </c>
      <c r="D109" t="s">
        <v>379</v>
      </c>
      <c r="E109" t="s">
        <v>379</v>
      </c>
      <c r="F109" t="s">
        <v>379</v>
      </c>
      <c r="G109" t="s">
        <v>379</v>
      </c>
      <c r="H109" t="s">
        <v>379</v>
      </c>
      <c r="I109" t="s">
        <v>379</v>
      </c>
      <c r="J109" t="s">
        <v>379</v>
      </c>
      <c r="K109" t="s">
        <v>379</v>
      </c>
      <c r="L109" t="s">
        <v>379</v>
      </c>
      <c r="M109" t="s">
        <v>379</v>
      </c>
      <c r="N109" t="s">
        <v>379</v>
      </c>
      <c r="O109" t="s">
        <v>379</v>
      </c>
      <c r="P109" t="s">
        <v>379</v>
      </c>
      <c r="Q109" t="s">
        <v>379</v>
      </c>
      <c r="R109" t="s">
        <v>379</v>
      </c>
      <c r="S109" t="s">
        <v>379</v>
      </c>
      <c r="T109" t="s">
        <v>379</v>
      </c>
      <c r="U109" t="s">
        <v>379</v>
      </c>
      <c r="V109" t="s">
        <v>379</v>
      </c>
      <c r="W109" t="s">
        <v>379</v>
      </c>
      <c r="X109" t="s">
        <v>379</v>
      </c>
      <c r="Y109" t="s">
        <v>379</v>
      </c>
      <c r="Z109" t="s">
        <v>379</v>
      </c>
      <c r="AA109" t="s">
        <v>379</v>
      </c>
      <c r="AB109" t="s">
        <v>379</v>
      </c>
      <c r="AC109" t="s">
        <v>429</v>
      </c>
      <c r="AD109" t="s">
        <v>428</v>
      </c>
      <c r="AE109">
        <v>10</v>
      </c>
      <c r="AF109">
        <v>8</v>
      </c>
      <c r="AH109" t="s">
        <v>389</v>
      </c>
      <c r="AJ109" t="s">
        <v>48</v>
      </c>
      <c r="AK109" t="s">
        <v>109</v>
      </c>
      <c r="AM109">
        <v>692</v>
      </c>
      <c r="AN109">
        <v>1594</v>
      </c>
    </row>
    <row r="110" spans="1:40" x14ac:dyDescent="0.35">
      <c r="A110" t="s">
        <v>379</v>
      </c>
      <c r="B110" t="s">
        <v>379</v>
      </c>
      <c r="C110" t="s">
        <v>379</v>
      </c>
      <c r="D110" t="s">
        <v>379</v>
      </c>
      <c r="E110" t="s">
        <v>379</v>
      </c>
      <c r="F110" t="s">
        <v>379</v>
      </c>
      <c r="G110" t="s">
        <v>379</v>
      </c>
      <c r="H110" t="s">
        <v>379</v>
      </c>
      <c r="I110" t="s">
        <v>379</v>
      </c>
      <c r="J110" t="s">
        <v>379</v>
      </c>
      <c r="K110" t="s">
        <v>379</v>
      </c>
      <c r="L110" t="s">
        <v>379</v>
      </c>
      <c r="M110" t="s">
        <v>379</v>
      </c>
      <c r="N110" t="s">
        <v>379</v>
      </c>
      <c r="O110" t="s">
        <v>379</v>
      </c>
      <c r="P110" t="s">
        <v>379</v>
      </c>
      <c r="Q110" t="s">
        <v>379</v>
      </c>
      <c r="R110" t="s">
        <v>379</v>
      </c>
      <c r="S110" t="s">
        <v>379</v>
      </c>
      <c r="T110" t="s">
        <v>379</v>
      </c>
      <c r="U110" t="s">
        <v>379</v>
      </c>
      <c r="V110" t="s">
        <v>379</v>
      </c>
      <c r="W110" t="s">
        <v>379</v>
      </c>
      <c r="X110" t="s">
        <v>379</v>
      </c>
      <c r="Y110" t="s">
        <v>379</v>
      </c>
      <c r="Z110" t="s">
        <v>379</v>
      </c>
      <c r="AA110" t="s">
        <v>379</v>
      </c>
      <c r="AB110" t="s">
        <v>379</v>
      </c>
      <c r="AC110" t="s">
        <v>429</v>
      </c>
      <c r="AD110" t="s">
        <v>428</v>
      </c>
      <c r="AE110">
        <v>10</v>
      </c>
      <c r="AF110">
        <v>9</v>
      </c>
      <c r="AH110" t="s">
        <v>384</v>
      </c>
      <c r="AJ110" t="s">
        <v>44</v>
      </c>
      <c r="AK110" t="s">
        <v>109</v>
      </c>
      <c r="AM110">
        <v>1965</v>
      </c>
      <c r="AN110">
        <v>923</v>
      </c>
    </row>
    <row r="111" spans="1:40" x14ac:dyDescent="0.35">
      <c r="A111" t="s">
        <v>379</v>
      </c>
      <c r="B111" t="s">
        <v>379</v>
      </c>
      <c r="C111" t="s">
        <v>379</v>
      </c>
      <c r="D111" t="s">
        <v>379</v>
      </c>
      <c r="E111" t="s">
        <v>379</v>
      </c>
      <c r="F111" t="s">
        <v>379</v>
      </c>
      <c r="G111" t="s">
        <v>379</v>
      </c>
      <c r="H111" t="s">
        <v>379</v>
      </c>
      <c r="I111" t="s">
        <v>379</v>
      </c>
      <c r="J111" t="s">
        <v>379</v>
      </c>
      <c r="K111" t="s">
        <v>379</v>
      </c>
      <c r="L111" t="s">
        <v>379</v>
      </c>
      <c r="M111" t="s">
        <v>379</v>
      </c>
      <c r="N111" t="s">
        <v>379</v>
      </c>
      <c r="O111" t="s">
        <v>379</v>
      </c>
      <c r="P111" t="s">
        <v>379</v>
      </c>
      <c r="Q111" t="s">
        <v>379</v>
      </c>
      <c r="R111" t="s">
        <v>379</v>
      </c>
      <c r="S111" t="s">
        <v>379</v>
      </c>
      <c r="T111" t="s">
        <v>379</v>
      </c>
      <c r="U111" t="s">
        <v>379</v>
      </c>
      <c r="V111" t="s">
        <v>379</v>
      </c>
      <c r="W111" t="s">
        <v>379</v>
      </c>
      <c r="X111" t="s">
        <v>379</v>
      </c>
      <c r="Y111" t="s">
        <v>379</v>
      </c>
      <c r="Z111" t="s">
        <v>379</v>
      </c>
      <c r="AA111" t="s">
        <v>379</v>
      </c>
      <c r="AB111" t="s">
        <v>379</v>
      </c>
      <c r="AC111" t="s">
        <v>429</v>
      </c>
      <c r="AD111" t="s">
        <v>428</v>
      </c>
      <c r="AE111">
        <v>10</v>
      </c>
      <c r="AF111">
        <v>10</v>
      </c>
      <c r="AH111" t="s">
        <v>380</v>
      </c>
      <c r="AJ111" t="s">
        <v>37</v>
      </c>
      <c r="AK111" t="s">
        <v>115</v>
      </c>
      <c r="AM111">
        <v>1482</v>
      </c>
      <c r="AN111">
        <v>275</v>
      </c>
    </row>
    <row r="112" spans="1:40" x14ac:dyDescent="0.35">
      <c r="A112" t="s">
        <v>379</v>
      </c>
      <c r="B112" t="s">
        <v>379</v>
      </c>
      <c r="C112" t="s">
        <v>379</v>
      </c>
      <c r="D112" t="s">
        <v>379</v>
      </c>
      <c r="E112" t="s">
        <v>379</v>
      </c>
      <c r="F112" t="s">
        <v>379</v>
      </c>
      <c r="G112" t="s">
        <v>379</v>
      </c>
      <c r="H112" t="s">
        <v>379</v>
      </c>
      <c r="I112" t="s">
        <v>379</v>
      </c>
      <c r="J112" t="s">
        <v>379</v>
      </c>
      <c r="K112" t="s">
        <v>379</v>
      </c>
      <c r="L112" t="s">
        <v>379</v>
      </c>
      <c r="M112" t="s">
        <v>379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379</v>
      </c>
      <c r="W112" t="s">
        <v>379</v>
      </c>
      <c r="X112" t="s">
        <v>379</v>
      </c>
      <c r="Y112" t="s">
        <v>379</v>
      </c>
      <c r="Z112" t="s">
        <v>379</v>
      </c>
      <c r="AA112" t="s">
        <v>379</v>
      </c>
      <c r="AB112" t="s">
        <v>379</v>
      </c>
      <c r="AC112" t="s">
        <v>431</v>
      </c>
      <c r="AD112" t="s">
        <v>430</v>
      </c>
      <c r="AE112">
        <v>10</v>
      </c>
      <c r="AF112">
        <v>1</v>
      </c>
      <c r="AH112" t="s">
        <v>389</v>
      </c>
      <c r="AJ112" t="s">
        <v>48</v>
      </c>
      <c r="AK112" t="s">
        <v>109</v>
      </c>
      <c r="AM112">
        <v>834</v>
      </c>
      <c r="AN112">
        <v>831</v>
      </c>
    </row>
    <row r="113" spans="1:40" x14ac:dyDescent="0.35">
      <c r="A113" t="s">
        <v>379</v>
      </c>
      <c r="B113" t="s">
        <v>379</v>
      </c>
      <c r="C113" t="s">
        <v>379</v>
      </c>
      <c r="D113" t="s">
        <v>379</v>
      </c>
      <c r="E113" t="s">
        <v>379</v>
      </c>
      <c r="F113" t="s">
        <v>379</v>
      </c>
      <c r="G113" t="s">
        <v>379</v>
      </c>
      <c r="H113" t="s">
        <v>379</v>
      </c>
      <c r="I113" t="s">
        <v>379</v>
      </c>
      <c r="J113" t="s">
        <v>379</v>
      </c>
      <c r="K113" t="s">
        <v>379</v>
      </c>
      <c r="L113" t="s">
        <v>379</v>
      </c>
      <c r="M113" t="s">
        <v>379</v>
      </c>
      <c r="N113" t="s">
        <v>379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  <c r="U113" t="s">
        <v>379</v>
      </c>
      <c r="V113" t="s">
        <v>379</v>
      </c>
      <c r="W113" t="s">
        <v>379</v>
      </c>
      <c r="X113" t="s">
        <v>379</v>
      </c>
      <c r="Y113" t="s">
        <v>379</v>
      </c>
      <c r="Z113" t="s">
        <v>379</v>
      </c>
      <c r="AA113" t="s">
        <v>379</v>
      </c>
      <c r="AB113" t="s">
        <v>379</v>
      </c>
      <c r="AC113" t="s">
        <v>431</v>
      </c>
      <c r="AD113" t="s">
        <v>430</v>
      </c>
      <c r="AE113">
        <v>10</v>
      </c>
      <c r="AF113">
        <v>2</v>
      </c>
      <c r="AG113">
        <v>1</v>
      </c>
      <c r="AH113" t="s">
        <v>393</v>
      </c>
      <c r="AJ113" t="s">
        <v>52</v>
      </c>
      <c r="AK113" t="s">
        <v>108</v>
      </c>
      <c r="AM113">
        <v>2102</v>
      </c>
      <c r="AN113">
        <v>1934</v>
      </c>
    </row>
    <row r="114" spans="1:40" x14ac:dyDescent="0.35">
      <c r="A114" t="s">
        <v>379</v>
      </c>
      <c r="B114" t="s">
        <v>379</v>
      </c>
      <c r="C114" t="s">
        <v>379</v>
      </c>
      <c r="D114" t="s">
        <v>379</v>
      </c>
      <c r="E114" t="s">
        <v>379</v>
      </c>
      <c r="F114" t="s">
        <v>379</v>
      </c>
      <c r="G114" t="s">
        <v>379</v>
      </c>
      <c r="H114" t="s">
        <v>379</v>
      </c>
      <c r="I114" t="s">
        <v>379</v>
      </c>
      <c r="J114" t="s">
        <v>379</v>
      </c>
      <c r="K114" t="s">
        <v>379</v>
      </c>
      <c r="L114" t="s">
        <v>379</v>
      </c>
      <c r="M114" t="s">
        <v>379</v>
      </c>
      <c r="N114" t="s">
        <v>379</v>
      </c>
      <c r="O114" t="s">
        <v>379</v>
      </c>
      <c r="P114" t="s">
        <v>379</v>
      </c>
      <c r="Q114" t="s">
        <v>379</v>
      </c>
      <c r="R114" t="s">
        <v>379</v>
      </c>
      <c r="S114" t="s">
        <v>379</v>
      </c>
      <c r="T114" t="s">
        <v>379</v>
      </c>
      <c r="U114" t="s">
        <v>379</v>
      </c>
      <c r="V114" t="s">
        <v>379</v>
      </c>
      <c r="W114" t="s">
        <v>379</v>
      </c>
      <c r="X114" t="s">
        <v>379</v>
      </c>
      <c r="Y114" t="s">
        <v>379</v>
      </c>
      <c r="Z114" t="s">
        <v>379</v>
      </c>
      <c r="AA114" t="s">
        <v>379</v>
      </c>
      <c r="AB114" t="s">
        <v>379</v>
      </c>
      <c r="AC114" t="s">
        <v>431</v>
      </c>
      <c r="AD114" t="s">
        <v>430</v>
      </c>
      <c r="AE114">
        <v>10</v>
      </c>
      <c r="AF114">
        <v>3</v>
      </c>
      <c r="AG114">
        <v>1</v>
      </c>
      <c r="AH114" t="s">
        <v>410</v>
      </c>
      <c r="AJ114" t="s">
        <v>66</v>
      </c>
      <c r="AK114" t="s">
        <v>108</v>
      </c>
      <c r="AM114">
        <v>1081</v>
      </c>
      <c r="AN114">
        <v>698</v>
      </c>
    </row>
    <row r="115" spans="1:40" x14ac:dyDescent="0.35">
      <c r="A115" t="s">
        <v>379</v>
      </c>
      <c r="B115" t="s">
        <v>379</v>
      </c>
      <c r="C115" t="s">
        <v>379</v>
      </c>
      <c r="D115" t="s">
        <v>379</v>
      </c>
      <c r="E115" t="s">
        <v>379</v>
      </c>
      <c r="F115" t="s">
        <v>379</v>
      </c>
      <c r="G115" t="s">
        <v>379</v>
      </c>
      <c r="H115" t="s">
        <v>379</v>
      </c>
      <c r="I115" t="s">
        <v>379</v>
      </c>
      <c r="J115" t="s">
        <v>379</v>
      </c>
      <c r="K115" t="s">
        <v>379</v>
      </c>
      <c r="L115" t="s">
        <v>379</v>
      </c>
      <c r="M115" t="s">
        <v>379</v>
      </c>
      <c r="N115" t="s">
        <v>379</v>
      </c>
      <c r="O115" t="s">
        <v>379</v>
      </c>
      <c r="P115" t="s">
        <v>379</v>
      </c>
      <c r="Q115" t="s">
        <v>379</v>
      </c>
      <c r="R115" t="s">
        <v>379</v>
      </c>
      <c r="S115" t="s">
        <v>379</v>
      </c>
      <c r="T115" t="s">
        <v>379</v>
      </c>
      <c r="U115" t="s">
        <v>379</v>
      </c>
      <c r="V115" t="s">
        <v>379</v>
      </c>
      <c r="W115" t="s">
        <v>379</v>
      </c>
      <c r="X115" t="s">
        <v>379</v>
      </c>
      <c r="Y115" t="s">
        <v>379</v>
      </c>
      <c r="Z115" t="s">
        <v>379</v>
      </c>
      <c r="AA115" t="s">
        <v>379</v>
      </c>
      <c r="AB115" t="s">
        <v>379</v>
      </c>
      <c r="AC115" t="s">
        <v>431</v>
      </c>
      <c r="AD115" t="s">
        <v>430</v>
      </c>
      <c r="AE115">
        <v>10</v>
      </c>
      <c r="AF115">
        <v>4</v>
      </c>
      <c r="AH115" t="s">
        <v>384</v>
      </c>
      <c r="AJ115" t="s">
        <v>44</v>
      </c>
      <c r="AK115" t="s">
        <v>109</v>
      </c>
      <c r="AM115">
        <v>3121</v>
      </c>
      <c r="AN115">
        <v>1623</v>
      </c>
    </row>
    <row r="116" spans="1:40" x14ac:dyDescent="0.35">
      <c r="A116" t="s">
        <v>379</v>
      </c>
      <c r="B116" t="s">
        <v>379</v>
      </c>
      <c r="C116" t="s">
        <v>379</v>
      </c>
      <c r="D116" t="s">
        <v>379</v>
      </c>
      <c r="E116" t="s">
        <v>379</v>
      </c>
      <c r="F116" t="s">
        <v>379</v>
      </c>
      <c r="G116" t="s">
        <v>379</v>
      </c>
      <c r="H116" t="s">
        <v>379</v>
      </c>
      <c r="I116" t="s">
        <v>379</v>
      </c>
      <c r="J116" t="s">
        <v>379</v>
      </c>
      <c r="K116" t="s">
        <v>379</v>
      </c>
      <c r="L116" t="s">
        <v>379</v>
      </c>
      <c r="M116" t="s">
        <v>379</v>
      </c>
      <c r="N116" t="s">
        <v>379</v>
      </c>
      <c r="O116" t="s">
        <v>379</v>
      </c>
      <c r="P116" t="s">
        <v>379</v>
      </c>
      <c r="Q116" t="s">
        <v>379</v>
      </c>
      <c r="R116" t="s">
        <v>379</v>
      </c>
      <c r="S116" t="s">
        <v>379</v>
      </c>
      <c r="T116" t="s">
        <v>379</v>
      </c>
      <c r="U116" t="s">
        <v>379</v>
      </c>
      <c r="V116" t="s">
        <v>379</v>
      </c>
      <c r="W116" t="s">
        <v>379</v>
      </c>
      <c r="X116" t="s">
        <v>379</v>
      </c>
      <c r="Y116" t="s">
        <v>379</v>
      </c>
      <c r="Z116" t="s">
        <v>379</v>
      </c>
      <c r="AA116" t="s">
        <v>379</v>
      </c>
      <c r="AB116" t="s">
        <v>379</v>
      </c>
      <c r="AC116" t="s">
        <v>431</v>
      </c>
      <c r="AD116" t="s">
        <v>430</v>
      </c>
      <c r="AE116">
        <v>10</v>
      </c>
      <c r="AF116">
        <v>5</v>
      </c>
      <c r="AG116">
        <v>1</v>
      </c>
      <c r="AH116" t="s">
        <v>397</v>
      </c>
      <c r="AJ116" t="s">
        <v>56</v>
      </c>
      <c r="AK116" t="s">
        <v>108</v>
      </c>
      <c r="AM116">
        <v>2579</v>
      </c>
      <c r="AN116">
        <v>1096</v>
      </c>
    </row>
    <row r="117" spans="1:40" x14ac:dyDescent="0.35">
      <c r="A117" t="s">
        <v>379</v>
      </c>
      <c r="B117" t="s">
        <v>379</v>
      </c>
      <c r="C117" t="s">
        <v>379</v>
      </c>
      <c r="D117" t="s">
        <v>379</v>
      </c>
      <c r="E117" t="s">
        <v>379</v>
      </c>
      <c r="F117" t="s">
        <v>379</v>
      </c>
      <c r="G117" t="s">
        <v>379</v>
      </c>
      <c r="H117" t="s">
        <v>379</v>
      </c>
      <c r="I117" t="s">
        <v>379</v>
      </c>
      <c r="J117" t="s">
        <v>379</v>
      </c>
      <c r="K117" t="s">
        <v>379</v>
      </c>
      <c r="L117" t="s">
        <v>379</v>
      </c>
      <c r="M117" t="s">
        <v>379</v>
      </c>
      <c r="N117" t="s">
        <v>379</v>
      </c>
      <c r="O117" t="s">
        <v>379</v>
      </c>
      <c r="P117" t="s">
        <v>379</v>
      </c>
      <c r="Q117" t="s">
        <v>379</v>
      </c>
      <c r="R117" t="s">
        <v>379</v>
      </c>
      <c r="S117" t="s">
        <v>379</v>
      </c>
      <c r="T117" t="s">
        <v>379</v>
      </c>
      <c r="U117" t="s">
        <v>379</v>
      </c>
      <c r="V117" t="s">
        <v>379</v>
      </c>
      <c r="W117" t="s">
        <v>379</v>
      </c>
      <c r="X117" t="s">
        <v>379</v>
      </c>
      <c r="Y117" t="s">
        <v>379</v>
      </c>
      <c r="Z117" t="s">
        <v>379</v>
      </c>
      <c r="AA117" t="s">
        <v>379</v>
      </c>
      <c r="AB117" t="s">
        <v>379</v>
      </c>
      <c r="AC117" t="s">
        <v>431</v>
      </c>
      <c r="AD117" t="s">
        <v>430</v>
      </c>
      <c r="AE117">
        <v>10</v>
      </c>
      <c r="AF117">
        <v>6</v>
      </c>
      <c r="AG117">
        <v>1</v>
      </c>
      <c r="AH117" t="s">
        <v>393</v>
      </c>
      <c r="AJ117" t="s">
        <v>52</v>
      </c>
      <c r="AK117" t="s">
        <v>108</v>
      </c>
      <c r="AM117">
        <v>947</v>
      </c>
      <c r="AN117">
        <v>85</v>
      </c>
    </row>
    <row r="118" spans="1:40" x14ac:dyDescent="0.35">
      <c r="A118" t="s">
        <v>379</v>
      </c>
      <c r="B118" t="s">
        <v>379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379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379</v>
      </c>
      <c r="Q118" t="s">
        <v>379</v>
      </c>
      <c r="R118" t="s">
        <v>379</v>
      </c>
      <c r="S118" t="s">
        <v>379</v>
      </c>
      <c r="T118" t="s">
        <v>379</v>
      </c>
      <c r="U118" t="s">
        <v>379</v>
      </c>
      <c r="V118" t="s">
        <v>379</v>
      </c>
      <c r="W118" t="s">
        <v>379</v>
      </c>
      <c r="X118" t="s">
        <v>379</v>
      </c>
      <c r="Y118" t="s">
        <v>379</v>
      </c>
      <c r="Z118" t="s">
        <v>379</v>
      </c>
      <c r="AA118" t="s">
        <v>379</v>
      </c>
      <c r="AB118" t="s">
        <v>379</v>
      </c>
      <c r="AC118" t="s">
        <v>431</v>
      </c>
      <c r="AD118" t="s">
        <v>430</v>
      </c>
      <c r="AE118">
        <v>10</v>
      </c>
      <c r="AF118">
        <v>7</v>
      </c>
      <c r="AG118">
        <v>1</v>
      </c>
      <c r="AH118" t="s">
        <v>427</v>
      </c>
      <c r="AJ118" t="s">
        <v>80</v>
      </c>
      <c r="AK118" t="s">
        <v>108</v>
      </c>
      <c r="AM118">
        <v>1330</v>
      </c>
      <c r="AN118">
        <v>2384</v>
      </c>
    </row>
    <row r="119" spans="1:40" x14ac:dyDescent="0.35">
      <c r="A119" t="s">
        <v>379</v>
      </c>
      <c r="B119" t="s">
        <v>379</v>
      </c>
      <c r="C119" t="s">
        <v>379</v>
      </c>
      <c r="D119" t="s">
        <v>379</v>
      </c>
      <c r="E119" t="s">
        <v>379</v>
      </c>
      <c r="F119" t="s">
        <v>379</v>
      </c>
      <c r="G119" t="s">
        <v>379</v>
      </c>
      <c r="H119" t="s">
        <v>379</v>
      </c>
      <c r="I119" t="s">
        <v>379</v>
      </c>
      <c r="J119" t="s">
        <v>379</v>
      </c>
      <c r="K119" t="s">
        <v>379</v>
      </c>
      <c r="L119" t="s">
        <v>379</v>
      </c>
      <c r="M119" t="s">
        <v>379</v>
      </c>
      <c r="N119" t="s">
        <v>379</v>
      </c>
      <c r="O119" t="s">
        <v>379</v>
      </c>
      <c r="P119" t="s">
        <v>379</v>
      </c>
      <c r="Q119" t="s">
        <v>379</v>
      </c>
      <c r="R119" t="s">
        <v>379</v>
      </c>
      <c r="S119" t="s">
        <v>379</v>
      </c>
      <c r="T119" t="s">
        <v>379</v>
      </c>
      <c r="U119" t="s">
        <v>379</v>
      </c>
      <c r="V119" t="s">
        <v>379</v>
      </c>
      <c r="W119" t="s">
        <v>379</v>
      </c>
      <c r="X119" t="s">
        <v>379</v>
      </c>
      <c r="Y119" t="s">
        <v>379</v>
      </c>
      <c r="Z119" t="s">
        <v>379</v>
      </c>
      <c r="AA119" t="s">
        <v>379</v>
      </c>
      <c r="AB119" t="s">
        <v>379</v>
      </c>
      <c r="AC119" t="s">
        <v>431</v>
      </c>
      <c r="AD119" t="s">
        <v>430</v>
      </c>
      <c r="AE119">
        <v>10</v>
      </c>
      <c r="AF119">
        <v>8</v>
      </c>
      <c r="AG119">
        <v>1</v>
      </c>
      <c r="AH119" t="s">
        <v>411</v>
      </c>
      <c r="AJ119" t="s">
        <v>67</v>
      </c>
      <c r="AK119" t="s">
        <v>108</v>
      </c>
      <c r="AM119">
        <v>1770</v>
      </c>
      <c r="AN119">
        <v>66</v>
      </c>
    </row>
    <row r="120" spans="1:40" x14ac:dyDescent="0.35">
      <c r="A120" t="s">
        <v>379</v>
      </c>
      <c r="B120" t="s">
        <v>379</v>
      </c>
      <c r="C120" t="s">
        <v>379</v>
      </c>
      <c r="D120" t="s">
        <v>379</v>
      </c>
      <c r="E120" t="s">
        <v>379</v>
      </c>
      <c r="F120" t="s">
        <v>379</v>
      </c>
      <c r="G120" t="s">
        <v>379</v>
      </c>
      <c r="H120" t="s">
        <v>379</v>
      </c>
      <c r="I120" t="s">
        <v>379</v>
      </c>
      <c r="J120" t="s">
        <v>379</v>
      </c>
      <c r="K120" t="s">
        <v>379</v>
      </c>
      <c r="L120" t="s">
        <v>379</v>
      </c>
      <c r="M120" t="s">
        <v>379</v>
      </c>
      <c r="N120" t="s">
        <v>379</v>
      </c>
      <c r="O120" t="s">
        <v>379</v>
      </c>
      <c r="P120" t="s">
        <v>379</v>
      </c>
      <c r="Q120" t="s">
        <v>379</v>
      </c>
      <c r="R120" t="s">
        <v>379</v>
      </c>
      <c r="S120" t="s">
        <v>379</v>
      </c>
      <c r="T120" t="s">
        <v>379</v>
      </c>
      <c r="U120" t="s">
        <v>379</v>
      </c>
      <c r="V120" t="s">
        <v>379</v>
      </c>
      <c r="W120" t="s">
        <v>379</v>
      </c>
      <c r="X120" t="s">
        <v>379</v>
      </c>
      <c r="Y120" t="s">
        <v>379</v>
      </c>
      <c r="Z120" t="s">
        <v>379</v>
      </c>
      <c r="AA120" t="s">
        <v>379</v>
      </c>
      <c r="AB120" t="s">
        <v>379</v>
      </c>
      <c r="AC120" t="s">
        <v>431</v>
      </c>
      <c r="AD120" t="s">
        <v>430</v>
      </c>
      <c r="AE120">
        <v>10</v>
      </c>
      <c r="AF120">
        <v>9</v>
      </c>
      <c r="AH120" t="s">
        <v>389</v>
      </c>
      <c r="AJ120" t="s">
        <v>48</v>
      </c>
      <c r="AK120" t="s">
        <v>109</v>
      </c>
      <c r="AM120">
        <v>2774</v>
      </c>
      <c r="AN120">
        <v>108</v>
      </c>
    </row>
    <row r="121" spans="1:40" x14ac:dyDescent="0.35">
      <c r="A121" t="s">
        <v>379</v>
      </c>
      <c r="B121" t="s">
        <v>379</v>
      </c>
      <c r="C121" t="s">
        <v>379</v>
      </c>
      <c r="D121" t="s">
        <v>379</v>
      </c>
      <c r="E121" t="s">
        <v>379</v>
      </c>
      <c r="F121" t="s">
        <v>379</v>
      </c>
      <c r="G121" t="s">
        <v>379</v>
      </c>
      <c r="H121" t="s">
        <v>379</v>
      </c>
      <c r="I121" t="s">
        <v>379</v>
      </c>
      <c r="J121" t="s">
        <v>379</v>
      </c>
      <c r="K121" t="s">
        <v>379</v>
      </c>
      <c r="L121" t="s">
        <v>379</v>
      </c>
      <c r="M121" t="s">
        <v>379</v>
      </c>
      <c r="N121" t="s">
        <v>379</v>
      </c>
      <c r="O121" t="s">
        <v>379</v>
      </c>
      <c r="P121" t="s">
        <v>379</v>
      </c>
      <c r="Q121" t="s">
        <v>379</v>
      </c>
      <c r="R121" t="s">
        <v>379</v>
      </c>
      <c r="S121" t="s">
        <v>379</v>
      </c>
      <c r="T121" t="s">
        <v>379</v>
      </c>
      <c r="U121" t="s">
        <v>379</v>
      </c>
      <c r="V121" t="s">
        <v>379</v>
      </c>
      <c r="W121" t="s">
        <v>379</v>
      </c>
      <c r="X121" t="s">
        <v>379</v>
      </c>
      <c r="Y121" t="s">
        <v>379</v>
      </c>
      <c r="Z121" t="s">
        <v>379</v>
      </c>
      <c r="AA121" t="s">
        <v>379</v>
      </c>
      <c r="AB121" t="s">
        <v>379</v>
      </c>
      <c r="AC121" t="s">
        <v>431</v>
      </c>
      <c r="AD121" t="s">
        <v>430</v>
      </c>
      <c r="AE121">
        <v>10</v>
      </c>
      <c r="AF121">
        <v>10</v>
      </c>
      <c r="AG121">
        <v>1</v>
      </c>
      <c r="AH121" t="s">
        <v>396</v>
      </c>
      <c r="AJ121" t="s">
        <v>55</v>
      </c>
      <c r="AK121" t="s">
        <v>108</v>
      </c>
      <c r="AM121">
        <v>1285</v>
      </c>
      <c r="AN121">
        <v>1825</v>
      </c>
    </row>
    <row r="122" spans="1:40" x14ac:dyDescent="0.35">
      <c r="A122" t="s">
        <v>379</v>
      </c>
      <c r="B122" t="s">
        <v>379</v>
      </c>
      <c r="C122" t="s">
        <v>379</v>
      </c>
      <c r="D122" t="s">
        <v>379</v>
      </c>
      <c r="E122" t="s">
        <v>379</v>
      </c>
      <c r="F122" t="s">
        <v>379</v>
      </c>
      <c r="G122" t="s">
        <v>379</v>
      </c>
      <c r="H122" t="s">
        <v>379</v>
      </c>
      <c r="I122" t="s">
        <v>379</v>
      </c>
      <c r="J122" t="s">
        <v>379</v>
      </c>
      <c r="K122" t="s">
        <v>379</v>
      </c>
      <c r="L122" t="s">
        <v>379</v>
      </c>
      <c r="M122" t="s">
        <v>379</v>
      </c>
      <c r="N122" t="s">
        <v>379</v>
      </c>
      <c r="O122" t="s">
        <v>379</v>
      </c>
      <c r="P122" t="s">
        <v>379</v>
      </c>
      <c r="Q122" t="s">
        <v>379</v>
      </c>
      <c r="R122" t="s">
        <v>379</v>
      </c>
      <c r="S122" t="s">
        <v>379</v>
      </c>
      <c r="T122" t="s">
        <v>379</v>
      </c>
      <c r="U122" t="s">
        <v>379</v>
      </c>
      <c r="V122" t="s">
        <v>379</v>
      </c>
      <c r="W122" t="s">
        <v>379</v>
      </c>
      <c r="X122" t="s">
        <v>379</v>
      </c>
      <c r="Y122" t="s">
        <v>379</v>
      </c>
      <c r="Z122" t="s">
        <v>379</v>
      </c>
      <c r="AA122" t="s">
        <v>379</v>
      </c>
      <c r="AB122" t="s">
        <v>379</v>
      </c>
      <c r="AC122" t="s">
        <v>433</v>
      </c>
      <c r="AD122" t="s">
        <v>432</v>
      </c>
      <c r="AE122">
        <v>10</v>
      </c>
      <c r="AF122">
        <v>1</v>
      </c>
      <c r="AH122" t="s">
        <v>380</v>
      </c>
      <c r="AJ122" t="s">
        <v>37</v>
      </c>
      <c r="AK122" t="s">
        <v>115</v>
      </c>
      <c r="AM122">
        <v>2350</v>
      </c>
      <c r="AN122">
        <v>1420</v>
      </c>
    </row>
    <row r="123" spans="1:40" x14ac:dyDescent="0.35">
      <c r="A123" t="s">
        <v>379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  <c r="P123" t="s">
        <v>379</v>
      </c>
      <c r="Q123" t="s">
        <v>379</v>
      </c>
      <c r="R123" t="s">
        <v>379</v>
      </c>
      <c r="S123" t="s">
        <v>379</v>
      </c>
      <c r="T123" t="s">
        <v>379</v>
      </c>
      <c r="U123" t="s">
        <v>379</v>
      </c>
      <c r="V123" t="s">
        <v>379</v>
      </c>
      <c r="W123" t="s">
        <v>379</v>
      </c>
      <c r="X123" t="s">
        <v>379</v>
      </c>
      <c r="Y123" t="s">
        <v>379</v>
      </c>
      <c r="Z123" t="s">
        <v>379</v>
      </c>
      <c r="AA123" t="s">
        <v>379</v>
      </c>
      <c r="AB123" t="s">
        <v>379</v>
      </c>
      <c r="AC123" t="s">
        <v>433</v>
      </c>
      <c r="AD123" t="s">
        <v>432</v>
      </c>
      <c r="AE123">
        <v>10</v>
      </c>
      <c r="AF123">
        <v>2</v>
      </c>
      <c r="AG123">
        <v>1</v>
      </c>
      <c r="AH123" t="s">
        <v>400</v>
      </c>
      <c r="AJ123" t="s">
        <v>58</v>
      </c>
      <c r="AK123" t="s">
        <v>108</v>
      </c>
      <c r="AM123">
        <v>957</v>
      </c>
      <c r="AN123">
        <v>2017</v>
      </c>
    </row>
    <row r="124" spans="1:40" x14ac:dyDescent="0.35">
      <c r="A124" t="s">
        <v>379</v>
      </c>
      <c r="B124" t="s">
        <v>379</v>
      </c>
      <c r="C124" t="s">
        <v>379</v>
      </c>
      <c r="D124" t="s">
        <v>379</v>
      </c>
      <c r="E124" t="s">
        <v>379</v>
      </c>
      <c r="F124" t="s">
        <v>379</v>
      </c>
      <c r="G124" t="s">
        <v>379</v>
      </c>
      <c r="H124" t="s">
        <v>379</v>
      </c>
      <c r="I124" t="s">
        <v>379</v>
      </c>
      <c r="J124" t="s">
        <v>379</v>
      </c>
      <c r="K124" t="s">
        <v>379</v>
      </c>
      <c r="L124" t="s">
        <v>379</v>
      </c>
      <c r="M124" t="s">
        <v>379</v>
      </c>
      <c r="N124" t="s">
        <v>379</v>
      </c>
      <c r="O124" t="s">
        <v>379</v>
      </c>
      <c r="P124" t="s">
        <v>379</v>
      </c>
      <c r="Q124" t="s">
        <v>379</v>
      </c>
      <c r="R124" t="s">
        <v>379</v>
      </c>
      <c r="S124" t="s">
        <v>379</v>
      </c>
      <c r="T124" t="s">
        <v>379</v>
      </c>
      <c r="U124" t="s">
        <v>379</v>
      </c>
      <c r="V124" t="s">
        <v>379</v>
      </c>
      <c r="W124" t="s">
        <v>379</v>
      </c>
      <c r="X124" t="s">
        <v>379</v>
      </c>
      <c r="Y124" t="s">
        <v>379</v>
      </c>
      <c r="Z124" t="s">
        <v>379</v>
      </c>
      <c r="AA124" t="s">
        <v>379</v>
      </c>
      <c r="AB124" t="s">
        <v>379</v>
      </c>
      <c r="AC124" t="s">
        <v>433</v>
      </c>
      <c r="AD124" t="s">
        <v>432</v>
      </c>
      <c r="AE124">
        <v>10</v>
      </c>
      <c r="AF124">
        <v>3</v>
      </c>
      <c r="AG124">
        <v>1</v>
      </c>
      <c r="AH124" t="s">
        <v>403</v>
      </c>
      <c r="AJ124" t="s">
        <v>61</v>
      </c>
      <c r="AK124" t="s">
        <v>108</v>
      </c>
      <c r="AM124">
        <v>3338</v>
      </c>
      <c r="AN124">
        <v>260</v>
      </c>
    </row>
    <row r="125" spans="1:40" x14ac:dyDescent="0.35">
      <c r="A125" t="s">
        <v>379</v>
      </c>
      <c r="B125" t="s">
        <v>379</v>
      </c>
      <c r="C125" t="s">
        <v>379</v>
      </c>
      <c r="D125" t="s">
        <v>379</v>
      </c>
      <c r="E125" t="s">
        <v>379</v>
      </c>
      <c r="F125" t="s">
        <v>379</v>
      </c>
      <c r="G125" t="s">
        <v>379</v>
      </c>
      <c r="H125" t="s">
        <v>379</v>
      </c>
      <c r="I125" t="s">
        <v>379</v>
      </c>
      <c r="J125" t="s">
        <v>379</v>
      </c>
      <c r="K125" t="s">
        <v>379</v>
      </c>
      <c r="L125" t="s">
        <v>379</v>
      </c>
      <c r="M125" t="s">
        <v>379</v>
      </c>
      <c r="N125" t="s">
        <v>379</v>
      </c>
      <c r="O125" t="s">
        <v>379</v>
      </c>
      <c r="P125" t="s">
        <v>379</v>
      </c>
      <c r="Q125" t="s">
        <v>379</v>
      </c>
      <c r="R125" t="s">
        <v>379</v>
      </c>
      <c r="S125" t="s">
        <v>379</v>
      </c>
      <c r="T125" t="s">
        <v>379</v>
      </c>
      <c r="U125" t="s">
        <v>379</v>
      </c>
      <c r="V125" t="s">
        <v>379</v>
      </c>
      <c r="W125" t="s">
        <v>379</v>
      </c>
      <c r="X125" t="s">
        <v>379</v>
      </c>
      <c r="Y125" t="s">
        <v>379</v>
      </c>
      <c r="Z125" t="s">
        <v>379</v>
      </c>
      <c r="AA125" t="s">
        <v>379</v>
      </c>
      <c r="AB125" t="s">
        <v>379</v>
      </c>
      <c r="AC125" t="s">
        <v>433</v>
      </c>
      <c r="AD125" t="s">
        <v>432</v>
      </c>
      <c r="AE125">
        <v>10</v>
      </c>
      <c r="AF125">
        <v>4</v>
      </c>
      <c r="AH125" t="s">
        <v>389</v>
      </c>
      <c r="AJ125" t="s">
        <v>48</v>
      </c>
      <c r="AK125" t="s">
        <v>109</v>
      </c>
      <c r="AM125">
        <v>3393</v>
      </c>
      <c r="AN125">
        <v>544</v>
      </c>
    </row>
    <row r="126" spans="1:40" x14ac:dyDescent="0.35">
      <c r="A126" t="s">
        <v>379</v>
      </c>
      <c r="B126" t="s">
        <v>379</v>
      </c>
      <c r="C126" t="s">
        <v>379</v>
      </c>
      <c r="D126" t="s">
        <v>379</v>
      </c>
      <c r="E126" t="s">
        <v>379</v>
      </c>
      <c r="F126" t="s">
        <v>379</v>
      </c>
      <c r="G126" t="s">
        <v>379</v>
      </c>
      <c r="H126" t="s">
        <v>379</v>
      </c>
      <c r="I126" t="s">
        <v>379</v>
      </c>
      <c r="J126" t="s">
        <v>379</v>
      </c>
      <c r="K126" t="s">
        <v>379</v>
      </c>
      <c r="L126" t="s">
        <v>379</v>
      </c>
      <c r="M126" t="s">
        <v>379</v>
      </c>
      <c r="N126" t="s">
        <v>379</v>
      </c>
      <c r="O126" t="s">
        <v>379</v>
      </c>
      <c r="P126" t="s">
        <v>379</v>
      </c>
      <c r="Q126" t="s">
        <v>379</v>
      </c>
      <c r="R126" t="s">
        <v>379</v>
      </c>
      <c r="S126" t="s">
        <v>379</v>
      </c>
      <c r="T126" t="s">
        <v>379</v>
      </c>
      <c r="U126" t="s">
        <v>379</v>
      </c>
      <c r="V126" t="s">
        <v>379</v>
      </c>
      <c r="W126" t="s">
        <v>379</v>
      </c>
      <c r="X126" t="s">
        <v>379</v>
      </c>
      <c r="Y126" t="s">
        <v>379</v>
      </c>
      <c r="Z126" t="s">
        <v>379</v>
      </c>
      <c r="AA126" t="s">
        <v>379</v>
      </c>
      <c r="AB126" t="s">
        <v>379</v>
      </c>
      <c r="AC126" t="s">
        <v>433</v>
      </c>
      <c r="AD126" t="s">
        <v>432</v>
      </c>
      <c r="AE126">
        <v>10</v>
      </c>
      <c r="AF126">
        <v>5</v>
      </c>
      <c r="AH126" t="s">
        <v>380</v>
      </c>
      <c r="AJ126" t="s">
        <v>37</v>
      </c>
      <c r="AK126" t="s">
        <v>115</v>
      </c>
      <c r="AM126">
        <v>2403</v>
      </c>
      <c r="AN126">
        <v>272</v>
      </c>
    </row>
    <row r="127" spans="1:40" x14ac:dyDescent="0.35">
      <c r="A127" t="s">
        <v>379</v>
      </c>
      <c r="B127" t="s">
        <v>379</v>
      </c>
      <c r="C127" t="s">
        <v>379</v>
      </c>
      <c r="D127" t="s">
        <v>379</v>
      </c>
      <c r="E127" t="s">
        <v>379</v>
      </c>
      <c r="F127" t="s">
        <v>379</v>
      </c>
      <c r="G127" t="s">
        <v>379</v>
      </c>
      <c r="H127" t="s">
        <v>379</v>
      </c>
      <c r="I127" t="s">
        <v>379</v>
      </c>
      <c r="J127" t="s">
        <v>379</v>
      </c>
      <c r="K127" t="s">
        <v>379</v>
      </c>
      <c r="L127" t="s">
        <v>379</v>
      </c>
      <c r="M127" t="s">
        <v>379</v>
      </c>
      <c r="N127" t="s">
        <v>379</v>
      </c>
      <c r="O127" t="s">
        <v>379</v>
      </c>
      <c r="P127" t="s">
        <v>379</v>
      </c>
      <c r="Q127" t="s">
        <v>379</v>
      </c>
      <c r="R127" t="s">
        <v>379</v>
      </c>
      <c r="S127" t="s">
        <v>379</v>
      </c>
      <c r="T127" t="s">
        <v>379</v>
      </c>
      <c r="U127" t="s">
        <v>379</v>
      </c>
      <c r="V127" t="s">
        <v>379</v>
      </c>
      <c r="W127" t="s">
        <v>379</v>
      </c>
      <c r="X127" t="s">
        <v>379</v>
      </c>
      <c r="Y127" t="s">
        <v>379</v>
      </c>
      <c r="Z127" t="s">
        <v>379</v>
      </c>
      <c r="AA127" t="s">
        <v>379</v>
      </c>
      <c r="AB127" t="s">
        <v>379</v>
      </c>
      <c r="AC127" t="s">
        <v>433</v>
      </c>
      <c r="AD127" t="s">
        <v>432</v>
      </c>
      <c r="AE127">
        <v>10</v>
      </c>
      <c r="AF127">
        <v>6</v>
      </c>
      <c r="AH127" t="s">
        <v>380</v>
      </c>
      <c r="AJ127" t="s">
        <v>37</v>
      </c>
      <c r="AK127" t="s">
        <v>115</v>
      </c>
      <c r="AM127">
        <v>2991</v>
      </c>
      <c r="AN127">
        <v>2080</v>
      </c>
    </row>
    <row r="128" spans="1:40" x14ac:dyDescent="0.35">
      <c r="A128" t="s">
        <v>379</v>
      </c>
      <c r="B128" t="s">
        <v>379</v>
      </c>
      <c r="C128" t="s">
        <v>379</v>
      </c>
      <c r="D128" t="s">
        <v>379</v>
      </c>
      <c r="E128" t="s">
        <v>379</v>
      </c>
      <c r="F128" t="s">
        <v>379</v>
      </c>
      <c r="G128" t="s">
        <v>379</v>
      </c>
      <c r="H128" t="s">
        <v>379</v>
      </c>
      <c r="I128" t="s">
        <v>379</v>
      </c>
      <c r="J128" t="s">
        <v>379</v>
      </c>
      <c r="K128" t="s">
        <v>379</v>
      </c>
      <c r="L128" t="s">
        <v>379</v>
      </c>
      <c r="M128" t="s">
        <v>379</v>
      </c>
      <c r="N128" t="s">
        <v>379</v>
      </c>
      <c r="O128" t="s">
        <v>379</v>
      </c>
      <c r="P128" t="s">
        <v>379</v>
      </c>
      <c r="Q128" t="s">
        <v>379</v>
      </c>
      <c r="R128" t="s">
        <v>379</v>
      </c>
      <c r="S128" t="s">
        <v>379</v>
      </c>
      <c r="T128" t="s">
        <v>379</v>
      </c>
      <c r="U128" t="s">
        <v>379</v>
      </c>
      <c r="V128" t="s">
        <v>379</v>
      </c>
      <c r="W128" t="s">
        <v>379</v>
      </c>
      <c r="X128" t="s">
        <v>379</v>
      </c>
      <c r="Y128" t="s">
        <v>379</v>
      </c>
      <c r="Z128" t="s">
        <v>379</v>
      </c>
      <c r="AA128" t="s">
        <v>379</v>
      </c>
      <c r="AB128" t="s">
        <v>379</v>
      </c>
      <c r="AC128" t="s">
        <v>433</v>
      </c>
      <c r="AD128" t="s">
        <v>432</v>
      </c>
      <c r="AE128">
        <v>10</v>
      </c>
      <c r="AF128">
        <v>7</v>
      </c>
      <c r="AH128" t="s">
        <v>116</v>
      </c>
      <c r="AJ128" t="s">
        <v>41</v>
      </c>
      <c r="AK128" t="s">
        <v>116</v>
      </c>
      <c r="AM128">
        <v>763</v>
      </c>
      <c r="AN128">
        <v>1419</v>
      </c>
    </row>
    <row r="129" spans="1:40" x14ac:dyDescent="0.35">
      <c r="A129" t="s">
        <v>379</v>
      </c>
      <c r="B129" t="s">
        <v>379</v>
      </c>
      <c r="C129" t="s">
        <v>379</v>
      </c>
      <c r="D129" t="s">
        <v>379</v>
      </c>
      <c r="E129" t="s">
        <v>379</v>
      </c>
      <c r="F129" t="s">
        <v>379</v>
      </c>
      <c r="G129" t="s">
        <v>379</v>
      </c>
      <c r="H129" t="s">
        <v>379</v>
      </c>
      <c r="I129" t="s">
        <v>379</v>
      </c>
      <c r="J129" t="s">
        <v>379</v>
      </c>
      <c r="K129" t="s">
        <v>379</v>
      </c>
      <c r="L129" t="s">
        <v>379</v>
      </c>
      <c r="M129" t="s">
        <v>379</v>
      </c>
      <c r="N129" t="s">
        <v>379</v>
      </c>
      <c r="O129" t="s">
        <v>379</v>
      </c>
      <c r="P129" t="s">
        <v>379</v>
      </c>
      <c r="Q129" t="s">
        <v>379</v>
      </c>
      <c r="R129" t="s">
        <v>379</v>
      </c>
      <c r="S129" t="s">
        <v>379</v>
      </c>
      <c r="T129" t="s">
        <v>379</v>
      </c>
      <c r="U129" t="s">
        <v>379</v>
      </c>
      <c r="V129" t="s">
        <v>379</v>
      </c>
      <c r="W129" t="s">
        <v>379</v>
      </c>
      <c r="X129" t="s">
        <v>379</v>
      </c>
      <c r="Y129" t="s">
        <v>379</v>
      </c>
      <c r="Z129" t="s">
        <v>379</v>
      </c>
      <c r="AA129" t="s">
        <v>379</v>
      </c>
      <c r="AB129" t="s">
        <v>379</v>
      </c>
      <c r="AC129" t="s">
        <v>433</v>
      </c>
      <c r="AD129" t="s">
        <v>432</v>
      </c>
      <c r="AE129">
        <v>10</v>
      </c>
      <c r="AF129">
        <v>8</v>
      </c>
      <c r="AH129" t="s">
        <v>384</v>
      </c>
      <c r="AJ129" t="s">
        <v>44</v>
      </c>
      <c r="AK129" t="s">
        <v>109</v>
      </c>
      <c r="AM129">
        <v>206</v>
      </c>
      <c r="AN129">
        <v>243</v>
      </c>
    </row>
    <row r="130" spans="1:40" x14ac:dyDescent="0.35">
      <c r="A130" t="s">
        <v>379</v>
      </c>
      <c r="B130" t="s">
        <v>379</v>
      </c>
      <c r="C130" t="s">
        <v>379</v>
      </c>
      <c r="D130" t="s">
        <v>379</v>
      </c>
      <c r="E130" t="s">
        <v>379</v>
      </c>
      <c r="F130" t="s">
        <v>379</v>
      </c>
      <c r="G130" t="s">
        <v>379</v>
      </c>
      <c r="H130" t="s">
        <v>379</v>
      </c>
      <c r="I130" t="s">
        <v>379</v>
      </c>
      <c r="J130" t="s">
        <v>379</v>
      </c>
      <c r="K130" t="s">
        <v>379</v>
      </c>
      <c r="L130" t="s">
        <v>379</v>
      </c>
      <c r="M130" t="s">
        <v>379</v>
      </c>
      <c r="N130" t="s">
        <v>379</v>
      </c>
      <c r="O130" t="s">
        <v>379</v>
      </c>
      <c r="P130" t="s">
        <v>379</v>
      </c>
      <c r="Q130" t="s">
        <v>379</v>
      </c>
      <c r="R130" t="s">
        <v>379</v>
      </c>
      <c r="S130" t="s">
        <v>379</v>
      </c>
      <c r="T130" t="s">
        <v>379</v>
      </c>
      <c r="U130" t="s">
        <v>379</v>
      </c>
      <c r="V130" t="s">
        <v>379</v>
      </c>
      <c r="W130" t="s">
        <v>379</v>
      </c>
      <c r="X130" t="s">
        <v>379</v>
      </c>
      <c r="Y130" t="s">
        <v>379</v>
      </c>
      <c r="Z130" t="s">
        <v>379</v>
      </c>
      <c r="AA130" t="s">
        <v>379</v>
      </c>
      <c r="AB130" t="s">
        <v>379</v>
      </c>
      <c r="AC130" t="s">
        <v>433</v>
      </c>
      <c r="AD130" t="s">
        <v>432</v>
      </c>
      <c r="AE130">
        <v>10</v>
      </c>
      <c r="AF130">
        <v>9</v>
      </c>
      <c r="AH130" t="s">
        <v>390</v>
      </c>
      <c r="AJ130" t="s">
        <v>49</v>
      </c>
      <c r="AK130" t="s">
        <v>115</v>
      </c>
      <c r="AL130" t="s">
        <v>50</v>
      </c>
      <c r="AM130">
        <v>1778</v>
      </c>
      <c r="AN130">
        <v>1163</v>
      </c>
    </row>
    <row r="131" spans="1:40" x14ac:dyDescent="0.35">
      <c r="A131" t="s">
        <v>379</v>
      </c>
      <c r="B131" t="s">
        <v>379</v>
      </c>
      <c r="C131" t="s">
        <v>379</v>
      </c>
      <c r="D131" t="s">
        <v>379</v>
      </c>
      <c r="E131" t="s">
        <v>379</v>
      </c>
      <c r="F131" t="s">
        <v>379</v>
      </c>
      <c r="G131" t="s">
        <v>379</v>
      </c>
      <c r="H131" t="s">
        <v>379</v>
      </c>
      <c r="I131" t="s">
        <v>379</v>
      </c>
      <c r="J131" t="s">
        <v>379</v>
      </c>
      <c r="K131" t="s">
        <v>379</v>
      </c>
      <c r="L131" t="s">
        <v>379</v>
      </c>
      <c r="M131" t="s">
        <v>379</v>
      </c>
      <c r="N131" t="s">
        <v>379</v>
      </c>
      <c r="O131" t="s">
        <v>379</v>
      </c>
      <c r="P131" t="s">
        <v>379</v>
      </c>
      <c r="Q131" t="s">
        <v>379</v>
      </c>
      <c r="R131" t="s">
        <v>379</v>
      </c>
      <c r="S131" t="s">
        <v>379</v>
      </c>
      <c r="T131" t="s">
        <v>379</v>
      </c>
      <c r="U131" t="s">
        <v>379</v>
      </c>
      <c r="V131" t="s">
        <v>379</v>
      </c>
      <c r="W131" t="s">
        <v>379</v>
      </c>
      <c r="X131" t="s">
        <v>379</v>
      </c>
      <c r="Y131" t="s">
        <v>379</v>
      </c>
      <c r="Z131" t="s">
        <v>379</v>
      </c>
      <c r="AA131" t="s">
        <v>379</v>
      </c>
      <c r="AB131" t="s">
        <v>379</v>
      </c>
      <c r="AC131" t="s">
        <v>433</v>
      </c>
      <c r="AD131" t="s">
        <v>432</v>
      </c>
      <c r="AE131">
        <v>10</v>
      </c>
      <c r="AF131">
        <v>10</v>
      </c>
      <c r="AG131">
        <v>1</v>
      </c>
      <c r="AH131" t="s">
        <v>434</v>
      </c>
      <c r="AJ131" t="s">
        <v>84</v>
      </c>
      <c r="AK131" t="s">
        <v>108</v>
      </c>
      <c r="AM131">
        <v>2247</v>
      </c>
      <c r="AN131">
        <v>1687</v>
      </c>
    </row>
    <row r="132" spans="1:40" x14ac:dyDescent="0.35">
      <c r="A132" t="s">
        <v>379</v>
      </c>
      <c r="B132" t="s">
        <v>379</v>
      </c>
      <c r="C132" t="s">
        <v>379</v>
      </c>
      <c r="D132" t="s">
        <v>379</v>
      </c>
      <c r="E132" t="s">
        <v>379</v>
      </c>
      <c r="F132" t="s">
        <v>379</v>
      </c>
      <c r="G132" t="s">
        <v>379</v>
      </c>
      <c r="H132" t="s">
        <v>379</v>
      </c>
      <c r="I132" t="s">
        <v>379</v>
      </c>
      <c r="J132" t="s">
        <v>379</v>
      </c>
      <c r="K132" t="s">
        <v>379</v>
      </c>
      <c r="L132" t="s">
        <v>379</v>
      </c>
      <c r="M132" t="s">
        <v>379</v>
      </c>
      <c r="N132" t="s">
        <v>379</v>
      </c>
      <c r="O132" t="s">
        <v>379</v>
      </c>
      <c r="P132" t="s">
        <v>379</v>
      </c>
      <c r="Q132" t="s">
        <v>379</v>
      </c>
      <c r="R132" t="s">
        <v>379</v>
      </c>
      <c r="S132" t="s">
        <v>379</v>
      </c>
      <c r="T132" t="s">
        <v>379</v>
      </c>
      <c r="U132" t="s">
        <v>379</v>
      </c>
      <c r="V132" t="s">
        <v>379</v>
      </c>
      <c r="W132" t="s">
        <v>379</v>
      </c>
      <c r="X132" t="s">
        <v>379</v>
      </c>
      <c r="Y132" t="s">
        <v>379</v>
      </c>
      <c r="Z132" t="s">
        <v>379</v>
      </c>
      <c r="AA132" t="s">
        <v>379</v>
      </c>
      <c r="AB132" t="s">
        <v>379</v>
      </c>
      <c r="AC132" t="s">
        <v>436</v>
      </c>
      <c r="AD132" t="s">
        <v>435</v>
      </c>
      <c r="AE132">
        <v>10</v>
      </c>
      <c r="AF132">
        <v>1</v>
      </c>
      <c r="AG132">
        <v>1</v>
      </c>
      <c r="AH132" t="s">
        <v>437</v>
      </c>
      <c r="AJ132" t="s">
        <v>86</v>
      </c>
      <c r="AK132" t="s">
        <v>108</v>
      </c>
      <c r="AM132">
        <v>1675</v>
      </c>
      <c r="AN132">
        <v>634</v>
      </c>
    </row>
    <row r="133" spans="1:40" x14ac:dyDescent="0.35">
      <c r="A133" t="s">
        <v>379</v>
      </c>
      <c r="B133" t="s">
        <v>379</v>
      </c>
      <c r="C133" t="s">
        <v>379</v>
      </c>
      <c r="D133" t="s">
        <v>379</v>
      </c>
      <c r="E133" t="s">
        <v>379</v>
      </c>
      <c r="F133" t="s">
        <v>379</v>
      </c>
      <c r="G133" t="s">
        <v>379</v>
      </c>
      <c r="H133" t="s">
        <v>379</v>
      </c>
      <c r="I133" t="s">
        <v>379</v>
      </c>
      <c r="J133" t="s">
        <v>379</v>
      </c>
      <c r="K133" t="s">
        <v>379</v>
      </c>
      <c r="L133" t="s">
        <v>379</v>
      </c>
      <c r="M133" t="s">
        <v>379</v>
      </c>
      <c r="N133" t="s">
        <v>379</v>
      </c>
      <c r="O133" t="s">
        <v>379</v>
      </c>
      <c r="P133" t="s">
        <v>379</v>
      </c>
      <c r="Q133" t="s">
        <v>379</v>
      </c>
      <c r="R133" t="s">
        <v>379</v>
      </c>
      <c r="S133" t="s">
        <v>379</v>
      </c>
      <c r="T133" t="s">
        <v>379</v>
      </c>
      <c r="U133" t="s">
        <v>379</v>
      </c>
      <c r="V133" t="s">
        <v>379</v>
      </c>
      <c r="W133" t="s">
        <v>379</v>
      </c>
      <c r="X133" t="s">
        <v>379</v>
      </c>
      <c r="Y133" t="s">
        <v>379</v>
      </c>
      <c r="Z133" t="s">
        <v>379</v>
      </c>
      <c r="AA133" t="s">
        <v>379</v>
      </c>
      <c r="AB133" t="s">
        <v>379</v>
      </c>
      <c r="AC133" t="s">
        <v>436</v>
      </c>
      <c r="AD133" t="s">
        <v>435</v>
      </c>
      <c r="AE133">
        <v>10</v>
      </c>
      <c r="AF133">
        <v>2</v>
      </c>
      <c r="AG133">
        <v>1</v>
      </c>
      <c r="AH133" t="s">
        <v>438</v>
      </c>
      <c r="AJ133" t="s">
        <v>87</v>
      </c>
      <c r="AK133" t="s">
        <v>108</v>
      </c>
      <c r="AM133">
        <v>2344</v>
      </c>
      <c r="AN133">
        <v>1986</v>
      </c>
    </row>
    <row r="134" spans="1:40" x14ac:dyDescent="0.35">
      <c r="A134" t="s">
        <v>379</v>
      </c>
      <c r="B134" t="s">
        <v>379</v>
      </c>
      <c r="C134" t="s">
        <v>379</v>
      </c>
      <c r="D134" t="s">
        <v>379</v>
      </c>
      <c r="E134" t="s">
        <v>379</v>
      </c>
      <c r="F134" t="s">
        <v>379</v>
      </c>
      <c r="G134" t="s">
        <v>379</v>
      </c>
      <c r="H134" t="s">
        <v>379</v>
      </c>
      <c r="I134" t="s">
        <v>379</v>
      </c>
      <c r="J134" t="s">
        <v>379</v>
      </c>
      <c r="K134" t="s">
        <v>379</v>
      </c>
      <c r="L134" t="s">
        <v>379</v>
      </c>
      <c r="M134" t="s">
        <v>379</v>
      </c>
      <c r="N134" t="s">
        <v>379</v>
      </c>
      <c r="O134" t="s">
        <v>379</v>
      </c>
      <c r="P134" t="s">
        <v>379</v>
      </c>
      <c r="Q134" t="s">
        <v>379</v>
      </c>
      <c r="R134" t="s">
        <v>379</v>
      </c>
      <c r="S134" t="s">
        <v>379</v>
      </c>
      <c r="T134" t="s">
        <v>379</v>
      </c>
      <c r="U134" t="s">
        <v>379</v>
      </c>
      <c r="V134" t="s">
        <v>379</v>
      </c>
      <c r="W134" t="s">
        <v>379</v>
      </c>
      <c r="X134" t="s">
        <v>379</v>
      </c>
      <c r="Y134" t="s">
        <v>379</v>
      </c>
      <c r="Z134" t="s">
        <v>379</v>
      </c>
      <c r="AA134" t="s">
        <v>379</v>
      </c>
      <c r="AB134" t="s">
        <v>379</v>
      </c>
      <c r="AC134" t="s">
        <v>436</v>
      </c>
      <c r="AD134" t="s">
        <v>435</v>
      </c>
      <c r="AE134">
        <v>10</v>
      </c>
      <c r="AF134">
        <v>3</v>
      </c>
      <c r="AG134">
        <v>1</v>
      </c>
      <c r="AH134" t="s">
        <v>437</v>
      </c>
      <c r="AJ134" t="s">
        <v>86</v>
      </c>
      <c r="AK134" t="s">
        <v>108</v>
      </c>
      <c r="AM134">
        <v>1203</v>
      </c>
      <c r="AN134">
        <v>1770</v>
      </c>
    </row>
    <row r="135" spans="1:40" x14ac:dyDescent="0.35">
      <c r="A135" t="s">
        <v>379</v>
      </c>
      <c r="B135" t="s">
        <v>379</v>
      </c>
      <c r="C135" t="s">
        <v>379</v>
      </c>
      <c r="D135" t="s">
        <v>379</v>
      </c>
      <c r="E135" t="s">
        <v>379</v>
      </c>
      <c r="F135" t="s">
        <v>379</v>
      </c>
      <c r="G135" t="s">
        <v>379</v>
      </c>
      <c r="H135" t="s">
        <v>379</v>
      </c>
      <c r="I135" t="s">
        <v>379</v>
      </c>
      <c r="J135" t="s">
        <v>379</v>
      </c>
      <c r="K135" t="s">
        <v>379</v>
      </c>
      <c r="L135" t="s">
        <v>379</v>
      </c>
      <c r="M135" t="s">
        <v>379</v>
      </c>
      <c r="N135" t="s">
        <v>379</v>
      </c>
      <c r="O135" t="s">
        <v>379</v>
      </c>
      <c r="P135" t="s">
        <v>379</v>
      </c>
      <c r="Q135" t="s">
        <v>379</v>
      </c>
      <c r="R135" t="s">
        <v>379</v>
      </c>
      <c r="S135" t="s">
        <v>379</v>
      </c>
      <c r="T135" t="s">
        <v>379</v>
      </c>
      <c r="U135" t="s">
        <v>379</v>
      </c>
      <c r="V135" t="s">
        <v>379</v>
      </c>
      <c r="W135" t="s">
        <v>379</v>
      </c>
      <c r="X135" t="s">
        <v>379</v>
      </c>
      <c r="Y135" t="s">
        <v>379</v>
      </c>
      <c r="Z135" t="s">
        <v>379</v>
      </c>
      <c r="AA135" t="s">
        <v>379</v>
      </c>
      <c r="AB135" t="s">
        <v>379</v>
      </c>
      <c r="AC135" t="s">
        <v>436</v>
      </c>
      <c r="AD135" t="s">
        <v>435</v>
      </c>
      <c r="AE135">
        <v>10</v>
      </c>
      <c r="AF135">
        <v>4</v>
      </c>
      <c r="AG135">
        <v>1</v>
      </c>
      <c r="AH135" t="s">
        <v>437</v>
      </c>
      <c r="AJ135" t="s">
        <v>86</v>
      </c>
      <c r="AK135" t="s">
        <v>108</v>
      </c>
      <c r="AM135">
        <v>1702</v>
      </c>
      <c r="AN135">
        <v>203</v>
      </c>
    </row>
    <row r="136" spans="1:40" x14ac:dyDescent="0.35">
      <c r="A136" t="s">
        <v>379</v>
      </c>
      <c r="B136" t="s">
        <v>379</v>
      </c>
      <c r="C136" t="s">
        <v>379</v>
      </c>
      <c r="D136" t="s">
        <v>379</v>
      </c>
      <c r="E136" t="s">
        <v>379</v>
      </c>
      <c r="F136" t="s">
        <v>379</v>
      </c>
      <c r="G136" t="s">
        <v>379</v>
      </c>
      <c r="H136" t="s">
        <v>379</v>
      </c>
      <c r="I136" t="s">
        <v>379</v>
      </c>
      <c r="J136" t="s">
        <v>379</v>
      </c>
      <c r="K136" t="s">
        <v>379</v>
      </c>
      <c r="L136" t="s">
        <v>379</v>
      </c>
      <c r="M136" t="s">
        <v>379</v>
      </c>
      <c r="N136" t="s">
        <v>379</v>
      </c>
      <c r="O136" t="s">
        <v>379</v>
      </c>
      <c r="P136" t="s">
        <v>379</v>
      </c>
      <c r="Q136" t="s">
        <v>379</v>
      </c>
      <c r="R136" t="s">
        <v>379</v>
      </c>
      <c r="S136" t="s">
        <v>379</v>
      </c>
      <c r="T136" t="s">
        <v>379</v>
      </c>
      <c r="U136" t="s">
        <v>379</v>
      </c>
      <c r="V136" t="s">
        <v>379</v>
      </c>
      <c r="W136" t="s">
        <v>379</v>
      </c>
      <c r="X136" t="s">
        <v>379</v>
      </c>
      <c r="Y136" t="s">
        <v>379</v>
      </c>
      <c r="Z136" t="s">
        <v>379</v>
      </c>
      <c r="AA136" t="s">
        <v>379</v>
      </c>
      <c r="AB136" t="s">
        <v>379</v>
      </c>
      <c r="AC136" t="s">
        <v>436</v>
      </c>
      <c r="AD136" t="s">
        <v>435</v>
      </c>
      <c r="AE136">
        <v>10</v>
      </c>
      <c r="AF136">
        <v>5</v>
      </c>
      <c r="AG136">
        <v>1</v>
      </c>
      <c r="AH136" t="s">
        <v>437</v>
      </c>
      <c r="AJ136" t="s">
        <v>86</v>
      </c>
      <c r="AK136" t="s">
        <v>108</v>
      </c>
      <c r="AM136">
        <v>779</v>
      </c>
      <c r="AN136">
        <v>822</v>
      </c>
    </row>
    <row r="137" spans="1:40" x14ac:dyDescent="0.35">
      <c r="A137" t="s">
        <v>379</v>
      </c>
      <c r="B137" t="s">
        <v>379</v>
      </c>
      <c r="C137" t="s">
        <v>379</v>
      </c>
      <c r="D137" t="s">
        <v>379</v>
      </c>
      <c r="E137" t="s">
        <v>379</v>
      </c>
      <c r="F137" t="s">
        <v>379</v>
      </c>
      <c r="G137" t="s">
        <v>379</v>
      </c>
      <c r="H137" t="s">
        <v>379</v>
      </c>
      <c r="I137" t="s">
        <v>379</v>
      </c>
      <c r="J137" t="s">
        <v>379</v>
      </c>
      <c r="K137" t="s">
        <v>379</v>
      </c>
      <c r="L137" t="s">
        <v>379</v>
      </c>
      <c r="M137" t="s">
        <v>379</v>
      </c>
      <c r="N137" t="s">
        <v>379</v>
      </c>
      <c r="O137" t="s">
        <v>379</v>
      </c>
      <c r="P137" t="s">
        <v>379</v>
      </c>
      <c r="Q137" t="s">
        <v>379</v>
      </c>
      <c r="R137" t="s">
        <v>379</v>
      </c>
      <c r="S137" t="s">
        <v>379</v>
      </c>
      <c r="T137" t="s">
        <v>379</v>
      </c>
      <c r="U137" t="s">
        <v>379</v>
      </c>
      <c r="V137" t="s">
        <v>379</v>
      </c>
      <c r="W137" t="s">
        <v>379</v>
      </c>
      <c r="X137" t="s">
        <v>379</v>
      </c>
      <c r="Y137" t="s">
        <v>379</v>
      </c>
      <c r="Z137" t="s">
        <v>379</v>
      </c>
      <c r="AA137" t="s">
        <v>379</v>
      </c>
      <c r="AB137" t="s">
        <v>379</v>
      </c>
      <c r="AC137" t="s">
        <v>436</v>
      </c>
      <c r="AD137" t="s">
        <v>435</v>
      </c>
      <c r="AE137">
        <v>10</v>
      </c>
      <c r="AF137">
        <v>6</v>
      </c>
      <c r="AG137">
        <v>1</v>
      </c>
      <c r="AH137" t="s">
        <v>439</v>
      </c>
      <c r="AJ137" t="s">
        <v>88</v>
      </c>
      <c r="AK137" t="s">
        <v>108</v>
      </c>
      <c r="AM137">
        <v>1955</v>
      </c>
      <c r="AN137">
        <v>2302</v>
      </c>
    </row>
    <row r="138" spans="1:40" x14ac:dyDescent="0.35">
      <c r="A138" t="s">
        <v>379</v>
      </c>
      <c r="B138" t="s">
        <v>379</v>
      </c>
      <c r="C138" t="s">
        <v>379</v>
      </c>
      <c r="D138" t="s">
        <v>379</v>
      </c>
      <c r="E138" t="s">
        <v>379</v>
      </c>
      <c r="F138" t="s">
        <v>379</v>
      </c>
      <c r="G138" t="s">
        <v>379</v>
      </c>
      <c r="H138" t="s">
        <v>379</v>
      </c>
      <c r="I138" t="s">
        <v>379</v>
      </c>
      <c r="J138" t="s">
        <v>379</v>
      </c>
      <c r="K138" t="s">
        <v>379</v>
      </c>
      <c r="L138" t="s">
        <v>379</v>
      </c>
      <c r="M138" t="s">
        <v>379</v>
      </c>
      <c r="N138" t="s">
        <v>379</v>
      </c>
      <c r="O138" t="s">
        <v>379</v>
      </c>
      <c r="P138" t="s">
        <v>379</v>
      </c>
      <c r="Q138" t="s">
        <v>379</v>
      </c>
      <c r="R138" t="s">
        <v>379</v>
      </c>
      <c r="S138" t="s">
        <v>379</v>
      </c>
      <c r="T138" t="s">
        <v>379</v>
      </c>
      <c r="U138" t="s">
        <v>379</v>
      </c>
      <c r="V138" t="s">
        <v>379</v>
      </c>
      <c r="W138" t="s">
        <v>379</v>
      </c>
      <c r="X138" t="s">
        <v>379</v>
      </c>
      <c r="Y138" t="s">
        <v>379</v>
      </c>
      <c r="Z138" t="s">
        <v>379</v>
      </c>
      <c r="AA138" t="s">
        <v>379</v>
      </c>
      <c r="AB138" t="s">
        <v>379</v>
      </c>
      <c r="AC138" t="s">
        <v>436</v>
      </c>
      <c r="AD138" t="s">
        <v>435</v>
      </c>
      <c r="AE138">
        <v>10</v>
      </c>
      <c r="AF138">
        <v>7</v>
      </c>
      <c r="AH138" t="s">
        <v>384</v>
      </c>
      <c r="AJ138" t="s">
        <v>44</v>
      </c>
      <c r="AK138" t="s">
        <v>109</v>
      </c>
      <c r="AM138">
        <v>970</v>
      </c>
      <c r="AN138">
        <v>1431</v>
      </c>
    </row>
    <row r="139" spans="1:40" x14ac:dyDescent="0.35">
      <c r="A139" t="s">
        <v>379</v>
      </c>
      <c r="B139" t="s">
        <v>379</v>
      </c>
      <c r="C139" t="s">
        <v>379</v>
      </c>
      <c r="D139" t="s">
        <v>379</v>
      </c>
      <c r="E139" t="s">
        <v>379</v>
      </c>
      <c r="F139" t="s">
        <v>379</v>
      </c>
      <c r="G139" t="s">
        <v>379</v>
      </c>
      <c r="H139" t="s">
        <v>379</v>
      </c>
      <c r="I139" t="s">
        <v>379</v>
      </c>
      <c r="J139" t="s">
        <v>379</v>
      </c>
      <c r="K139" t="s">
        <v>379</v>
      </c>
      <c r="L139" t="s">
        <v>379</v>
      </c>
      <c r="M139" t="s">
        <v>379</v>
      </c>
      <c r="N139" t="s">
        <v>379</v>
      </c>
      <c r="O139" t="s">
        <v>379</v>
      </c>
      <c r="P139" t="s">
        <v>379</v>
      </c>
      <c r="Q139" t="s">
        <v>379</v>
      </c>
      <c r="R139" t="s">
        <v>379</v>
      </c>
      <c r="S139" t="s">
        <v>379</v>
      </c>
      <c r="T139" t="s">
        <v>379</v>
      </c>
      <c r="U139" t="s">
        <v>379</v>
      </c>
      <c r="V139" t="s">
        <v>379</v>
      </c>
      <c r="W139" t="s">
        <v>379</v>
      </c>
      <c r="X139" t="s">
        <v>379</v>
      </c>
      <c r="Y139" t="s">
        <v>379</v>
      </c>
      <c r="Z139" t="s">
        <v>379</v>
      </c>
      <c r="AA139" t="s">
        <v>379</v>
      </c>
      <c r="AB139" t="s">
        <v>379</v>
      </c>
      <c r="AC139" t="s">
        <v>436</v>
      </c>
      <c r="AD139" t="s">
        <v>435</v>
      </c>
      <c r="AE139">
        <v>10</v>
      </c>
      <c r="AF139">
        <v>8</v>
      </c>
      <c r="AG139">
        <v>1</v>
      </c>
      <c r="AH139" t="s">
        <v>437</v>
      </c>
      <c r="AJ139" t="s">
        <v>86</v>
      </c>
      <c r="AK139" t="s">
        <v>108</v>
      </c>
      <c r="AM139">
        <v>1606</v>
      </c>
      <c r="AN139">
        <v>504</v>
      </c>
    </row>
    <row r="140" spans="1:40" x14ac:dyDescent="0.35">
      <c r="A140" t="s">
        <v>379</v>
      </c>
      <c r="B140" t="s">
        <v>379</v>
      </c>
      <c r="C140" t="s">
        <v>379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379</v>
      </c>
      <c r="K140" t="s">
        <v>379</v>
      </c>
      <c r="L140" t="s">
        <v>379</v>
      </c>
      <c r="M140" t="s">
        <v>379</v>
      </c>
      <c r="N140" t="s">
        <v>379</v>
      </c>
      <c r="O140" t="s">
        <v>379</v>
      </c>
      <c r="P140" t="s">
        <v>379</v>
      </c>
      <c r="Q140" t="s">
        <v>379</v>
      </c>
      <c r="R140" t="s">
        <v>379</v>
      </c>
      <c r="S140" t="s">
        <v>379</v>
      </c>
      <c r="T140" t="s">
        <v>379</v>
      </c>
      <c r="U140" t="s">
        <v>379</v>
      </c>
      <c r="V140" t="s">
        <v>379</v>
      </c>
      <c r="W140" t="s">
        <v>379</v>
      </c>
      <c r="X140" t="s">
        <v>379</v>
      </c>
      <c r="Y140" t="s">
        <v>379</v>
      </c>
      <c r="Z140" t="s">
        <v>379</v>
      </c>
      <c r="AA140" t="s">
        <v>379</v>
      </c>
      <c r="AB140" t="s">
        <v>379</v>
      </c>
      <c r="AC140" t="s">
        <v>436</v>
      </c>
      <c r="AD140" t="s">
        <v>435</v>
      </c>
      <c r="AE140">
        <v>10</v>
      </c>
      <c r="AF140">
        <v>9</v>
      </c>
      <c r="AG140">
        <v>1</v>
      </c>
      <c r="AH140" t="s">
        <v>438</v>
      </c>
      <c r="AJ140" t="s">
        <v>87</v>
      </c>
      <c r="AK140" t="s">
        <v>108</v>
      </c>
      <c r="AM140">
        <v>2312</v>
      </c>
      <c r="AN140">
        <v>2014</v>
      </c>
    </row>
    <row r="141" spans="1:40" x14ac:dyDescent="0.35">
      <c r="A141" t="s">
        <v>379</v>
      </c>
      <c r="B141" t="s">
        <v>379</v>
      </c>
      <c r="C141" t="s">
        <v>379</v>
      </c>
      <c r="D141" t="s">
        <v>379</v>
      </c>
      <c r="E141" t="s">
        <v>379</v>
      </c>
      <c r="F141" t="s">
        <v>379</v>
      </c>
      <c r="G141" t="s">
        <v>379</v>
      </c>
      <c r="H141" t="s">
        <v>379</v>
      </c>
      <c r="I141" t="s">
        <v>379</v>
      </c>
      <c r="J141" t="s">
        <v>379</v>
      </c>
      <c r="K141" t="s">
        <v>379</v>
      </c>
      <c r="L141" t="s">
        <v>379</v>
      </c>
      <c r="M141" t="s">
        <v>379</v>
      </c>
      <c r="N141" t="s">
        <v>379</v>
      </c>
      <c r="O141" t="s">
        <v>379</v>
      </c>
      <c r="P141" t="s">
        <v>379</v>
      </c>
      <c r="Q141" t="s">
        <v>379</v>
      </c>
      <c r="R141" t="s">
        <v>379</v>
      </c>
      <c r="S141" t="s">
        <v>379</v>
      </c>
      <c r="T141" t="s">
        <v>379</v>
      </c>
      <c r="U141" t="s">
        <v>379</v>
      </c>
      <c r="V141" t="s">
        <v>379</v>
      </c>
      <c r="W141" t="s">
        <v>379</v>
      </c>
      <c r="X141" t="s">
        <v>379</v>
      </c>
      <c r="Y141" t="s">
        <v>379</v>
      </c>
      <c r="Z141" t="s">
        <v>379</v>
      </c>
      <c r="AA141" t="s">
        <v>379</v>
      </c>
      <c r="AB141" t="s">
        <v>379</v>
      </c>
      <c r="AC141" t="s">
        <v>436</v>
      </c>
      <c r="AD141" t="s">
        <v>435</v>
      </c>
      <c r="AE141">
        <v>10</v>
      </c>
      <c r="AF141">
        <v>10</v>
      </c>
      <c r="AG141">
        <v>1</v>
      </c>
      <c r="AH141" t="s">
        <v>437</v>
      </c>
      <c r="AJ141" t="s">
        <v>86</v>
      </c>
      <c r="AK141" t="s">
        <v>108</v>
      </c>
      <c r="AM141">
        <v>2064</v>
      </c>
      <c r="AN141">
        <v>786</v>
      </c>
    </row>
    <row r="142" spans="1:40" x14ac:dyDescent="0.35">
      <c r="A142" t="s">
        <v>379</v>
      </c>
      <c r="B142" t="s">
        <v>379</v>
      </c>
      <c r="C142" t="s">
        <v>379</v>
      </c>
      <c r="D142" t="s">
        <v>379</v>
      </c>
      <c r="E142" t="s">
        <v>379</v>
      </c>
      <c r="F142" t="s">
        <v>379</v>
      </c>
      <c r="G142" t="s">
        <v>379</v>
      </c>
      <c r="H142" t="s">
        <v>379</v>
      </c>
      <c r="I142" t="s">
        <v>379</v>
      </c>
      <c r="J142" t="s">
        <v>379</v>
      </c>
      <c r="K142" t="s">
        <v>379</v>
      </c>
      <c r="L142" t="s">
        <v>379</v>
      </c>
      <c r="M142" t="s">
        <v>379</v>
      </c>
      <c r="N142" t="s">
        <v>379</v>
      </c>
      <c r="O142" t="s">
        <v>379</v>
      </c>
      <c r="P142" t="s">
        <v>379</v>
      </c>
      <c r="Q142" t="s">
        <v>379</v>
      </c>
      <c r="R142" t="s">
        <v>379</v>
      </c>
      <c r="S142" t="s">
        <v>379</v>
      </c>
      <c r="T142" t="s">
        <v>379</v>
      </c>
      <c r="U142" t="s">
        <v>379</v>
      </c>
      <c r="V142" t="s">
        <v>379</v>
      </c>
      <c r="W142" t="s">
        <v>379</v>
      </c>
      <c r="X142" t="s">
        <v>379</v>
      </c>
      <c r="Y142" t="s">
        <v>379</v>
      </c>
      <c r="Z142" t="s">
        <v>379</v>
      </c>
      <c r="AA142" t="s">
        <v>379</v>
      </c>
      <c r="AB142" t="s">
        <v>379</v>
      </c>
      <c r="AC142" t="s">
        <v>441</v>
      </c>
      <c r="AD142" t="s">
        <v>440</v>
      </c>
      <c r="AE142">
        <v>10</v>
      </c>
      <c r="AF142">
        <v>1</v>
      </c>
      <c r="AG142">
        <v>1</v>
      </c>
      <c r="AH142" t="s">
        <v>442</v>
      </c>
      <c r="AJ142" t="s">
        <v>90</v>
      </c>
      <c r="AK142" t="s">
        <v>108</v>
      </c>
      <c r="AM142">
        <v>1980</v>
      </c>
      <c r="AN142">
        <v>1433</v>
      </c>
    </row>
    <row r="143" spans="1:40" x14ac:dyDescent="0.35">
      <c r="A143" t="s">
        <v>379</v>
      </c>
      <c r="B143" t="s">
        <v>379</v>
      </c>
      <c r="C143" t="s">
        <v>379</v>
      </c>
      <c r="D143" t="s">
        <v>379</v>
      </c>
      <c r="E143" t="s">
        <v>379</v>
      </c>
      <c r="F143" t="s">
        <v>379</v>
      </c>
      <c r="G143" t="s">
        <v>379</v>
      </c>
      <c r="H143" t="s">
        <v>379</v>
      </c>
      <c r="I143" t="s">
        <v>379</v>
      </c>
      <c r="J143" t="s">
        <v>379</v>
      </c>
      <c r="K143" t="s">
        <v>379</v>
      </c>
      <c r="L143" t="s">
        <v>379</v>
      </c>
      <c r="M143" t="s">
        <v>379</v>
      </c>
      <c r="N143" t="s">
        <v>379</v>
      </c>
      <c r="O143" t="s">
        <v>379</v>
      </c>
      <c r="P143" t="s">
        <v>379</v>
      </c>
      <c r="Q143" t="s">
        <v>379</v>
      </c>
      <c r="R143" t="s">
        <v>379</v>
      </c>
      <c r="S143" t="s">
        <v>379</v>
      </c>
      <c r="T143" t="s">
        <v>379</v>
      </c>
      <c r="U143" t="s">
        <v>379</v>
      </c>
      <c r="V143" t="s">
        <v>379</v>
      </c>
      <c r="W143" t="s">
        <v>379</v>
      </c>
      <c r="X143" t="s">
        <v>379</v>
      </c>
      <c r="Y143" t="s">
        <v>379</v>
      </c>
      <c r="Z143" t="s">
        <v>379</v>
      </c>
      <c r="AA143" t="s">
        <v>379</v>
      </c>
      <c r="AB143" t="s">
        <v>379</v>
      </c>
      <c r="AC143" t="s">
        <v>441</v>
      </c>
      <c r="AD143" t="s">
        <v>440</v>
      </c>
      <c r="AE143">
        <v>10</v>
      </c>
      <c r="AF143">
        <v>2</v>
      </c>
      <c r="AH143" t="s">
        <v>116</v>
      </c>
      <c r="AJ143" t="s">
        <v>41</v>
      </c>
      <c r="AK143" t="s">
        <v>116</v>
      </c>
      <c r="AM143">
        <v>1491</v>
      </c>
      <c r="AN143">
        <v>278</v>
      </c>
    </row>
    <row r="144" spans="1:40" x14ac:dyDescent="0.35">
      <c r="A144" t="s">
        <v>379</v>
      </c>
      <c r="B144" t="s">
        <v>379</v>
      </c>
      <c r="C144" t="s">
        <v>379</v>
      </c>
      <c r="D144" t="s">
        <v>379</v>
      </c>
      <c r="E144" t="s">
        <v>379</v>
      </c>
      <c r="F144" t="s">
        <v>379</v>
      </c>
      <c r="G144" t="s">
        <v>379</v>
      </c>
      <c r="H144" t="s">
        <v>379</v>
      </c>
      <c r="I144" t="s">
        <v>379</v>
      </c>
      <c r="J144" t="s">
        <v>379</v>
      </c>
      <c r="K144" t="s">
        <v>379</v>
      </c>
      <c r="L144" t="s">
        <v>379</v>
      </c>
      <c r="M144" t="s">
        <v>379</v>
      </c>
      <c r="N144" t="s">
        <v>379</v>
      </c>
      <c r="O144" t="s">
        <v>379</v>
      </c>
      <c r="P144" t="s">
        <v>379</v>
      </c>
      <c r="Q144" t="s">
        <v>379</v>
      </c>
      <c r="R144" t="s">
        <v>379</v>
      </c>
      <c r="S144" t="s">
        <v>379</v>
      </c>
      <c r="T144" t="s">
        <v>379</v>
      </c>
      <c r="U144" t="s">
        <v>379</v>
      </c>
      <c r="V144" t="s">
        <v>379</v>
      </c>
      <c r="W144" t="s">
        <v>379</v>
      </c>
      <c r="X144" t="s">
        <v>379</v>
      </c>
      <c r="Y144" t="s">
        <v>379</v>
      </c>
      <c r="Z144" t="s">
        <v>379</v>
      </c>
      <c r="AA144" t="s">
        <v>379</v>
      </c>
      <c r="AB144" t="s">
        <v>379</v>
      </c>
      <c r="AC144" t="s">
        <v>441</v>
      </c>
      <c r="AD144" t="s">
        <v>440</v>
      </c>
      <c r="AE144">
        <v>10</v>
      </c>
      <c r="AF144">
        <v>3</v>
      </c>
      <c r="AG144">
        <v>1</v>
      </c>
      <c r="AH144" t="s">
        <v>400</v>
      </c>
      <c r="AJ144" t="s">
        <v>58</v>
      </c>
      <c r="AK144" t="s">
        <v>108</v>
      </c>
      <c r="AM144">
        <v>1916</v>
      </c>
      <c r="AN144">
        <v>1264</v>
      </c>
    </row>
    <row r="145" spans="1:40" x14ac:dyDescent="0.35">
      <c r="A145" t="s">
        <v>379</v>
      </c>
      <c r="B145" t="s">
        <v>379</v>
      </c>
      <c r="C145" t="s">
        <v>379</v>
      </c>
      <c r="D145" t="s">
        <v>379</v>
      </c>
      <c r="E145" t="s">
        <v>379</v>
      </c>
      <c r="F145" t="s">
        <v>379</v>
      </c>
      <c r="G145" t="s">
        <v>379</v>
      </c>
      <c r="H145" t="s">
        <v>379</v>
      </c>
      <c r="I145" t="s">
        <v>379</v>
      </c>
      <c r="J145" t="s">
        <v>379</v>
      </c>
      <c r="K145" t="s">
        <v>379</v>
      </c>
      <c r="L145" t="s">
        <v>379</v>
      </c>
      <c r="M145" t="s">
        <v>379</v>
      </c>
      <c r="N145" t="s">
        <v>379</v>
      </c>
      <c r="O145" t="s">
        <v>379</v>
      </c>
      <c r="P145" t="s">
        <v>379</v>
      </c>
      <c r="Q145" t="s">
        <v>379</v>
      </c>
      <c r="R145" t="s">
        <v>379</v>
      </c>
      <c r="S145" t="s">
        <v>379</v>
      </c>
      <c r="T145" t="s">
        <v>379</v>
      </c>
      <c r="U145" t="s">
        <v>379</v>
      </c>
      <c r="V145" t="s">
        <v>379</v>
      </c>
      <c r="W145" t="s">
        <v>379</v>
      </c>
      <c r="X145" t="s">
        <v>379</v>
      </c>
      <c r="Y145" t="s">
        <v>379</v>
      </c>
      <c r="Z145" t="s">
        <v>379</v>
      </c>
      <c r="AA145" t="s">
        <v>379</v>
      </c>
      <c r="AB145" t="s">
        <v>379</v>
      </c>
      <c r="AC145" t="s">
        <v>441</v>
      </c>
      <c r="AD145" t="s">
        <v>440</v>
      </c>
      <c r="AE145">
        <v>10</v>
      </c>
      <c r="AF145">
        <v>4</v>
      </c>
      <c r="AH145" t="s">
        <v>384</v>
      </c>
      <c r="AJ145" t="s">
        <v>44</v>
      </c>
      <c r="AK145" t="s">
        <v>109</v>
      </c>
      <c r="AM145">
        <v>2923</v>
      </c>
      <c r="AN145">
        <v>884</v>
      </c>
    </row>
    <row r="146" spans="1:40" x14ac:dyDescent="0.35">
      <c r="A146" t="s">
        <v>379</v>
      </c>
      <c r="B146" t="s">
        <v>379</v>
      </c>
      <c r="C146" t="s">
        <v>379</v>
      </c>
      <c r="D146" t="s">
        <v>379</v>
      </c>
      <c r="E146" t="s">
        <v>379</v>
      </c>
      <c r="F146" t="s">
        <v>379</v>
      </c>
      <c r="G146" t="s">
        <v>379</v>
      </c>
      <c r="H146" t="s">
        <v>379</v>
      </c>
      <c r="I146" t="s">
        <v>379</v>
      </c>
      <c r="J146" t="s">
        <v>379</v>
      </c>
      <c r="K146" t="s">
        <v>379</v>
      </c>
      <c r="L146" t="s">
        <v>379</v>
      </c>
      <c r="M146" t="s">
        <v>379</v>
      </c>
      <c r="N146" t="s">
        <v>379</v>
      </c>
      <c r="O146" t="s">
        <v>379</v>
      </c>
      <c r="P146" t="s">
        <v>379</v>
      </c>
      <c r="Q146" t="s">
        <v>379</v>
      </c>
      <c r="R146" t="s">
        <v>379</v>
      </c>
      <c r="S146" t="s">
        <v>379</v>
      </c>
      <c r="T146" t="s">
        <v>379</v>
      </c>
      <c r="U146" t="s">
        <v>379</v>
      </c>
      <c r="V146" t="s">
        <v>379</v>
      </c>
      <c r="W146" t="s">
        <v>379</v>
      </c>
      <c r="X146" t="s">
        <v>379</v>
      </c>
      <c r="Y146" t="s">
        <v>379</v>
      </c>
      <c r="Z146" t="s">
        <v>379</v>
      </c>
      <c r="AA146" t="s">
        <v>379</v>
      </c>
      <c r="AB146" t="s">
        <v>379</v>
      </c>
      <c r="AC146" t="s">
        <v>441</v>
      </c>
      <c r="AD146" t="s">
        <v>440</v>
      </c>
      <c r="AE146">
        <v>10</v>
      </c>
      <c r="AF146">
        <v>5</v>
      </c>
      <c r="AH146" t="s">
        <v>389</v>
      </c>
      <c r="AJ146" t="s">
        <v>48</v>
      </c>
      <c r="AK146" t="s">
        <v>109</v>
      </c>
      <c r="AM146">
        <v>1216</v>
      </c>
      <c r="AN146">
        <v>1368</v>
      </c>
    </row>
    <row r="147" spans="1:40" x14ac:dyDescent="0.35">
      <c r="A147" t="s">
        <v>379</v>
      </c>
      <c r="B147" t="s">
        <v>379</v>
      </c>
      <c r="C147" t="s">
        <v>379</v>
      </c>
      <c r="D147" t="s">
        <v>379</v>
      </c>
      <c r="E147" t="s">
        <v>379</v>
      </c>
      <c r="F147" t="s">
        <v>379</v>
      </c>
      <c r="G147" t="s">
        <v>379</v>
      </c>
      <c r="H147" t="s">
        <v>379</v>
      </c>
      <c r="I147" t="s">
        <v>379</v>
      </c>
      <c r="J147" t="s">
        <v>379</v>
      </c>
      <c r="K147" t="s">
        <v>379</v>
      </c>
      <c r="L147" t="s">
        <v>379</v>
      </c>
      <c r="M147" t="s">
        <v>379</v>
      </c>
      <c r="N147" t="s">
        <v>379</v>
      </c>
      <c r="O147" t="s">
        <v>379</v>
      </c>
      <c r="P147" t="s">
        <v>379</v>
      </c>
      <c r="Q147" t="s">
        <v>379</v>
      </c>
      <c r="R147" t="s">
        <v>379</v>
      </c>
      <c r="S147" t="s">
        <v>379</v>
      </c>
      <c r="T147" t="s">
        <v>379</v>
      </c>
      <c r="U147" t="s">
        <v>379</v>
      </c>
      <c r="V147" t="s">
        <v>379</v>
      </c>
      <c r="W147" t="s">
        <v>379</v>
      </c>
      <c r="X147" t="s">
        <v>379</v>
      </c>
      <c r="Y147" t="s">
        <v>379</v>
      </c>
      <c r="Z147" t="s">
        <v>379</v>
      </c>
      <c r="AA147" t="s">
        <v>379</v>
      </c>
      <c r="AB147" t="s">
        <v>379</v>
      </c>
      <c r="AC147" t="s">
        <v>441</v>
      </c>
      <c r="AD147" t="s">
        <v>440</v>
      </c>
      <c r="AE147">
        <v>10</v>
      </c>
      <c r="AF147">
        <v>6</v>
      </c>
      <c r="AG147">
        <v>1</v>
      </c>
      <c r="AH147" t="s">
        <v>427</v>
      </c>
      <c r="AJ147" t="s">
        <v>80</v>
      </c>
      <c r="AK147" t="s">
        <v>108</v>
      </c>
      <c r="AM147">
        <v>1030</v>
      </c>
      <c r="AN147">
        <v>571</v>
      </c>
    </row>
    <row r="148" spans="1:40" x14ac:dyDescent="0.35">
      <c r="A148" t="s">
        <v>379</v>
      </c>
      <c r="B148" t="s">
        <v>379</v>
      </c>
      <c r="C148" t="s">
        <v>379</v>
      </c>
      <c r="D148" t="s">
        <v>379</v>
      </c>
      <c r="E148" t="s">
        <v>379</v>
      </c>
      <c r="F148" t="s">
        <v>379</v>
      </c>
      <c r="G148" t="s">
        <v>379</v>
      </c>
      <c r="H148" t="s">
        <v>379</v>
      </c>
      <c r="I148" t="s">
        <v>379</v>
      </c>
      <c r="J148" t="s">
        <v>379</v>
      </c>
      <c r="K148" t="s">
        <v>379</v>
      </c>
      <c r="L148" t="s">
        <v>379</v>
      </c>
      <c r="M148" t="s">
        <v>379</v>
      </c>
      <c r="N148" t="s">
        <v>379</v>
      </c>
      <c r="O148" t="s">
        <v>379</v>
      </c>
      <c r="P148" t="s">
        <v>379</v>
      </c>
      <c r="Q148" t="s">
        <v>379</v>
      </c>
      <c r="R148" t="s">
        <v>379</v>
      </c>
      <c r="S148" t="s">
        <v>379</v>
      </c>
      <c r="T148" t="s">
        <v>379</v>
      </c>
      <c r="U148" t="s">
        <v>379</v>
      </c>
      <c r="V148" t="s">
        <v>379</v>
      </c>
      <c r="W148" t="s">
        <v>379</v>
      </c>
      <c r="X148" t="s">
        <v>379</v>
      </c>
      <c r="Y148" t="s">
        <v>379</v>
      </c>
      <c r="Z148" t="s">
        <v>379</v>
      </c>
      <c r="AA148" t="s">
        <v>379</v>
      </c>
      <c r="AB148" t="s">
        <v>379</v>
      </c>
      <c r="AC148" t="s">
        <v>441</v>
      </c>
      <c r="AD148" t="s">
        <v>440</v>
      </c>
      <c r="AE148">
        <v>10</v>
      </c>
      <c r="AF148">
        <v>7</v>
      </c>
      <c r="AG148">
        <v>1</v>
      </c>
      <c r="AH148" t="s">
        <v>388</v>
      </c>
      <c r="AJ148" t="s">
        <v>47</v>
      </c>
      <c r="AK148" t="s">
        <v>108</v>
      </c>
      <c r="AM148">
        <v>2648</v>
      </c>
      <c r="AN148">
        <v>2081</v>
      </c>
    </row>
    <row r="149" spans="1:40" x14ac:dyDescent="0.35">
      <c r="A149" t="s">
        <v>379</v>
      </c>
      <c r="B149" t="s">
        <v>379</v>
      </c>
      <c r="C149" t="s">
        <v>379</v>
      </c>
      <c r="D149" t="s">
        <v>379</v>
      </c>
      <c r="E149" t="s">
        <v>379</v>
      </c>
      <c r="F149" t="s">
        <v>379</v>
      </c>
      <c r="G149" t="s">
        <v>379</v>
      </c>
      <c r="H149" t="s">
        <v>379</v>
      </c>
      <c r="I149" t="s">
        <v>379</v>
      </c>
      <c r="J149" t="s">
        <v>379</v>
      </c>
      <c r="K149" t="s">
        <v>379</v>
      </c>
      <c r="L149" t="s">
        <v>379</v>
      </c>
      <c r="M149" t="s">
        <v>379</v>
      </c>
      <c r="N149" t="s">
        <v>379</v>
      </c>
      <c r="O149" t="s">
        <v>379</v>
      </c>
      <c r="P149" t="s">
        <v>379</v>
      </c>
      <c r="Q149" t="s">
        <v>379</v>
      </c>
      <c r="R149" t="s">
        <v>379</v>
      </c>
      <c r="S149" t="s">
        <v>379</v>
      </c>
      <c r="T149" t="s">
        <v>379</v>
      </c>
      <c r="U149" t="s">
        <v>379</v>
      </c>
      <c r="V149" t="s">
        <v>379</v>
      </c>
      <c r="W149" t="s">
        <v>379</v>
      </c>
      <c r="X149" t="s">
        <v>379</v>
      </c>
      <c r="Y149" t="s">
        <v>379</v>
      </c>
      <c r="Z149" t="s">
        <v>379</v>
      </c>
      <c r="AA149" t="s">
        <v>379</v>
      </c>
      <c r="AB149" t="s">
        <v>379</v>
      </c>
      <c r="AC149" t="s">
        <v>441</v>
      </c>
      <c r="AD149" t="s">
        <v>440</v>
      </c>
      <c r="AE149">
        <v>10</v>
      </c>
      <c r="AF149">
        <v>8</v>
      </c>
      <c r="AH149" t="s">
        <v>116</v>
      </c>
      <c r="AJ149" t="s">
        <v>41</v>
      </c>
      <c r="AK149" t="s">
        <v>116</v>
      </c>
      <c r="AM149">
        <v>1109</v>
      </c>
      <c r="AN149">
        <v>399</v>
      </c>
    </row>
    <row r="150" spans="1:40" x14ac:dyDescent="0.35">
      <c r="A150" t="s">
        <v>379</v>
      </c>
      <c r="B150" t="s">
        <v>379</v>
      </c>
      <c r="C150" t="s">
        <v>379</v>
      </c>
      <c r="D150" t="s">
        <v>379</v>
      </c>
      <c r="E150" t="s">
        <v>379</v>
      </c>
      <c r="F150" t="s">
        <v>379</v>
      </c>
      <c r="G150" t="s">
        <v>379</v>
      </c>
      <c r="H150" t="s">
        <v>379</v>
      </c>
      <c r="I150" t="s">
        <v>379</v>
      </c>
      <c r="J150" t="s">
        <v>379</v>
      </c>
      <c r="K150" t="s">
        <v>379</v>
      </c>
      <c r="L150" t="s">
        <v>379</v>
      </c>
      <c r="M150" t="s">
        <v>379</v>
      </c>
      <c r="N150" t="s">
        <v>379</v>
      </c>
      <c r="O150" t="s">
        <v>379</v>
      </c>
      <c r="P150" t="s">
        <v>379</v>
      </c>
      <c r="Q150" t="s">
        <v>379</v>
      </c>
      <c r="R150" t="s">
        <v>379</v>
      </c>
      <c r="S150" t="s">
        <v>379</v>
      </c>
      <c r="T150" t="s">
        <v>379</v>
      </c>
      <c r="U150" t="s">
        <v>379</v>
      </c>
      <c r="V150" t="s">
        <v>379</v>
      </c>
      <c r="W150" t="s">
        <v>379</v>
      </c>
      <c r="X150" t="s">
        <v>379</v>
      </c>
      <c r="Y150" t="s">
        <v>379</v>
      </c>
      <c r="Z150" t="s">
        <v>379</v>
      </c>
      <c r="AA150" t="s">
        <v>379</v>
      </c>
      <c r="AB150" t="s">
        <v>379</v>
      </c>
      <c r="AC150" t="s">
        <v>441</v>
      </c>
      <c r="AD150" t="s">
        <v>440</v>
      </c>
      <c r="AE150">
        <v>10</v>
      </c>
      <c r="AF150">
        <v>9</v>
      </c>
      <c r="AG150">
        <v>1</v>
      </c>
      <c r="AH150" t="s">
        <v>427</v>
      </c>
      <c r="AJ150" t="s">
        <v>80</v>
      </c>
      <c r="AK150" t="s">
        <v>108</v>
      </c>
      <c r="AM150">
        <v>1379</v>
      </c>
      <c r="AN150">
        <v>11</v>
      </c>
    </row>
    <row r="151" spans="1:40" x14ac:dyDescent="0.35">
      <c r="A151" t="s">
        <v>379</v>
      </c>
      <c r="B151" t="s">
        <v>379</v>
      </c>
      <c r="C151" t="s">
        <v>379</v>
      </c>
      <c r="D151" t="s">
        <v>379</v>
      </c>
      <c r="E151" t="s">
        <v>379</v>
      </c>
      <c r="F151" t="s">
        <v>379</v>
      </c>
      <c r="G151" t="s">
        <v>379</v>
      </c>
      <c r="H151" t="s">
        <v>379</v>
      </c>
      <c r="I151" t="s">
        <v>379</v>
      </c>
      <c r="J151" t="s">
        <v>379</v>
      </c>
      <c r="K151" t="s">
        <v>379</v>
      </c>
      <c r="L151" t="s">
        <v>379</v>
      </c>
      <c r="M151" t="s">
        <v>379</v>
      </c>
      <c r="N151" t="s">
        <v>379</v>
      </c>
      <c r="O151" t="s">
        <v>379</v>
      </c>
      <c r="P151" t="s">
        <v>379</v>
      </c>
      <c r="Q151" t="s">
        <v>379</v>
      </c>
      <c r="R151" t="s">
        <v>379</v>
      </c>
      <c r="S151" t="s">
        <v>379</v>
      </c>
      <c r="T151" t="s">
        <v>379</v>
      </c>
      <c r="U151" t="s">
        <v>379</v>
      </c>
      <c r="V151" t="s">
        <v>379</v>
      </c>
      <c r="W151" t="s">
        <v>379</v>
      </c>
      <c r="X151" t="s">
        <v>379</v>
      </c>
      <c r="Y151" t="s">
        <v>379</v>
      </c>
      <c r="Z151" t="s">
        <v>379</v>
      </c>
      <c r="AA151" t="s">
        <v>379</v>
      </c>
      <c r="AB151" t="s">
        <v>379</v>
      </c>
      <c r="AC151" t="s">
        <v>441</v>
      </c>
      <c r="AD151" t="s">
        <v>440</v>
      </c>
      <c r="AE151">
        <v>10</v>
      </c>
      <c r="AF151">
        <v>10</v>
      </c>
      <c r="AH151" t="s">
        <v>384</v>
      </c>
      <c r="AJ151" t="s">
        <v>44</v>
      </c>
      <c r="AK151" t="s">
        <v>109</v>
      </c>
      <c r="AM151">
        <v>1551</v>
      </c>
      <c r="AN151">
        <v>465</v>
      </c>
    </row>
    <row r="152" spans="1:40" x14ac:dyDescent="0.35">
      <c r="A152" t="s">
        <v>379</v>
      </c>
      <c r="B152" t="s">
        <v>379</v>
      </c>
      <c r="C152" t="s">
        <v>379</v>
      </c>
      <c r="D152" t="s">
        <v>379</v>
      </c>
      <c r="E152" t="s">
        <v>379</v>
      </c>
      <c r="F152" t="s">
        <v>379</v>
      </c>
      <c r="G152" t="s">
        <v>379</v>
      </c>
      <c r="H152" t="s">
        <v>379</v>
      </c>
      <c r="I152" t="s">
        <v>379</v>
      </c>
      <c r="J152" t="s">
        <v>379</v>
      </c>
      <c r="K152" t="s">
        <v>379</v>
      </c>
      <c r="L152" t="s">
        <v>379</v>
      </c>
      <c r="M152" t="s">
        <v>379</v>
      </c>
      <c r="N152" t="s">
        <v>379</v>
      </c>
      <c r="O152" t="s">
        <v>379</v>
      </c>
      <c r="P152" t="s">
        <v>379</v>
      </c>
      <c r="Q152" t="s">
        <v>379</v>
      </c>
      <c r="R152" t="s">
        <v>379</v>
      </c>
      <c r="S152" t="s">
        <v>379</v>
      </c>
      <c r="T152" t="s">
        <v>379</v>
      </c>
      <c r="U152" t="s">
        <v>379</v>
      </c>
      <c r="V152" t="s">
        <v>379</v>
      </c>
      <c r="W152" t="s">
        <v>379</v>
      </c>
      <c r="X152" t="s">
        <v>379</v>
      </c>
      <c r="Y152" t="s">
        <v>379</v>
      </c>
      <c r="Z152" t="s">
        <v>379</v>
      </c>
      <c r="AA152" t="s">
        <v>379</v>
      </c>
      <c r="AB152" t="s">
        <v>379</v>
      </c>
      <c r="AC152" t="s">
        <v>444</v>
      </c>
      <c r="AD152" t="s">
        <v>443</v>
      </c>
      <c r="AE152">
        <v>10</v>
      </c>
      <c r="AF152">
        <v>1</v>
      </c>
      <c r="AG152">
        <v>1</v>
      </c>
      <c r="AH152" t="s">
        <v>412</v>
      </c>
      <c r="AJ152" t="s">
        <v>68</v>
      </c>
      <c r="AK152" t="s">
        <v>108</v>
      </c>
      <c r="AM152">
        <v>3126</v>
      </c>
      <c r="AN152">
        <v>951</v>
      </c>
    </row>
    <row r="153" spans="1:40" x14ac:dyDescent="0.35">
      <c r="A153" t="s">
        <v>379</v>
      </c>
      <c r="B153" t="s">
        <v>379</v>
      </c>
      <c r="C153" t="s">
        <v>379</v>
      </c>
      <c r="D153" t="s">
        <v>379</v>
      </c>
      <c r="E153" t="s">
        <v>379</v>
      </c>
      <c r="F153" t="s">
        <v>379</v>
      </c>
      <c r="G153" t="s">
        <v>379</v>
      </c>
      <c r="H153" t="s">
        <v>379</v>
      </c>
      <c r="I153" t="s">
        <v>379</v>
      </c>
      <c r="J153" t="s">
        <v>379</v>
      </c>
      <c r="K153" t="s">
        <v>379</v>
      </c>
      <c r="L153" t="s">
        <v>379</v>
      </c>
      <c r="M153" t="s">
        <v>379</v>
      </c>
      <c r="N153" t="s">
        <v>379</v>
      </c>
      <c r="O153" t="s">
        <v>379</v>
      </c>
      <c r="P153" t="s">
        <v>379</v>
      </c>
      <c r="Q153" t="s">
        <v>379</v>
      </c>
      <c r="R153" t="s">
        <v>379</v>
      </c>
      <c r="S153" t="s">
        <v>379</v>
      </c>
      <c r="T153" t="s">
        <v>379</v>
      </c>
      <c r="U153" t="s">
        <v>379</v>
      </c>
      <c r="V153" t="s">
        <v>379</v>
      </c>
      <c r="W153" t="s">
        <v>379</v>
      </c>
      <c r="X153" t="s">
        <v>379</v>
      </c>
      <c r="Y153" t="s">
        <v>379</v>
      </c>
      <c r="Z153" t="s">
        <v>379</v>
      </c>
      <c r="AA153" t="s">
        <v>379</v>
      </c>
      <c r="AB153" t="s">
        <v>379</v>
      </c>
      <c r="AC153" t="s">
        <v>444</v>
      </c>
      <c r="AD153" t="s">
        <v>443</v>
      </c>
      <c r="AE153">
        <v>10</v>
      </c>
      <c r="AF153">
        <v>2</v>
      </c>
      <c r="AH153" t="s">
        <v>384</v>
      </c>
      <c r="AJ153" t="s">
        <v>44</v>
      </c>
      <c r="AK153" t="s">
        <v>109</v>
      </c>
      <c r="AM153">
        <v>2326</v>
      </c>
      <c r="AN153">
        <v>1484</v>
      </c>
    </row>
    <row r="154" spans="1:40" x14ac:dyDescent="0.35">
      <c r="A154" t="s">
        <v>379</v>
      </c>
      <c r="B154" t="s">
        <v>379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379</v>
      </c>
      <c r="K154" t="s">
        <v>379</v>
      </c>
      <c r="L154" t="s">
        <v>379</v>
      </c>
      <c r="M154" t="s">
        <v>379</v>
      </c>
      <c r="N154" t="s">
        <v>379</v>
      </c>
      <c r="O154" t="s">
        <v>379</v>
      </c>
      <c r="P154" t="s">
        <v>379</v>
      </c>
      <c r="Q154" t="s">
        <v>379</v>
      </c>
      <c r="R154" t="s">
        <v>379</v>
      </c>
      <c r="S154" t="s">
        <v>379</v>
      </c>
      <c r="T154" t="s">
        <v>379</v>
      </c>
      <c r="U154" t="s">
        <v>379</v>
      </c>
      <c r="V154" t="s">
        <v>379</v>
      </c>
      <c r="W154" t="s">
        <v>379</v>
      </c>
      <c r="X154" t="s">
        <v>379</v>
      </c>
      <c r="Y154" t="s">
        <v>379</v>
      </c>
      <c r="Z154" t="s">
        <v>379</v>
      </c>
      <c r="AA154" t="s">
        <v>379</v>
      </c>
      <c r="AB154" t="s">
        <v>379</v>
      </c>
      <c r="AC154" t="s">
        <v>444</v>
      </c>
      <c r="AD154" t="s">
        <v>443</v>
      </c>
      <c r="AE154">
        <v>10</v>
      </c>
      <c r="AF154">
        <v>3</v>
      </c>
      <c r="AG154">
        <v>1</v>
      </c>
      <c r="AH154" t="s">
        <v>437</v>
      </c>
      <c r="AJ154" t="s">
        <v>86</v>
      </c>
      <c r="AK154" t="s">
        <v>108</v>
      </c>
      <c r="AM154">
        <v>2514</v>
      </c>
      <c r="AN154">
        <v>2206</v>
      </c>
    </row>
    <row r="155" spans="1:40" x14ac:dyDescent="0.35">
      <c r="A155" t="s">
        <v>379</v>
      </c>
      <c r="B155" t="s">
        <v>379</v>
      </c>
      <c r="C155" t="s">
        <v>379</v>
      </c>
      <c r="D155" t="s">
        <v>379</v>
      </c>
      <c r="E155" t="s">
        <v>379</v>
      </c>
      <c r="F155" t="s">
        <v>379</v>
      </c>
      <c r="G155" t="s">
        <v>379</v>
      </c>
      <c r="H155" t="s">
        <v>379</v>
      </c>
      <c r="I155" t="s">
        <v>379</v>
      </c>
      <c r="J155" t="s">
        <v>379</v>
      </c>
      <c r="K155" t="s">
        <v>379</v>
      </c>
      <c r="L155" t="s">
        <v>379</v>
      </c>
      <c r="M155" t="s">
        <v>379</v>
      </c>
      <c r="N155" t="s">
        <v>379</v>
      </c>
      <c r="O155" t="s">
        <v>379</v>
      </c>
      <c r="P155" t="s">
        <v>379</v>
      </c>
      <c r="Q155" t="s">
        <v>379</v>
      </c>
      <c r="R155" t="s">
        <v>379</v>
      </c>
      <c r="S155" t="s">
        <v>379</v>
      </c>
      <c r="T155" t="s">
        <v>379</v>
      </c>
      <c r="U155" t="s">
        <v>379</v>
      </c>
      <c r="V155" t="s">
        <v>379</v>
      </c>
      <c r="W155" t="s">
        <v>379</v>
      </c>
      <c r="X155" t="s">
        <v>379</v>
      </c>
      <c r="Y155" t="s">
        <v>379</v>
      </c>
      <c r="Z155" t="s">
        <v>379</v>
      </c>
      <c r="AA155" t="s">
        <v>379</v>
      </c>
      <c r="AB155" t="s">
        <v>379</v>
      </c>
      <c r="AC155" t="s">
        <v>444</v>
      </c>
      <c r="AD155" t="s">
        <v>443</v>
      </c>
      <c r="AE155">
        <v>10</v>
      </c>
      <c r="AF155">
        <v>4</v>
      </c>
      <c r="AH155" t="s">
        <v>380</v>
      </c>
      <c r="AJ155" t="s">
        <v>37</v>
      </c>
      <c r="AK155" t="s">
        <v>115</v>
      </c>
      <c r="AM155">
        <v>1838</v>
      </c>
      <c r="AN155">
        <v>1072</v>
      </c>
    </row>
    <row r="156" spans="1:40" x14ac:dyDescent="0.35">
      <c r="A156" t="s">
        <v>379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379</v>
      </c>
      <c r="K156" t="s">
        <v>379</v>
      </c>
      <c r="L156" t="s">
        <v>379</v>
      </c>
      <c r="M156" t="s">
        <v>379</v>
      </c>
      <c r="N156" t="s">
        <v>379</v>
      </c>
      <c r="O156" t="s">
        <v>379</v>
      </c>
      <c r="P156" t="s">
        <v>379</v>
      </c>
      <c r="Q156" t="s">
        <v>379</v>
      </c>
      <c r="R156" t="s">
        <v>379</v>
      </c>
      <c r="S156" t="s">
        <v>379</v>
      </c>
      <c r="T156" t="s">
        <v>379</v>
      </c>
      <c r="U156" t="s">
        <v>379</v>
      </c>
      <c r="V156" t="s">
        <v>379</v>
      </c>
      <c r="W156" t="s">
        <v>379</v>
      </c>
      <c r="X156" t="s">
        <v>379</v>
      </c>
      <c r="Y156" t="s">
        <v>379</v>
      </c>
      <c r="Z156" t="s">
        <v>379</v>
      </c>
      <c r="AA156" t="s">
        <v>379</v>
      </c>
      <c r="AB156" t="s">
        <v>379</v>
      </c>
      <c r="AC156" t="s">
        <v>444</v>
      </c>
      <c r="AD156" t="s">
        <v>443</v>
      </c>
      <c r="AE156">
        <v>10</v>
      </c>
      <c r="AF156">
        <v>5</v>
      </c>
      <c r="AH156" t="s">
        <v>384</v>
      </c>
      <c r="AJ156" t="s">
        <v>44</v>
      </c>
      <c r="AK156" t="s">
        <v>109</v>
      </c>
      <c r="AM156">
        <v>3259</v>
      </c>
      <c r="AN156">
        <v>1951</v>
      </c>
    </row>
    <row r="157" spans="1:40" x14ac:dyDescent="0.35">
      <c r="A157" t="s">
        <v>379</v>
      </c>
      <c r="B157" t="s">
        <v>379</v>
      </c>
      <c r="C157" t="s">
        <v>379</v>
      </c>
      <c r="D157" t="s">
        <v>379</v>
      </c>
      <c r="E157" t="s">
        <v>379</v>
      </c>
      <c r="F157" t="s">
        <v>379</v>
      </c>
      <c r="G157" t="s">
        <v>379</v>
      </c>
      <c r="H157" t="s">
        <v>379</v>
      </c>
      <c r="I157" t="s">
        <v>379</v>
      </c>
      <c r="J157" t="s">
        <v>379</v>
      </c>
      <c r="K157" t="s">
        <v>379</v>
      </c>
      <c r="L157" t="s">
        <v>379</v>
      </c>
      <c r="M157" t="s">
        <v>379</v>
      </c>
      <c r="N157" t="s">
        <v>379</v>
      </c>
      <c r="O157" t="s">
        <v>379</v>
      </c>
      <c r="P157" t="s">
        <v>379</v>
      </c>
      <c r="Q157" t="s">
        <v>379</v>
      </c>
      <c r="R157" t="s">
        <v>379</v>
      </c>
      <c r="S157" t="s">
        <v>379</v>
      </c>
      <c r="T157" t="s">
        <v>379</v>
      </c>
      <c r="U157" t="s">
        <v>379</v>
      </c>
      <c r="V157" t="s">
        <v>379</v>
      </c>
      <c r="W157" t="s">
        <v>379</v>
      </c>
      <c r="X157" t="s">
        <v>379</v>
      </c>
      <c r="Y157" t="s">
        <v>379</v>
      </c>
      <c r="Z157" t="s">
        <v>379</v>
      </c>
      <c r="AA157" t="s">
        <v>379</v>
      </c>
      <c r="AB157" t="s">
        <v>379</v>
      </c>
      <c r="AC157" t="s">
        <v>444</v>
      </c>
      <c r="AD157" t="s">
        <v>443</v>
      </c>
      <c r="AE157">
        <v>10</v>
      </c>
      <c r="AF157">
        <v>6</v>
      </c>
      <c r="AG157">
        <v>1</v>
      </c>
      <c r="AH157" t="s">
        <v>445</v>
      </c>
      <c r="AJ157" t="s">
        <v>92</v>
      </c>
      <c r="AK157" t="s">
        <v>108</v>
      </c>
      <c r="AM157">
        <v>498</v>
      </c>
      <c r="AN157">
        <v>2110</v>
      </c>
    </row>
    <row r="158" spans="1:40" x14ac:dyDescent="0.35">
      <c r="A158" t="s">
        <v>379</v>
      </c>
      <c r="B158" t="s">
        <v>379</v>
      </c>
      <c r="C158" t="s">
        <v>379</v>
      </c>
      <c r="D158" t="s">
        <v>379</v>
      </c>
      <c r="E158" t="s">
        <v>379</v>
      </c>
      <c r="F158" t="s">
        <v>379</v>
      </c>
      <c r="G158" t="s">
        <v>379</v>
      </c>
      <c r="H158" t="s">
        <v>379</v>
      </c>
      <c r="I158" t="s">
        <v>379</v>
      </c>
      <c r="J158" t="s">
        <v>379</v>
      </c>
      <c r="K158" t="s">
        <v>379</v>
      </c>
      <c r="L158" t="s">
        <v>379</v>
      </c>
      <c r="M158" t="s">
        <v>379</v>
      </c>
      <c r="N158" t="s">
        <v>379</v>
      </c>
      <c r="O158" t="s">
        <v>379</v>
      </c>
      <c r="P158" t="s">
        <v>379</v>
      </c>
      <c r="Q158" t="s">
        <v>379</v>
      </c>
      <c r="R158" t="s">
        <v>379</v>
      </c>
      <c r="S158" t="s">
        <v>379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444</v>
      </c>
      <c r="AD158" t="s">
        <v>443</v>
      </c>
      <c r="AE158">
        <v>10</v>
      </c>
      <c r="AF158">
        <v>7</v>
      </c>
      <c r="AG158">
        <v>1</v>
      </c>
      <c r="AH158" t="s">
        <v>412</v>
      </c>
      <c r="AJ158" t="s">
        <v>68</v>
      </c>
      <c r="AK158" t="s">
        <v>108</v>
      </c>
      <c r="AM158">
        <v>3257</v>
      </c>
      <c r="AN158">
        <v>910</v>
      </c>
    </row>
    <row r="159" spans="1:40" x14ac:dyDescent="0.35">
      <c r="A159" t="s">
        <v>379</v>
      </c>
      <c r="B159" t="s">
        <v>379</v>
      </c>
      <c r="C159" t="s">
        <v>379</v>
      </c>
      <c r="D159" t="s">
        <v>379</v>
      </c>
      <c r="E159" t="s">
        <v>379</v>
      </c>
      <c r="F159" t="s">
        <v>379</v>
      </c>
      <c r="G159" t="s">
        <v>379</v>
      </c>
      <c r="H159" t="s">
        <v>379</v>
      </c>
      <c r="I159" t="s">
        <v>379</v>
      </c>
      <c r="J159" t="s">
        <v>379</v>
      </c>
      <c r="K159" t="s">
        <v>379</v>
      </c>
      <c r="L159" t="s">
        <v>379</v>
      </c>
      <c r="M159" t="s">
        <v>379</v>
      </c>
      <c r="N159" t="s">
        <v>379</v>
      </c>
      <c r="O159" t="s">
        <v>379</v>
      </c>
      <c r="P159" t="s">
        <v>379</v>
      </c>
      <c r="Q159" t="s">
        <v>379</v>
      </c>
      <c r="R159" t="s">
        <v>379</v>
      </c>
      <c r="S159" t="s">
        <v>379</v>
      </c>
      <c r="T159" t="s">
        <v>379</v>
      </c>
      <c r="U159" t="s">
        <v>379</v>
      </c>
      <c r="V159" t="s">
        <v>379</v>
      </c>
      <c r="W159" t="s">
        <v>379</v>
      </c>
      <c r="X159" t="s">
        <v>379</v>
      </c>
      <c r="Y159" t="s">
        <v>379</v>
      </c>
      <c r="Z159" t="s">
        <v>379</v>
      </c>
      <c r="AA159" t="s">
        <v>379</v>
      </c>
      <c r="AB159" t="s">
        <v>379</v>
      </c>
      <c r="AC159" t="s">
        <v>444</v>
      </c>
      <c r="AD159" t="s">
        <v>443</v>
      </c>
      <c r="AE159">
        <v>10</v>
      </c>
      <c r="AF159">
        <v>8</v>
      </c>
      <c r="AG159">
        <v>1</v>
      </c>
      <c r="AH159" t="s">
        <v>437</v>
      </c>
      <c r="AJ159" t="s">
        <v>86</v>
      </c>
      <c r="AK159" t="s">
        <v>108</v>
      </c>
      <c r="AM159">
        <v>1262</v>
      </c>
      <c r="AN159">
        <v>732</v>
      </c>
    </row>
    <row r="160" spans="1:40" x14ac:dyDescent="0.35">
      <c r="A160" t="s">
        <v>379</v>
      </c>
      <c r="B160" t="s">
        <v>379</v>
      </c>
      <c r="C160" t="s">
        <v>379</v>
      </c>
      <c r="D160" t="s">
        <v>379</v>
      </c>
      <c r="E160" t="s">
        <v>379</v>
      </c>
      <c r="F160" t="s">
        <v>379</v>
      </c>
      <c r="G160" t="s">
        <v>379</v>
      </c>
      <c r="H160" t="s">
        <v>379</v>
      </c>
      <c r="I160" t="s">
        <v>379</v>
      </c>
      <c r="J160" t="s">
        <v>379</v>
      </c>
      <c r="K160" t="s">
        <v>379</v>
      </c>
      <c r="L160" t="s">
        <v>379</v>
      </c>
      <c r="M160" t="s">
        <v>379</v>
      </c>
      <c r="N160" t="s">
        <v>379</v>
      </c>
      <c r="O160" t="s">
        <v>379</v>
      </c>
      <c r="P160" t="s">
        <v>379</v>
      </c>
      <c r="Q160" t="s">
        <v>379</v>
      </c>
      <c r="R160" t="s">
        <v>379</v>
      </c>
      <c r="S160" t="s">
        <v>379</v>
      </c>
      <c r="T160" t="s">
        <v>379</v>
      </c>
      <c r="U160" t="s">
        <v>379</v>
      </c>
      <c r="V160" t="s">
        <v>379</v>
      </c>
      <c r="W160" t="s">
        <v>379</v>
      </c>
      <c r="X160" t="s">
        <v>379</v>
      </c>
      <c r="Y160" t="s">
        <v>379</v>
      </c>
      <c r="Z160" t="s">
        <v>379</v>
      </c>
      <c r="AA160" t="s">
        <v>379</v>
      </c>
      <c r="AB160" t="s">
        <v>379</v>
      </c>
      <c r="AC160" t="s">
        <v>444</v>
      </c>
      <c r="AD160" t="s">
        <v>443</v>
      </c>
      <c r="AE160">
        <v>10</v>
      </c>
      <c r="AF160">
        <v>9</v>
      </c>
      <c r="AG160">
        <v>1</v>
      </c>
      <c r="AH160" t="s">
        <v>446</v>
      </c>
      <c r="AJ160" t="s">
        <v>93</v>
      </c>
      <c r="AK160" t="s">
        <v>108</v>
      </c>
      <c r="AM160">
        <v>1001</v>
      </c>
      <c r="AN160">
        <v>1668</v>
      </c>
    </row>
    <row r="161" spans="1:40" x14ac:dyDescent="0.35">
      <c r="A161" t="s">
        <v>379</v>
      </c>
      <c r="B161" t="s">
        <v>379</v>
      </c>
      <c r="C161" t="s">
        <v>379</v>
      </c>
      <c r="D161" t="s">
        <v>379</v>
      </c>
      <c r="E161" t="s">
        <v>379</v>
      </c>
      <c r="F161" t="s">
        <v>379</v>
      </c>
      <c r="G161" t="s">
        <v>379</v>
      </c>
      <c r="H161" t="s">
        <v>379</v>
      </c>
      <c r="I161" t="s">
        <v>379</v>
      </c>
      <c r="J161" t="s">
        <v>379</v>
      </c>
      <c r="K161" t="s">
        <v>379</v>
      </c>
      <c r="L161" t="s">
        <v>379</v>
      </c>
      <c r="M161" t="s">
        <v>379</v>
      </c>
      <c r="N161" t="s">
        <v>379</v>
      </c>
      <c r="O161" t="s">
        <v>379</v>
      </c>
      <c r="P161" t="s">
        <v>379</v>
      </c>
      <c r="Q161" t="s">
        <v>379</v>
      </c>
      <c r="R161" t="s">
        <v>379</v>
      </c>
      <c r="S161" t="s">
        <v>379</v>
      </c>
      <c r="T161" t="s">
        <v>379</v>
      </c>
      <c r="U161" t="s">
        <v>379</v>
      </c>
      <c r="V161" t="s">
        <v>379</v>
      </c>
      <c r="W161" t="s">
        <v>379</v>
      </c>
      <c r="X161" t="s">
        <v>379</v>
      </c>
      <c r="Y161" t="s">
        <v>379</v>
      </c>
      <c r="Z161" t="s">
        <v>379</v>
      </c>
      <c r="AA161" t="s">
        <v>379</v>
      </c>
      <c r="AB161" t="s">
        <v>379</v>
      </c>
      <c r="AC161" t="s">
        <v>444</v>
      </c>
      <c r="AD161" t="s">
        <v>443</v>
      </c>
      <c r="AE161">
        <v>10</v>
      </c>
      <c r="AF161">
        <v>10</v>
      </c>
      <c r="AG161">
        <v>1</v>
      </c>
      <c r="AH161" t="s">
        <v>446</v>
      </c>
      <c r="AJ161" t="s">
        <v>93</v>
      </c>
      <c r="AK161" t="s">
        <v>108</v>
      </c>
      <c r="AM161">
        <v>668</v>
      </c>
      <c r="AN161">
        <v>1971</v>
      </c>
    </row>
    <row r="162" spans="1:40" x14ac:dyDescent="0.35">
      <c r="A162" t="s">
        <v>379</v>
      </c>
      <c r="B162" t="s">
        <v>379</v>
      </c>
      <c r="C162" t="s">
        <v>379</v>
      </c>
      <c r="D162" t="s">
        <v>379</v>
      </c>
      <c r="E162" t="s">
        <v>379</v>
      </c>
      <c r="F162" t="s">
        <v>379</v>
      </c>
      <c r="G162" t="s">
        <v>379</v>
      </c>
      <c r="H162" t="s">
        <v>379</v>
      </c>
      <c r="I162" t="s">
        <v>379</v>
      </c>
      <c r="J162" t="s">
        <v>379</v>
      </c>
      <c r="K162" t="s">
        <v>379</v>
      </c>
      <c r="L162" t="s">
        <v>379</v>
      </c>
      <c r="M162" t="s">
        <v>379</v>
      </c>
      <c r="N162" t="s">
        <v>379</v>
      </c>
      <c r="O162" t="s">
        <v>379</v>
      </c>
      <c r="P162" t="s">
        <v>379</v>
      </c>
      <c r="Q162" t="s">
        <v>379</v>
      </c>
      <c r="R162" t="s">
        <v>379</v>
      </c>
      <c r="S162" t="s">
        <v>379</v>
      </c>
      <c r="T162" t="s">
        <v>379</v>
      </c>
      <c r="U162" t="s">
        <v>379</v>
      </c>
      <c r="V162" t="s">
        <v>379</v>
      </c>
      <c r="W162" t="s">
        <v>379</v>
      </c>
      <c r="X162" t="s">
        <v>379</v>
      </c>
      <c r="Y162" t="s">
        <v>379</v>
      </c>
      <c r="Z162" t="s">
        <v>379</v>
      </c>
      <c r="AA162" t="s">
        <v>379</v>
      </c>
      <c r="AB162" t="s">
        <v>379</v>
      </c>
      <c r="AC162" t="s">
        <v>448</v>
      </c>
      <c r="AD162" t="s">
        <v>447</v>
      </c>
      <c r="AE162">
        <v>10</v>
      </c>
      <c r="AF162">
        <v>1</v>
      </c>
      <c r="AG162">
        <v>1</v>
      </c>
      <c r="AH162" t="s">
        <v>402</v>
      </c>
      <c r="AJ162" t="s">
        <v>60</v>
      </c>
      <c r="AK162" t="s">
        <v>108</v>
      </c>
      <c r="AM162">
        <v>224</v>
      </c>
      <c r="AN162">
        <v>1740</v>
      </c>
    </row>
    <row r="163" spans="1:40" x14ac:dyDescent="0.35">
      <c r="A163" t="s">
        <v>379</v>
      </c>
      <c r="B163" t="s">
        <v>379</v>
      </c>
      <c r="C163" t="s">
        <v>379</v>
      </c>
      <c r="D163" t="s">
        <v>379</v>
      </c>
      <c r="E163" t="s">
        <v>379</v>
      </c>
      <c r="F163" t="s">
        <v>379</v>
      </c>
      <c r="G163" t="s">
        <v>379</v>
      </c>
      <c r="H163" t="s">
        <v>379</v>
      </c>
      <c r="I163" t="s">
        <v>379</v>
      </c>
      <c r="J163" t="s">
        <v>379</v>
      </c>
      <c r="K163" t="s">
        <v>379</v>
      </c>
      <c r="L163" t="s">
        <v>379</v>
      </c>
      <c r="M163" t="s">
        <v>379</v>
      </c>
      <c r="N163" t="s">
        <v>379</v>
      </c>
      <c r="O163" t="s">
        <v>379</v>
      </c>
      <c r="P163" t="s">
        <v>379</v>
      </c>
      <c r="Q163" t="s">
        <v>379</v>
      </c>
      <c r="R163" t="s">
        <v>379</v>
      </c>
      <c r="S163" t="s">
        <v>379</v>
      </c>
      <c r="T163" t="s">
        <v>379</v>
      </c>
      <c r="U163" t="s">
        <v>379</v>
      </c>
      <c r="V163" t="s">
        <v>379</v>
      </c>
      <c r="W163" t="s">
        <v>379</v>
      </c>
      <c r="X163" t="s">
        <v>379</v>
      </c>
      <c r="Y163" t="s">
        <v>379</v>
      </c>
      <c r="Z163" t="s">
        <v>379</v>
      </c>
      <c r="AA163" t="s">
        <v>379</v>
      </c>
      <c r="AB163" t="s">
        <v>379</v>
      </c>
      <c r="AC163" t="s">
        <v>448</v>
      </c>
      <c r="AD163" t="s">
        <v>447</v>
      </c>
      <c r="AE163">
        <v>10</v>
      </c>
      <c r="AF163">
        <v>2</v>
      </c>
      <c r="AG163">
        <v>1</v>
      </c>
      <c r="AH163" t="s">
        <v>383</v>
      </c>
      <c r="AJ163" t="s">
        <v>43</v>
      </c>
      <c r="AK163" t="s">
        <v>108</v>
      </c>
      <c r="AM163">
        <v>2224</v>
      </c>
      <c r="AN163">
        <v>995</v>
      </c>
    </row>
    <row r="164" spans="1:40" x14ac:dyDescent="0.35">
      <c r="A164" t="s">
        <v>379</v>
      </c>
      <c r="B164" t="s">
        <v>379</v>
      </c>
      <c r="C164" t="s">
        <v>379</v>
      </c>
      <c r="D164" t="s">
        <v>379</v>
      </c>
      <c r="E164" t="s">
        <v>379</v>
      </c>
      <c r="F164" t="s">
        <v>379</v>
      </c>
      <c r="G164" t="s">
        <v>379</v>
      </c>
      <c r="H164" t="s">
        <v>379</v>
      </c>
      <c r="I164" t="s">
        <v>379</v>
      </c>
      <c r="J164" t="s">
        <v>379</v>
      </c>
      <c r="K164" t="s">
        <v>379</v>
      </c>
      <c r="L164" t="s">
        <v>379</v>
      </c>
      <c r="M164" t="s">
        <v>379</v>
      </c>
      <c r="N164" t="s">
        <v>379</v>
      </c>
      <c r="O164" t="s">
        <v>379</v>
      </c>
      <c r="P164" t="s">
        <v>379</v>
      </c>
      <c r="Q164" t="s">
        <v>379</v>
      </c>
      <c r="R164" t="s">
        <v>379</v>
      </c>
      <c r="S164" t="s">
        <v>379</v>
      </c>
      <c r="T164" t="s">
        <v>379</v>
      </c>
      <c r="U164" t="s">
        <v>379</v>
      </c>
      <c r="V164" t="s">
        <v>379</v>
      </c>
      <c r="W164" t="s">
        <v>379</v>
      </c>
      <c r="X164" t="s">
        <v>379</v>
      </c>
      <c r="Y164" t="s">
        <v>379</v>
      </c>
      <c r="Z164" t="s">
        <v>379</v>
      </c>
      <c r="AA164" t="s">
        <v>379</v>
      </c>
      <c r="AB164" t="s">
        <v>379</v>
      </c>
      <c r="AC164" t="s">
        <v>448</v>
      </c>
      <c r="AD164" t="s">
        <v>447</v>
      </c>
      <c r="AE164">
        <v>10</v>
      </c>
      <c r="AF164">
        <v>3</v>
      </c>
      <c r="AG164">
        <v>1</v>
      </c>
      <c r="AH164" t="s">
        <v>445</v>
      </c>
      <c r="AJ164" t="s">
        <v>92</v>
      </c>
      <c r="AK164" t="s">
        <v>108</v>
      </c>
      <c r="AM164">
        <v>1442</v>
      </c>
      <c r="AN164">
        <v>2260</v>
      </c>
    </row>
    <row r="165" spans="1:40" x14ac:dyDescent="0.35">
      <c r="A165" t="s">
        <v>379</v>
      </c>
      <c r="B165" t="s">
        <v>379</v>
      </c>
      <c r="C165" t="s">
        <v>379</v>
      </c>
      <c r="D165" t="s">
        <v>379</v>
      </c>
      <c r="E165" t="s">
        <v>379</v>
      </c>
      <c r="F165" t="s">
        <v>379</v>
      </c>
      <c r="G165" t="s">
        <v>379</v>
      </c>
      <c r="H165" t="s">
        <v>379</v>
      </c>
      <c r="I165" t="s">
        <v>379</v>
      </c>
      <c r="J165" t="s">
        <v>379</v>
      </c>
      <c r="K165" t="s">
        <v>379</v>
      </c>
      <c r="L165" t="s">
        <v>379</v>
      </c>
      <c r="M165" t="s">
        <v>379</v>
      </c>
      <c r="N165" t="s">
        <v>379</v>
      </c>
      <c r="O165" t="s">
        <v>379</v>
      </c>
      <c r="P165" t="s">
        <v>379</v>
      </c>
      <c r="Q165" t="s">
        <v>379</v>
      </c>
      <c r="R165" t="s">
        <v>379</v>
      </c>
      <c r="S165" t="s">
        <v>379</v>
      </c>
      <c r="T165" t="s">
        <v>379</v>
      </c>
      <c r="U165" t="s">
        <v>379</v>
      </c>
      <c r="V165" t="s">
        <v>379</v>
      </c>
      <c r="W165" t="s">
        <v>379</v>
      </c>
      <c r="X165" t="s">
        <v>379</v>
      </c>
      <c r="Y165" t="s">
        <v>379</v>
      </c>
      <c r="Z165" t="s">
        <v>379</v>
      </c>
      <c r="AA165" t="s">
        <v>379</v>
      </c>
      <c r="AB165" t="s">
        <v>379</v>
      </c>
      <c r="AC165" t="s">
        <v>448</v>
      </c>
      <c r="AD165" t="s">
        <v>447</v>
      </c>
      <c r="AE165">
        <v>10</v>
      </c>
      <c r="AF165">
        <v>4</v>
      </c>
      <c r="AH165" t="s">
        <v>389</v>
      </c>
      <c r="AJ165" t="s">
        <v>48</v>
      </c>
      <c r="AK165" t="s">
        <v>109</v>
      </c>
      <c r="AM165">
        <v>3210</v>
      </c>
      <c r="AN165">
        <v>466</v>
      </c>
    </row>
    <row r="166" spans="1:40" x14ac:dyDescent="0.35">
      <c r="A166" t="s">
        <v>379</v>
      </c>
      <c r="B166" t="s">
        <v>379</v>
      </c>
      <c r="C166" t="s">
        <v>379</v>
      </c>
      <c r="D166" t="s">
        <v>379</v>
      </c>
      <c r="E166" t="s">
        <v>379</v>
      </c>
      <c r="F166" t="s">
        <v>379</v>
      </c>
      <c r="G166" t="s">
        <v>379</v>
      </c>
      <c r="H166" t="s">
        <v>379</v>
      </c>
      <c r="I166" t="s">
        <v>379</v>
      </c>
      <c r="J166" t="s">
        <v>379</v>
      </c>
      <c r="K166" t="s">
        <v>379</v>
      </c>
      <c r="L166" t="s">
        <v>379</v>
      </c>
      <c r="M166" t="s">
        <v>379</v>
      </c>
      <c r="N166" t="s">
        <v>379</v>
      </c>
      <c r="O166" t="s">
        <v>379</v>
      </c>
      <c r="P166" t="s">
        <v>379</v>
      </c>
      <c r="Q166" t="s">
        <v>379</v>
      </c>
      <c r="R166" t="s">
        <v>379</v>
      </c>
      <c r="S166" t="s">
        <v>379</v>
      </c>
      <c r="T166" t="s">
        <v>379</v>
      </c>
      <c r="U166" t="s">
        <v>379</v>
      </c>
      <c r="V166" t="s">
        <v>379</v>
      </c>
      <c r="W166" t="s">
        <v>379</v>
      </c>
      <c r="X166" t="s">
        <v>379</v>
      </c>
      <c r="Y166" t="s">
        <v>379</v>
      </c>
      <c r="Z166" t="s">
        <v>379</v>
      </c>
      <c r="AA166" t="s">
        <v>379</v>
      </c>
      <c r="AB166" t="s">
        <v>379</v>
      </c>
      <c r="AC166" t="s">
        <v>448</v>
      </c>
      <c r="AD166" t="s">
        <v>447</v>
      </c>
      <c r="AE166">
        <v>10</v>
      </c>
      <c r="AF166">
        <v>5</v>
      </c>
      <c r="AH166" t="s">
        <v>389</v>
      </c>
      <c r="AJ166" t="s">
        <v>48</v>
      </c>
      <c r="AK166" t="s">
        <v>109</v>
      </c>
      <c r="AM166">
        <v>1660</v>
      </c>
      <c r="AN166">
        <v>2157</v>
      </c>
    </row>
    <row r="167" spans="1:40" x14ac:dyDescent="0.35">
      <c r="A167" t="s">
        <v>379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379</v>
      </c>
      <c r="O167" t="s">
        <v>379</v>
      </c>
      <c r="P167" t="s">
        <v>379</v>
      </c>
      <c r="Q167" t="s">
        <v>379</v>
      </c>
      <c r="R167" t="s">
        <v>379</v>
      </c>
      <c r="S167" t="s">
        <v>379</v>
      </c>
      <c r="T167" t="s">
        <v>379</v>
      </c>
      <c r="U167" t="s">
        <v>379</v>
      </c>
      <c r="V167" t="s">
        <v>379</v>
      </c>
      <c r="W167" t="s">
        <v>379</v>
      </c>
      <c r="X167" t="s">
        <v>379</v>
      </c>
      <c r="Y167" t="s">
        <v>379</v>
      </c>
      <c r="Z167" t="s">
        <v>379</v>
      </c>
      <c r="AA167" t="s">
        <v>379</v>
      </c>
      <c r="AB167" t="s">
        <v>379</v>
      </c>
      <c r="AC167" t="s">
        <v>448</v>
      </c>
      <c r="AD167" t="s">
        <v>447</v>
      </c>
      <c r="AE167">
        <v>10</v>
      </c>
      <c r="AF167">
        <v>6</v>
      </c>
      <c r="AG167">
        <v>1</v>
      </c>
      <c r="AH167" t="s">
        <v>383</v>
      </c>
      <c r="AJ167" t="s">
        <v>43</v>
      </c>
      <c r="AK167" t="s">
        <v>108</v>
      </c>
      <c r="AM167">
        <v>1163</v>
      </c>
      <c r="AN167">
        <v>928</v>
      </c>
    </row>
    <row r="168" spans="1:40" x14ac:dyDescent="0.35">
      <c r="A168" t="s">
        <v>379</v>
      </c>
      <c r="B168" t="s">
        <v>379</v>
      </c>
      <c r="C168" t="s">
        <v>379</v>
      </c>
      <c r="D168" t="s">
        <v>379</v>
      </c>
      <c r="E168" t="s">
        <v>379</v>
      </c>
      <c r="F168" t="s">
        <v>379</v>
      </c>
      <c r="G168" t="s">
        <v>379</v>
      </c>
      <c r="H168" t="s">
        <v>379</v>
      </c>
      <c r="I168" t="s">
        <v>379</v>
      </c>
      <c r="J168" t="s">
        <v>379</v>
      </c>
      <c r="K168" t="s">
        <v>379</v>
      </c>
      <c r="L168" t="s">
        <v>379</v>
      </c>
      <c r="M168" t="s">
        <v>379</v>
      </c>
      <c r="N168" t="s">
        <v>379</v>
      </c>
      <c r="O168" t="s">
        <v>379</v>
      </c>
      <c r="P168" t="s">
        <v>379</v>
      </c>
      <c r="Q168" t="s">
        <v>379</v>
      </c>
      <c r="R168" t="s">
        <v>379</v>
      </c>
      <c r="S168" t="s">
        <v>379</v>
      </c>
      <c r="T168" t="s">
        <v>379</v>
      </c>
      <c r="U168" t="s">
        <v>379</v>
      </c>
      <c r="V168" t="s">
        <v>379</v>
      </c>
      <c r="W168" t="s">
        <v>379</v>
      </c>
      <c r="X168" t="s">
        <v>379</v>
      </c>
      <c r="Y168" t="s">
        <v>379</v>
      </c>
      <c r="Z168" t="s">
        <v>379</v>
      </c>
      <c r="AA168" t="s">
        <v>379</v>
      </c>
      <c r="AB168" t="s">
        <v>379</v>
      </c>
      <c r="AC168" t="s">
        <v>448</v>
      </c>
      <c r="AD168" t="s">
        <v>447</v>
      </c>
      <c r="AE168">
        <v>10</v>
      </c>
      <c r="AF168">
        <v>7</v>
      </c>
      <c r="AH168" t="s">
        <v>389</v>
      </c>
      <c r="AJ168" t="s">
        <v>48</v>
      </c>
      <c r="AK168" t="s">
        <v>109</v>
      </c>
      <c r="AM168">
        <v>1170</v>
      </c>
      <c r="AN168">
        <v>2146</v>
      </c>
    </row>
    <row r="169" spans="1:40" x14ac:dyDescent="0.35">
      <c r="A169" t="s">
        <v>379</v>
      </c>
      <c r="B169" t="s">
        <v>379</v>
      </c>
      <c r="C169" t="s">
        <v>379</v>
      </c>
      <c r="D169" t="s">
        <v>379</v>
      </c>
      <c r="E169" t="s">
        <v>379</v>
      </c>
      <c r="F169" t="s">
        <v>379</v>
      </c>
      <c r="G169" t="s">
        <v>379</v>
      </c>
      <c r="H169" t="s">
        <v>379</v>
      </c>
      <c r="I169" t="s">
        <v>379</v>
      </c>
      <c r="J169" t="s">
        <v>379</v>
      </c>
      <c r="K169" t="s">
        <v>379</v>
      </c>
      <c r="L169" t="s">
        <v>379</v>
      </c>
      <c r="M169" t="s">
        <v>379</v>
      </c>
      <c r="N169" t="s">
        <v>379</v>
      </c>
      <c r="O169" t="s">
        <v>379</v>
      </c>
      <c r="P169" t="s">
        <v>379</v>
      </c>
      <c r="Q169" t="s">
        <v>379</v>
      </c>
      <c r="R169" t="s">
        <v>379</v>
      </c>
      <c r="S169" t="s">
        <v>379</v>
      </c>
      <c r="T169" t="s">
        <v>379</v>
      </c>
      <c r="U169" t="s">
        <v>379</v>
      </c>
      <c r="V169" t="s">
        <v>379</v>
      </c>
      <c r="W169" t="s">
        <v>379</v>
      </c>
      <c r="X169" t="s">
        <v>379</v>
      </c>
      <c r="Y169" t="s">
        <v>379</v>
      </c>
      <c r="Z169" t="s">
        <v>379</v>
      </c>
      <c r="AA169" t="s">
        <v>379</v>
      </c>
      <c r="AB169" t="s">
        <v>379</v>
      </c>
      <c r="AC169" t="s">
        <v>448</v>
      </c>
      <c r="AD169" t="s">
        <v>447</v>
      </c>
      <c r="AE169">
        <v>10</v>
      </c>
      <c r="AF169">
        <v>8</v>
      </c>
      <c r="AG169">
        <v>1</v>
      </c>
      <c r="AH169" t="s">
        <v>383</v>
      </c>
      <c r="AJ169" t="s">
        <v>43</v>
      </c>
      <c r="AK169" t="s">
        <v>108</v>
      </c>
      <c r="AM169">
        <v>1664</v>
      </c>
      <c r="AN169">
        <v>430</v>
      </c>
    </row>
    <row r="170" spans="1:40" x14ac:dyDescent="0.35">
      <c r="A170" t="s">
        <v>379</v>
      </c>
      <c r="B170" t="s">
        <v>379</v>
      </c>
      <c r="C170" t="s">
        <v>379</v>
      </c>
      <c r="D170" t="s">
        <v>379</v>
      </c>
      <c r="E170" t="s">
        <v>379</v>
      </c>
      <c r="F170" t="s">
        <v>379</v>
      </c>
      <c r="G170" t="s">
        <v>379</v>
      </c>
      <c r="H170" t="s">
        <v>379</v>
      </c>
      <c r="I170" t="s">
        <v>379</v>
      </c>
      <c r="J170" t="s">
        <v>379</v>
      </c>
      <c r="K170" t="s">
        <v>379</v>
      </c>
      <c r="L170" t="s">
        <v>379</v>
      </c>
      <c r="M170" t="s">
        <v>379</v>
      </c>
      <c r="N170" t="s">
        <v>379</v>
      </c>
      <c r="O170" t="s">
        <v>379</v>
      </c>
      <c r="P170" t="s">
        <v>379</v>
      </c>
      <c r="Q170" t="s">
        <v>379</v>
      </c>
      <c r="R170" t="s">
        <v>379</v>
      </c>
      <c r="S170" t="s">
        <v>379</v>
      </c>
      <c r="T170" t="s">
        <v>379</v>
      </c>
      <c r="U170" t="s">
        <v>379</v>
      </c>
      <c r="V170" t="s">
        <v>379</v>
      </c>
      <c r="W170" t="s">
        <v>379</v>
      </c>
      <c r="X170" t="s">
        <v>379</v>
      </c>
      <c r="Y170" t="s">
        <v>379</v>
      </c>
      <c r="Z170" t="s">
        <v>379</v>
      </c>
      <c r="AA170" t="s">
        <v>379</v>
      </c>
      <c r="AB170" t="s">
        <v>379</v>
      </c>
      <c r="AC170" t="s">
        <v>448</v>
      </c>
      <c r="AD170" t="s">
        <v>447</v>
      </c>
      <c r="AE170">
        <v>10</v>
      </c>
      <c r="AF170">
        <v>9</v>
      </c>
      <c r="AG170">
        <v>1</v>
      </c>
      <c r="AH170" t="s">
        <v>449</v>
      </c>
      <c r="AJ170" t="s">
        <v>95</v>
      </c>
      <c r="AK170" t="s">
        <v>108</v>
      </c>
      <c r="AM170">
        <v>3492</v>
      </c>
      <c r="AN170">
        <v>781</v>
      </c>
    </row>
    <row r="171" spans="1:40" x14ac:dyDescent="0.35">
      <c r="A171" t="s">
        <v>379</v>
      </c>
      <c r="B171" t="s">
        <v>379</v>
      </c>
      <c r="C171" t="s">
        <v>379</v>
      </c>
      <c r="D171" t="s">
        <v>379</v>
      </c>
      <c r="E171" t="s">
        <v>379</v>
      </c>
      <c r="F171" t="s">
        <v>379</v>
      </c>
      <c r="G171" t="s">
        <v>379</v>
      </c>
      <c r="H171" t="s">
        <v>379</v>
      </c>
      <c r="I171" t="s">
        <v>379</v>
      </c>
      <c r="J171" t="s">
        <v>379</v>
      </c>
      <c r="K171" t="s">
        <v>379</v>
      </c>
      <c r="L171" t="s">
        <v>379</v>
      </c>
      <c r="M171" t="s">
        <v>379</v>
      </c>
      <c r="N171" t="s">
        <v>379</v>
      </c>
      <c r="O171" t="s">
        <v>379</v>
      </c>
      <c r="P171" t="s">
        <v>379</v>
      </c>
      <c r="Q171" t="s">
        <v>379</v>
      </c>
      <c r="R171" t="s">
        <v>379</v>
      </c>
      <c r="S171" t="s">
        <v>379</v>
      </c>
      <c r="T171" t="s">
        <v>379</v>
      </c>
      <c r="U171" t="s">
        <v>379</v>
      </c>
      <c r="V171" t="s">
        <v>379</v>
      </c>
      <c r="W171" t="s">
        <v>379</v>
      </c>
      <c r="X171" t="s">
        <v>379</v>
      </c>
      <c r="Y171" t="s">
        <v>379</v>
      </c>
      <c r="Z171" t="s">
        <v>379</v>
      </c>
      <c r="AA171" t="s">
        <v>379</v>
      </c>
      <c r="AB171" t="s">
        <v>379</v>
      </c>
      <c r="AC171" t="s">
        <v>448</v>
      </c>
      <c r="AD171" t="s">
        <v>447</v>
      </c>
      <c r="AE171">
        <v>10</v>
      </c>
      <c r="AF171">
        <v>10</v>
      </c>
      <c r="AH171" t="s">
        <v>389</v>
      </c>
      <c r="AJ171" t="s">
        <v>48</v>
      </c>
      <c r="AK171" t="s">
        <v>109</v>
      </c>
      <c r="AM171">
        <v>1081</v>
      </c>
      <c r="AN171">
        <v>2175</v>
      </c>
    </row>
    <row r="172" spans="1:40" x14ac:dyDescent="0.35">
      <c r="A172" t="s">
        <v>379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379</v>
      </c>
      <c r="K172" t="s">
        <v>379</v>
      </c>
      <c r="L172" t="s">
        <v>379</v>
      </c>
      <c r="M172" t="s">
        <v>379</v>
      </c>
      <c r="N172" t="s">
        <v>379</v>
      </c>
      <c r="O172" t="s">
        <v>379</v>
      </c>
      <c r="P172" t="s">
        <v>379</v>
      </c>
      <c r="Q172" t="s">
        <v>379</v>
      </c>
      <c r="R172" t="s">
        <v>379</v>
      </c>
      <c r="S172" t="s">
        <v>379</v>
      </c>
      <c r="T172" t="s">
        <v>379</v>
      </c>
      <c r="U172" t="s">
        <v>379</v>
      </c>
      <c r="V172" t="s">
        <v>379</v>
      </c>
      <c r="W172" t="s">
        <v>379</v>
      </c>
      <c r="X172" t="s">
        <v>379</v>
      </c>
      <c r="Y172" t="s">
        <v>379</v>
      </c>
      <c r="Z172" t="s">
        <v>379</v>
      </c>
      <c r="AA172" t="s">
        <v>379</v>
      </c>
      <c r="AB172" t="s">
        <v>379</v>
      </c>
      <c r="AC172" t="s">
        <v>451</v>
      </c>
      <c r="AD172" t="s">
        <v>450</v>
      </c>
      <c r="AE172">
        <v>10</v>
      </c>
      <c r="AF172">
        <v>1</v>
      </c>
      <c r="AH172" t="s">
        <v>380</v>
      </c>
      <c r="AJ172" t="s">
        <v>37</v>
      </c>
      <c r="AK172" t="s">
        <v>115</v>
      </c>
      <c r="AM172">
        <v>1754</v>
      </c>
      <c r="AN172">
        <v>362</v>
      </c>
    </row>
    <row r="173" spans="1:40" x14ac:dyDescent="0.35">
      <c r="A173" t="s">
        <v>379</v>
      </c>
      <c r="B173" t="s">
        <v>379</v>
      </c>
      <c r="C173" t="s">
        <v>379</v>
      </c>
      <c r="D173" t="s">
        <v>379</v>
      </c>
      <c r="E173" t="s">
        <v>379</v>
      </c>
      <c r="F173" t="s">
        <v>379</v>
      </c>
      <c r="G173" t="s">
        <v>379</v>
      </c>
      <c r="H173" t="s">
        <v>379</v>
      </c>
      <c r="I173" t="s">
        <v>379</v>
      </c>
      <c r="J173" t="s">
        <v>379</v>
      </c>
      <c r="K173" t="s">
        <v>379</v>
      </c>
      <c r="L173" t="s">
        <v>379</v>
      </c>
      <c r="M173" t="s">
        <v>379</v>
      </c>
      <c r="N173" t="s">
        <v>379</v>
      </c>
      <c r="O173" t="s">
        <v>379</v>
      </c>
      <c r="P173" t="s">
        <v>379</v>
      </c>
      <c r="Q173" t="s">
        <v>379</v>
      </c>
      <c r="R173" t="s">
        <v>379</v>
      </c>
      <c r="S173" t="s">
        <v>379</v>
      </c>
      <c r="T173" t="s">
        <v>379</v>
      </c>
      <c r="U173" t="s">
        <v>379</v>
      </c>
      <c r="V173" t="s">
        <v>379</v>
      </c>
      <c r="W173" t="s">
        <v>379</v>
      </c>
      <c r="X173" t="s">
        <v>379</v>
      </c>
      <c r="Y173" t="s">
        <v>379</v>
      </c>
      <c r="Z173" t="s">
        <v>379</v>
      </c>
      <c r="AA173" t="s">
        <v>379</v>
      </c>
      <c r="AB173" t="s">
        <v>379</v>
      </c>
      <c r="AC173" t="s">
        <v>451</v>
      </c>
      <c r="AD173" t="s">
        <v>450</v>
      </c>
      <c r="AE173">
        <v>10</v>
      </c>
      <c r="AF173">
        <v>2</v>
      </c>
      <c r="AG173">
        <v>1</v>
      </c>
      <c r="AH173" t="s">
        <v>438</v>
      </c>
      <c r="AJ173" t="s">
        <v>87</v>
      </c>
      <c r="AK173" t="s">
        <v>108</v>
      </c>
      <c r="AM173">
        <v>222</v>
      </c>
      <c r="AN173">
        <v>951</v>
      </c>
    </row>
    <row r="174" spans="1:40" x14ac:dyDescent="0.35">
      <c r="A174" t="s">
        <v>379</v>
      </c>
      <c r="B174" t="s">
        <v>379</v>
      </c>
      <c r="C174" t="s">
        <v>379</v>
      </c>
      <c r="D174" t="s">
        <v>379</v>
      </c>
      <c r="E174" t="s">
        <v>379</v>
      </c>
      <c r="F174" t="s">
        <v>379</v>
      </c>
      <c r="G174" t="s">
        <v>379</v>
      </c>
      <c r="H174" t="s">
        <v>379</v>
      </c>
      <c r="I174" t="s">
        <v>379</v>
      </c>
      <c r="J174" t="s">
        <v>379</v>
      </c>
      <c r="K174" t="s">
        <v>379</v>
      </c>
      <c r="L174" t="s">
        <v>379</v>
      </c>
      <c r="M174" t="s">
        <v>379</v>
      </c>
      <c r="N174" t="s">
        <v>379</v>
      </c>
      <c r="O174" t="s">
        <v>379</v>
      </c>
      <c r="P174" t="s">
        <v>379</v>
      </c>
      <c r="Q174" t="s">
        <v>379</v>
      </c>
      <c r="R174" t="s">
        <v>379</v>
      </c>
      <c r="S174" t="s">
        <v>379</v>
      </c>
      <c r="T174" t="s">
        <v>379</v>
      </c>
      <c r="U174" t="s">
        <v>379</v>
      </c>
      <c r="V174" t="s">
        <v>379</v>
      </c>
      <c r="W174" t="s">
        <v>379</v>
      </c>
      <c r="X174" t="s">
        <v>379</v>
      </c>
      <c r="Y174" t="s">
        <v>379</v>
      </c>
      <c r="Z174" t="s">
        <v>379</v>
      </c>
      <c r="AA174" t="s">
        <v>379</v>
      </c>
      <c r="AB174" t="s">
        <v>379</v>
      </c>
      <c r="AC174" t="s">
        <v>451</v>
      </c>
      <c r="AD174" t="s">
        <v>450</v>
      </c>
      <c r="AE174">
        <v>10</v>
      </c>
      <c r="AF174">
        <v>3</v>
      </c>
      <c r="AH174" t="s">
        <v>116</v>
      </c>
      <c r="AJ174" t="s">
        <v>41</v>
      </c>
      <c r="AK174" t="s">
        <v>116</v>
      </c>
      <c r="AM174">
        <v>2989</v>
      </c>
      <c r="AN174">
        <v>853</v>
      </c>
    </row>
    <row r="175" spans="1:40" x14ac:dyDescent="0.35">
      <c r="A175" t="s">
        <v>379</v>
      </c>
      <c r="B175" t="s">
        <v>379</v>
      </c>
      <c r="C175" t="s">
        <v>379</v>
      </c>
      <c r="D175" t="s">
        <v>379</v>
      </c>
      <c r="E175" t="s">
        <v>379</v>
      </c>
      <c r="F175" t="s">
        <v>379</v>
      </c>
      <c r="G175" t="s">
        <v>379</v>
      </c>
      <c r="H175" t="s">
        <v>379</v>
      </c>
      <c r="I175" t="s">
        <v>379</v>
      </c>
      <c r="J175" t="s">
        <v>379</v>
      </c>
      <c r="K175" t="s">
        <v>379</v>
      </c>
      <c r="L175" t="s">
        <v>379</v>
      </c>
      <c r="M175" t="s">
        <v>379</v>
      </c>
      <c r="N175" t="s">
        <v>379</v>
      </c>
      <c r="O175" t="s">
        <v>379</v>
      </c>
      <c r="P175" t="s">
        <v>379</v>
      </c>
      <c r="Q175" t="s">
        <v>379</v>
      </c>
      <c r="R175" t="s">
        <v>379</v>
      </c>
      <c r="S175" t="s">
        <v>379</v>
      </c>
      <c r="T175" t="s">
        <v>379</v>
      </c>
      <c r="U175" t="s">
        <v>379</v>
      </c>
      <c r="V175" t="s">
        <v>379</v>
      </c>
      <c r="W175" t="s">
        <v>379</v>
      </c>
      <c r="X175" t="s">
        <v>379</v>
      </c>
      <c r="Y175" t="s">
        <v>379</v>
      </c>
      <c r="Z175" t="s">
        <v>379</v>
      </c>
      <c r="AA175" t="s">
        <v>379</v>
      </c>
      <c r="AB175" t="s">
        <v>379</v>
      </c>
      <c r="AC175" t="s">
        <v>451</v>
      </c>
      <c r="AD175" t="s">
        <v>450</v>
      </c>
      <c r="AE175">
        <v>10</v>
      </c>
      <c r="AF175">
        <v>4</v>
      </c>
      <c r="AG175">
        <v>1</v>
      </c>
      <c r="AH175" t="s">
        <v>383</v>
      </c>
      <c r="AJ175" t="s">
        <v>43</v>
      </c>
      <c r="AK175" t="s">
        <v>108</v>
      </c>
      <c r="AM175">
        <v>2202</v>
      </c>
      <c r="AN175">
        <v>2073</v>
      </c>
    </row>
    <row r="176" spans="1:40" x14ac:dyDescent="0.35">
      <c r="A176" t="s">
        <v>379</v>
      </c>
      <c r="B176" t="s">
        <v>379</v>
      </c>
      <c r="C176" t="s">
        <v>379</v>
      </c>
      <c r="D176" t="s">
        <v>379</v>
      </c>
      <c r="E176" t="s">
        <v>379</v>
      </c>
      <c r="F176" t="s">
        <v>379</v>
      </c>
      <c r="G176" t="s">
        <v>379</v>
      </c>
      <c r="H176" t="s">
        <v>379</v>
      </c>
      <c r="I176" t="s">
        <v>379</v>
      </c>
      <c r="J176" t="s">
        <v>379</v>
      </c>
      <c r="K176" t="s">
        <v>379</v>
      </c>
      <c r="L176" t="s">
        <v>379</v>
      </c>
      <c r="M176" t="s">
        <v>379</v>
      </c>
      <c r="N176" t="s">
        <v>379</v>
      </c>
      <c r="O176" t="s">
        <v>379</v>
      </c>
      <c r="P176" t="s">
        <v>379</v>
      </c>
      <c r="Q176" t="s">
        <v>379</v>
      </c>
      <c r="R176" t="s">
        <v>379</v>
      </c>
      <c r="S176" t="s">
        <v>379</v>
      </c>
      <c r="T176" t="s">
        <v>379</v>
      </c>
      <c r="U176" t="s">
        <v>379</v>
      </c>
      <c r="V176" t="s">
        <v>379</v>
      </c>
      <c r="W176" t="s">
        <v>379</v>
      </c>
      <c r="X176" t="s">
        <v>379</v>
      </c>
      <c r="Y176" t="s">
        <v>379</v>
      </c>
      <c r="Z176" t="s">
        <v>379</v>
      </c>
      <c r="AA176" t="s">
        <v>379</v>
      </c>
      <c r="AB176" t="s">
        <v>379</v>
      </c>
      <c r="AC176" t="s">
        <v>451</v>
      </c>
      <c r="AD176" t="s">
        <v>450</v>
      </c>
      <c r="AE176">
        <v>10</v>
      </c>
      <c r="AF176">
        <v>5</v>
      </c>
      <c r="AH176" t="s">
        <v>389</v>
      </c>
      <c r="AJ176" t="s">
        <v>48</v>
      </c>
      <c r="AK176" t="s">
        <v>109</v>
      </c>
      <c r="AM176">
        <v>3011</v>
      </c>
      <c r="AN176">
        <v>2273</v>
      </c>
    </row>
    <row r="177" spans="1:40" x14ac:dyDescent="0.35">
      <c r="A177" t="s">
        <v>379</v>
      </c>
      <c r="B177" t="s">
        <v>379</v>
      </c>
      <c r="C177" t="s">
        <v>379</v>
      </c>
      <c r="D177" t="s">
        <v>379</v>
      </c>
      <c r="E177" t="s">
        <v>379</v>
      </c>
      <c r="F177" t="s">
        <v>379</v>
      </c>
      <c r="G177" t="s">
        <v>379</v>
      </c>
      <c r="H177" t="s">
        <v>379</v>
      </c>
      <c r="I177" t="s">
        <v>379</v>
      </c>
      <c r="J177" t="s">
        <v>379</v>
      </c>
      <c r="K177" t="s">
        <v>379</v>
      </c>
      <c r="L177" t="s">
        <v>379</v>
      </c>
      <c r="M177" t="s">
        <v>379</v>
      </c>
      <c r="N177" t="s">
        <v>379</v>
      </c>
      <c r="O177" t="s">
        <v>379</v>
      </c>
      <c r="P177" t="s">
        <v>379</v>
      </c>
      <c r="Q177" t="s">
        <v>379</v>
      </c>
      <c r="R177" t="s">
        <v>379</v>
      </c>
      <c r="S177" t="s">
        <v>379</v>
      </c>
      <c r="T177" t="s">
        <v>379</v>
      </c>
      <c r="U177" t="s">
        <v>379</v>
      </c>
      <c r="V177" t="s">
        <v>379</v>
      </c>
      <c r="W177" t="s">
        <v>379</v>
      </c>
      <c r="X177" t="s">
        <v>379</v>
      </c>
      <c r="Y177" t="s">
        <v>379</v>
      </c>
      <c r="Z177" t="s">
        <v>379</v>
      </c>
      <c r="AA177" t="s">
        <v>379</v>
      </c>
      <c r="AB177" t="s">
        <v>379</v>
      </c>
      <c r="AC177" t="s">
        <v>451</v>
      </c>
      <c r="AD177" t="s">
        <v>450</v>
      </c>
      <c r="AE177">
        <v>10</v>
      </c>
      <c r="AF177">
        <v>6</v>
      </c>
      <c r="AG177">
        <v>1</v>
      </c>
      <c r="AH177" t="s">
        <v>402</v>
      </c>
      <c r="AJ177" t="s">
        <v>60</v>
      </c>
      <c r="AK177" t="s">
        <v>108</v>
      </c>
      <c r="AM177">
        <v>2232</v>
      </c>
      <c r="AN177">
        <v>109</v>
      </c>
    </row>
    <row r="178" spans="1:40" x14ac:dyDescent="0.35">
      <c r="A178" t="s">
        <v>379</v>
      </c>
      <c r="B178" t="s">
        <v>379</v>
      </c>
      <c r="C178" t="s">
        <v>379</v>
      </c>
      <c r="D178" t="s">
        <v>379</v>
      </c>
      <c r="E178" t="s">
        <v>379</v>
      </c>
      <c r="F178" t="s">
        <v>379</v>
      </c>
      <c r="G178" t="s">
        <v>379</v>
      </c>
      <c r="H178" t="s">
        <v>379</v>
      </c>
      <c r="I178" t="s">
        <v>379</v>
      </c>
      <c r="J178" t="s">
        <v>379</v>
      </c>
      <c r="K178" t="s">
        <v>379</v>
      </c>
      <c r="L178" t="s">
        <v>379</v>
      </c>
      <c r="M178" t="s">
        <v>379</v>
      </c>
      <c r="N178" t="s">
        <v>379</v>
      </c>
      <c r="O178" t="s">
        <v>379</v>
      </c>
      <c r="P178" t="s">
        <v>379</v>
      </c>
      <c r="Q178" t="s">
        <v>379</v>
      </c>
      <c r="R178" t="s">
        <v>379</v>
      </c>
      <c r="S178" t="s">
        <v>379</v>
      </c>
      <c r="T178" t="s">
        <v>379</v>
      </c>
      <c r="U178" t="s">
        <v>379</v>
      </c>
      <c r="V178" t="s">
        <v>379</v>
      </c>
      <c r="W178" t="s">
        <v>379</v>
      </c>
      <c r="X178" t="s">
        <v>379</v>
      </c>
      <c r="Y178" t="s">
        <v>379</v>
      </c>
      <c r="Z178" t="s">
        <v>379</v>
      </c>
      <c r="AA178" t="s">
        <v>379</v>
      </c>
      <c r="AB178" t="s">
        <v>379</v>
      </c>
      <c r="AC178" t="s">
        <v>451</v>
      </c>
      <c r="AD178" t="s">
        <v>450</v>
      </c>
      <c r="AE178">
        <v>10</v>
      </c>
      <c r="AF178">
        <v>7</v>
      </c>
      <c r="AG178">
        <v>1</v>
      </c>
      <c r="AH178" t="s">
        <v>445</v>
      </c>
      <c r="AJ178" t="s">
        <v>92</v>
      </c>
      <c r="AK178" t="s">
        <v>108</v>
      </c>
      <c r="AM178">
        <v>1264</v>
      </c>
      <c r="AN178">
        <v>216</v>
      </c>
    </row>
    <row r="179" spans="1:40" x14ac:dyDescent="0.35">
      <c r="A179" t="s">
        <v>379</v>
      </c>
      <c r="B179" t="s">
        <v>379</v>
      </c>
      <c r="C179" t="s">
        <v>379</v>
      </c>
      <c r="D179" t="s">
        <v>379</v>
      </c>
      <c r="E179" t="s">
        <v>379</v>
      </c>
      <c r="F179" t="s">
        <v>379</v>
      </c>
      <c r="G179" t="s">
        <v>379</v>
      </c>
      <c r="H179" t="s">
        <v>379</v>
      </c>
      <c r="I179" t="s">
        <v>379</v>
      </c>
      <c r="J179" t="s">
        <v>379</v>
      </c>
      <c r="K179" t="s">
        <v>379</v>
      </c>
      <c r="L179" t="s">
        <v>379</v>
      </c>
      <c r="M179" t="s">
        <v>379</v>
      </c>
      <c r="N179" t="s">
        <v>379</v>
      </c>
      <c r="O179" t="s">
        <v>379</v>
      </c>
      <c r="P179" t="s">
        <v>379</v>
      </c>
      <c r="Q179" t="s">
        <v>379</v>
      </c>
      <c r="R179" t="s">
        <v>379</v>
      </c>
      <c r="S179" t="s">
        <v>379</v>
      </c>
      <c r="T179" t="s">
        <v>379</v>
      </c>
      <c r="U179" t="s">
        <v>379</v>
      </c>
      <c r="V179" t="s">
        <v>379</v>
      </c>
      <c r="W179" t="s">
        <v>379</v>
      </c>
      <c r="X179" t="s">
        <v>379</v>
      </c>
      <c r="Y179" t="s">
        <v>379</v>
      </c>
      <c r="Z179" t="s">
        <v>379</v>
      </c>
      <c r="AA179" t="s">
        <v>379</v>
      </c>
      <c r="AB179" t="s">
        <v>379</v>
      </c>
      <c r="AC179" t="s">
        <v>451</v>
      </c>
      <c r="AD179" t="s">
        <v>450</v>
      </c>
      <c r="AE179">
        <v>10</v>
      </c>
      <c r="AF179">
        <v>8</v>
      </c>
      <c r="AG179">
        <v>1</v>
      </c>
      <c r="AH179" t="s">
        <v>438</v>
      </c>
      <c r="AJ179" t="s">
        <v>87</v>
      </c>
      <c r="AK179" t="s">
        <v>108</v>
      </c>
      <c r="AM179">
        <v>811</v>
      </c>
      <c r="AN179">
        <v>2085</v>
      </c>
    </row>
    <row r="180" spans="1:40" x14ac:dyDescent="0.35">
      <c r="A180" t="s">
        <v>379</v>
      </c>
      <c r="B180" t="s">
        <v>379</v>
      </c>
      <c r="C180" t="s">
        <v>379</v>
      </c>
      <c r="D180" t="s">
        <v>379</v>
      </c>
      <c r="E180" t="s">
        <v>379</v>
      </c>
      <c r="F180" t="s">
        <v>379</v>
      </c>
      <c r="G180" t="s">
        <v>379</v>
      </c>
      <c r="H180" t="s">
        <v>379</v>
      </c>
      <c r="I180" t="s">
        <v>379</v>
      </c>
      <c r="J180" t="s">
        <v>379</v>
      </c>
      <c r="K180" t="s">
        <v>379</v>
      </c>
      <c r="L180" t="s">
        <v>379</v>
      </c>
      <c r="M180" t="s">
        <v>379</v>
      </c>
      <c r="N180" t="s">
        <v>379</v>
      </c>
      <c r="O180" t="s">
        <v>379</v>
      </c>
      <c r="P180" t="s">
        <v>379</v>
      </c>
      <c r="Q180" t="s">
        <v>379</v>
      </c>
      <c r="R180" t="s">
        <v>379</v>
      </c>
      <c r="S180" t="s">
        <v>379</v>
      </c>
      <c r="T180" t="s">
        <v>379</v>
      </c>
      <c r="U180" t="s">
        <v>379</v>
      </c>
      <c r="V180" t="s">
        <v>379</v>
      </c>
      <c r="W180" t="s">
        <v>379</v>
      </c>
      <c r="X180" t="s">
        <v>379</v>
      </c>
      <c r="Y180" t="s">
        <v>379</v>
      </c>
      <c r="Z180" t="s">
        <v>379</v>
      </c>
      <c r="AA180" t="s">
        <v>379</v>
      </c>
      <c r="AB180" t="s">
        <v>379</v>
      </c>
      <c r="AC180" t="s">
        <v>451</v>
      </c>
      <c r="AD180" t="s">
        <v>450</v>
      </c>
      <c r="AE180">
        <v>10</v>
      </c>
      <c r="AF180">
        <v>9</v>
      </c>
      <c r="AH180" t="s">
        <v>380</v>
      </c>
      <c r="AJ180" t="s">
        <v>37</v>
      </c>
      <c r="AK180" t="s">
        <v>115</v>
      </c>
      <c r="AM180">
        <v>1144</v>
      </c>
      <c r="AN180">
        <v>690</v>
      </c>
    </row>
    <row r="181" spans="1:40" x14ac:dyDescent="0.35">
      <c r="A181" t="s">
        <v>379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379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  <c r="P181" t="s">
        <v>379</v>
      </c>
      <c r="Q181" t="s">
        <v>379</v>
      </c>
      <c r="R181" t="s">
        <v>379</v>
      </c>
      <c r="S181" t="s">
        <v>379</v>
      </c>
      <c r="T181" t="s">
        <v>379</v>
      </c>
      <c r="U181" t="s">
        <v>379</v>
      </c>
      <c r="V181" t="s">
        <v>379</v>
      </c>
      <c r="W181" t="s">
        <v>379</v>
      </c>
      <c r="X181" t="s">
        <v>379</v>
      </c>
      <c r="Y181" t="s">
        <v>379</v>
      </c>
      <c r="Z181" t="s">
        <v>379</v>
      </c>
      <c r="AA181" t="s">
        <v>379</v>
      </c>
      <c r="AB181" t="s">
        <v>379</v>
      </c>
      <c r="AC181" t="s">
        <v>451</v>
      </c>
      <c r="AD181" t="s">
        <v>450</v>
      </c>
      <c r="AE181">
        <v>10</v>
      </c>
      <c r="AF181">
        <v>10</v>
      </c>
      <c r="AG181">
        <v>1</v>
      </c>
      <c r="AH181" t="s">
        <v>452</v>
      </c>
      <c r="AJ181" t="s">
        <v>97</v>
      </c>
      <c r="AK181" t="s">
        <v>108</v>
      </c>
      <c r="AM181">
        <v>3174</v>
      </c>
      <c r="AN181">
        <v>1693</v>
      </c>
    </row>
    <row r="182" spans="1:40" x14ac:dyDescent="0.35">
      <c r="A182" t="s">
        <v>379</v>
      </c>
      <c r="B182" t="s">
        <v>379</v>
      </c>
      <c r="C182" t="s">
        <v>379</v>
      </c>
      <c r="D182" t="s">
        <v>379</v>
      </c>
      <c r="E182" t="s">
        <v>379</v>
      </c>
      <c r="F182" t="s">
        <v>379</v>
      </c>
      <c r="G182" t="s">
        <v>379</v>
      </c>
      <c r="H182" t="s">
        <v>379</v>
      </c>
      <c r="I182" t="s">
        <v>379</v>
      </c>
      <c r="J182" t="s">
        <v>379</v>
      </c>
      <c r="K182" t="s">
        <v>379</v>
      </c>
      <c r="L182" t="s">
        <v>379</v>
      </c>
      <c r="M182" t="s">
        <v>379</v>
      </c>
      <c r="N182" t="s">
        <v>379</v>
      </c>
      <c r="O182" t="s">
        <v>379</v>
      </c>
      <c r="P182" t="s">
        <v>379</v>
      </c>
      <c r="Q182" t="s">
        <v>379</v>
      </c>
      <c r="R182" t="s">
        <v>379</v>
      </c>
      <c r="S182" t="s">
        <v>379</v>
      </c>
      <c r="T182" t="s">
        <v>379</v>
      </c>
      <c r="U182" t="s">
        <v>379</v>
      </c>
      <c r="V182" t="s">
        <v>379</v>
      </c>
      <c r="W182" t="s">
        <v>379</v>
      </c>
      <c r="X182" t="s">
        <v>379</v>
      </c>
      <c r="Y182" t="s">
        <v>379</v>
      </c>
      <c r="Z182" t="s">
        <v>379</v>
      </c>
      <c r="AA182" t="s">
        <v>379</v>
      </c>
      <c r="AB182" t="s">
        <v>379</v>
      </c>
      <c r="AC182" t="s">
        <v>454</v>
      </c>
      <c r="AD182" t="s">
        <v>453</v>
      </c>
      <c r="AE182">
        <v>10</v>
      </c>
      <c r="AF182">
        <v>1</v>
      </c>
      <c r="AH182" t="s">
        <v>380</v>
      </c>
      <c r="AJ182" t="s">
        <v>37</v>
      </c>
      <c r="AK182" t="s">
        <v>115</v>
      </c>
      <c r="AM182">
        <v>2551</v>
      </c>
      <c r="AN182">
        <v>1016</v>
      </c>
    </row>
    <row r="183" spans="1:40" x14ac:dyDescent="0.35">
      <c r="A183" t="s">
        <v>379</v>
      </c>
      <c r="B183" t="s">
        <v>379</v>
      </c>
      <c r="C183" t="s">
        <v>379</v>
      </c>
      <c r="D183" t="s">
        <v>379</v>
      </c>
      <c r="E183" t="s">
        <v>379</v>
      </c>
      <c r="F183" t="s">
        <v>379</v>
      </c>
      <c r="G183" t="s">
        <v>379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379</v>
      </c>
      <c r="N183" t="s">
        <v>379</v>
      </c>
      <c r="O183" t="s">
        <v>379</v>
      </c>
      <c r="P183" t="s">
        <v>379</v>
      </c>
      <c r="Q183" t="s">
        <v>379</v>
      </c>
      <c r="R183" t="s">
        <v>379</v>
      </c>
      <c r="S183" t="s">
        <v>379</v>
      </c>
      <c r="T183" t="s">
        <v>379</v>
      </c>
      <c r="U183" t="s">
        <v>379</v>
      </c>
      <c r="V183" t="s">
        <v>379</v>
      </c>
      <c r="W183" t="s">
        <v>379</v>
      </c>
      <c r="X183" t="s">
        <v>379</v>
      </c>
      <c r="Y183" t="s">
        <v>379</v>
      </c>
      <c r="Z183" t="s">
        <v>379</v>
      </c>
      <c r="AA183" t="s">
        <v>379</v>
      </c>
      <c r="AB183" t="s">
        <v>379</v>
      </c>
      <c r="AC183" t="s">
        <v>454</v>
      </c>
      <c r="AD183" t="s">
        <v>453</v>
      </c>
      <c r="AE183">
        <v>10</v>
      </c>
      <c r="AF183">
        <v>2</v>
      </c>
      <c r="AG183">
        <v>1</v>
      </c>
      <c r="AH183" t="s">
        <v>401</v>
      </c>
      <c r="AJ183" t="s">
        <v>59</v>
      </c>
      <c r="AK183" t="s">
        <v>108</v>
      </c>
      <c r="AM183">
        <v>774</v>
      </c>
      <c r="AN183">
        <v>1657</v>
      </c>
    </row>
    <row r="184" spans="1:40" x14ac:dyDescent="0.35">
      <c r="A184" t="s">
        <v>379</v>
      </c>
      <c r="B184" t="s">
        <v>379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379</v>
      </c>
      <c r="N184" t="s">
        <v>379</v>
      </c>
      <c r="O184" t="s">
        <v>379</v>
      </c>
      <c r="P184" t="s">
        <v>379</v>
      </c>
      <c r="Q184" t="s">
        <v>379</v>
      </c>
      <c r="R184" t="s">
        <v>379</v>
      </c>
      <c r="S184" t="s">
        <v>379</v>
      </c>
      <c r="T184" t="s">
        <v>379</v>
      </c>
      <c r="U184" t="s">
        <v>379</v>
      </c>
      <c r="V184" t="s">
        <v>379</v>
      </c>
      <c r="W184" t="s">
        <v>379</v>
      </c>
      <c r="X184" t="s">
        <v>379</v>
      </c>
      <c r="Y184" t="s">
        <v>379</v>
      </c>
      <c r="Z184" t="s">
        <v>379</v>
      </c>
      <c r="AA184" t="s">
        <v>379</v>
      </c>
      <c r="AB184" t="s">
        <v>379</v>
      </c>
      <c r="AC184" t="s">
        <v>454</v>
      </c>
      <c r="AD184" t="s">
        <v>453</v>
      </c>
      <c r="AE184">
        <v>10</v>
      </c>
      <c r="AF184">
        <v>3</v>
      </c>
      <c r="AH184" t="s">
        <v>384</v>
      </c>
      <c r="AJ184" t="s">
        <v>44</v>
      </c>
      <c r="AK184" t="s">
        <v>109</v>
      </c>
      <c r="AM184">
        <v>772</v>
      </c>
      <c r="AN184">
        <v>572</v>
      </c>
    </row>
    <row r="185" spans="1:40" x14ac:dyDescent="0.35">
      <c r="A185" t="s">
        <v>379</v>
      </c>
      <c r="B185" t="s">
        <v>379</v>
      </c>
      <c r="C185" t="s">
        <v>379</v>
      </c>
      <c r="D185" t="s">
        <v>379</v>
      </c>
      <c r="E185" t="s">
        <v>379</v>
      </c>
      <c r="F185" t="s">
        <v>379</v>
      </c>
      <c r="G185" t="s">
        <v>379</v>
      </c>
      <c r="H185" t="s">
        <v>379</v>
      </c>
      <c r="I185" t="s">
        <v>379</v>
      </c>
      <c r="J185" t="s">
        <v>379</v>
      </c>
      <c r="K185" t="s">
        <v>379</v>
      </c>
      <c r="L185" t="s">
        <v>379</v>
      </c>
      <c r="M185" t="s">
        <v>379</v>
      </c>
      <c r="N185" t="s">
        <v>379</v>
      </c>
      <c r="O185" t="s">
        <v>379</v>
      </c>
      <c r="P185" t="s">
        <v>379</v>
      </c>
      <c r="Q185" t="s">
        <v>379</v>
      </c>
      <c r="R185" t="s">
        <v>379</v>
      </c>
      <c r="S185" t="s">
        <v>379</v>
      </c>
      <c r="T185" t="s">
        <v>379</v>
      </c>
      <c r="U185" t="s">
        <v>379</v>
      </c>
      <c r="V185" t="s">
        <v>379</v>
      </c>
      <c r="W185" t="s">
        <v>379</v>
      </c>
      <c r="X185" t="s">
        <v>379</v>
      </c>
      <c r="Y185" t="s">
        <v>379</v>
      </c>
      <c r="Z185" t="s">
        <v>379</v>
      </c>
      <c r="AA185" t="s">
        <v>379</v>
      </c>
      <c r="AB185" t="s">
        <v>379</v>
      </c>
      <c r="AC185" t="s">
        <v>454</v>
      </c>
      <c r="AD185" t="s">
        <v>453</v>
      </c>
      <c r="AE185">
        <v>10</v>
      </c>
      <c r="AF185">
        <v>4</v>
      </c>
      <c r="AH185" t="s">
        <v>116</v>
      </c>
      <c r="AJ185" t="s">
        <v>41</v>
      </c>
      <c r="AK185" t="s">
        <v>116</v>
      </c>
      <c r="AM185">
        <v>1714</v>
      </c>
      <c r="AN185">
        <v>1837</v>
      </c>
    </row>
    <row r="186" spans="1:40" x14ac:dyDescent="0.35">
      <c r="A186" t="s">
        <v>379</v>
      </c>
      <c r="B186" t="s">
        <v>379</v>
      </c>
      <c r="C186" t="s">
        <v>379</v>
      </c>
      <c r="D186" t="s">
        <v>379</v>
      </c>
      <c r="E186" t="s">
        <v>379</v>
      </c>
      <c r="F186" t="s">
        <v>379</v>
      </c>
      <c r="G186" t="s">
        <v>379</v>
      </c>
      <c r="H186" t="s">
        <v>379</v>
      </c>
      <c r="I186" t="s">
        <v>379</v>
      </c>
      <c r="J186" t="s">
        <v>379</v>
      </c>
      <c r="K186" t="s">
        <v>379</v>
      </c>
      <c r="L186" t="s">
        <v>379</v>
      </c>
      <c r="M186" t="s">
        <v>379</v>
      </c>
      <c r="N186" t="s">
        <v>379</v>
      </c>
      <c r="O186" t="s">
        <v>379</v>
      </c>
      <c r="P186" t="s">
        <v>379</v>
      </c>
      <c r="Q186" t="s">
        <v>379</v>
      </c>
      <c r="R186" t="s">
        <v>379</v>
      </c>
      <c r="S186" t="s">
        <v>379</v>
      </c>
      <c r="T186" t="s">
        <v>379</v>
      </c>
      <c r="U186" t="s">
        <v>379</v>
      </c>
      <c r="V186" t="s">
        <v>379</v>
      </c>
      <c r="W186" t="s">
        <v>379</v>
      </c>
      <c r="X186" t="s">
        <v>379</v>
      </c>
      <c r="Y186" t="s">
        <v>379</v>
      </c>
      <c r="Z186" t="s">
        <v>379</v>
      </c>
      <c r="AA186" t="s">
        <v>379</v>
      </c>
      <c r="AB186" t="s">
        <v>379</v>
      </c>
      <c r="AC186" t="s">
        <v>454</v>
      </c>
      <c r="AD186" t="s">
        <v>453</v>
      </c>
      <c r="AE186">
        <v>10</v>
      </c>
      <c r="AF186">
        <v>5</v>
      </c>
      <c r="AG186">
        <v>1</v>
      </c>
      <c r="AH186" t="s">
        <v>401</v>
      </c>
      <c r="AJ186" t="s">
        <v>59</v>
      </c>
      <c r="AK186" t="s">
        <v>108</v>
      </c>
      <c r="AM186">
        <v>712</v>
      </c>
      <c r="AN186">
        <v>1959</v>
      </c>
    </row>
    <row r="187" spans="1:40" x14ac:dyDescent="0.35">
      <c r="A187" t="s">
        <v>379</v>
      </c>
      <c r="B187" t="s">
        <v>379</v>
      </c>
      <c r="C187" t="s">
        <v>379</v>
      </c>
      <c r="D187" t="s">
        <v>379</v>
      </c>
      <c r="E187" t="s">
        <v>379</v>
      </c>
      <c r="F187" t="s">
        <v>379</v>
      </c>
      <c r="G187" t="s">
        <v>379</v>
      </c>
      <c r="H187" t="s">
        <v>379</v>
      </c>
      <c r="I187" t="s">
        <v>379</v>
      </c>
      <c r="J187" t="s">
        <v>379</v>
      </c>
      <c r="K187" t="s">
        <v>379</v>
      </c>
      <c r="L187" t="s">
        <v>379</v>
      </c>
      <c r="M187" t="s">
        <v>379</v>
      </c>
      <c r="N187" t="s">
        <v>379</v>
      </c>
      <c r="O187" t="s">
        <v>379</v>
      </c>
      <c r="P187" t="s">
        <v>379</v>
      </c>
      <c r="Q187" t="s">
        <v>379</v>
      </c>
      <c r="R187" t="s">
        <v>379</v>
      </c>
      <c r="S187" t="s">
        <v>379</v>
      </c>
      <c r="T187" t="s">
        <v>379</v>
      </c>
      <c r="U187" t="s">
        <v>379</v>
      </c>
      <c r="V187" t="s">
        <v>379</v>
      </c>
      <c r="W187" t="s">
        <v>379</v>
      </c>
      <c r="X187" t="s">
        <v>379</v>
      </c>
      <c r="Y187" t="s">
        <v>379</v>
      </c>
      <c r="Z187" t="s">
        <v>379</v>
      </c>
      <c r="AA187" t="s">
        <v>379</v>
      </c>
      <c r="AB187" t="s">
        <v>379</v>
      </c>
      <c r="AC187" t="s">
        <v>454</v>
      </c>
      <c r="AD187" t="s">
        <v>453</v>
      </c>
      <c r="AE187">
        <v>10</v>
      </c>
      <c r="AF187">
        <v>6</v>
      </c>
      <c r="AG187">
        <v>1</v>
      </c>
      <c r="AH187" t="s">
        <v>383</v>
      </c>
      <c r="AJ187" t="s">
        <v>43</v>
      </c>
      <c r="AK187" t="s">
        <v>108</v>
      </c>
      <c r="AM187">
        <v>2337</v>
      </c>
      <c r="AN187">
        <v>260</v>
      </c>
    </row>
    <row r="188" spans="1:40" x14ac:dyDescent="0.35">
      <c r="A188" t="s">
        <v>379</v>
      </c>
      <c r="B188" t="s">
        <v>379</v>
      </c>
      <c r="C188" t="s">
        <v>379</v>
      </c>
      <c r="D188" t="s">
        <v>379</v>
      </c>
      <c r="E188" t="s">
        <v>379</v>
      </c>
      <c r="F188" t="s">
        <v>379</v>
      </c>
      <c r="G188" t="s">
        <v>379</v>
      </c>
      <c r="H188" t="s">
        <v>379</v>
      </c>
      <c r="I188" t="s">
        <v>379</v>
      </c>
      <c r="J188" t="s">
        <v>379</v>
      </c>
      <c r="K188" t="s">
        <v>379</v>
      </c>
      <c r="L188" t="s">
        <v>379</v>
      </c>
      <c r="M188" t="s">
        <v>379</v>
      </c>
      <c r="N188" t="s">
        <v>379</v>
      </c>
      <c r="O188" t="s">
        <v>379</v>
      </c>
      <c r="P188" t="s">
        <v>379</v>
      </c>
      <c r="Q188" t="s">
        <v>379</v>
      </c>
      <c r="R188" t="s">
        <v>379</v>
      </c>
      <c r="S188" t="s">
        <v>379</v>
      </c>
      <c r="T188" t="s">
        <v>379</v>
      </c>
      <c r="U188" t="s">
        <v>379</v>
      </c>
      <c r="V188" t="s">
        <v>379</v>
      </c>
      <c r="W188" t="s">
        <v>379</v>
      </c>
      <c r="X188" t="s">
        <v>379</v>
      </c>
      <c r="Y188" t="s">
        <v>379</v>
      </c>
      <c r="Z188" t="s">
        <v>379</v>
      </c>
      <c r="AA188" t="s">
        <v>379</v>
      </c>
      <c r="AB188" t="s">
        <v>379</v>
      </c>
      <c r="AC188" t="s">
        <v>454</v>
      </c>
      <c r="AD188" t="s">
        <v>453</v>
      </c>
      <c r="AE188">
        <v>10</v>
      </c>
      <c r="AF188">
        <v>7</v>
      </c>
      <c r="AG188">
        <v>1</v>
      </c>
      <c r="AH188" t="s">
        <v>455</v>
      </c>
      <c r="AJ188" t="s">
        <v>99</v>
      </c>
      <c r="AK188" t="s">
        <v>108</v>
      </c>
      <c r="AM188">
        <v>1153</v>
      </c>
      <c r="AN188">
        <v>2579</v>
      </c>
    </row>
    <row r="189" spans="1:40" x14ac:dyDescent="0.35">
      <c r="A189" t="s">
        <v>379</v>
      </c>
      <c r="B189" t="s">
        <v>379</v>
      </c>
      <c r="C189" t="s">
        <v>379</v>
      </c>
      <c r="D189" t="s">
        <v>379</v>
      </c>
      <c r="E189" t="s">
        <v>379</v>
      </c>
      <c r="F189" t="s">
        <v>379</v>
      </c>
      <c r="G189" t="s">
        <v>379</v>
      </c>
      <c r="H189" t="s">
        <v>379</v>
      </c>
      <c r="I189" t="s">
        <v>379</v>
      </c>
      <c r="J189" t="s">
        <v>379</v>
      </c>
      <c r="K189" t="s">
        <v>379</v>
      </c>
      <c r="L189" t="s">
        <v>379</v>
      </c>
      <c r="M189" t="s">
        <v>379</v>
      </c>
      <c r="N189" t="s">
        <v>379</v>
      </c>
      <c r="O189" t="s">
        <v>379</v>
      </c>
      <c r="P189" t="s">
        <v>379</v>
      </c>
      <c r="Q189" t="s">
        <v>379</v>
      </c>
      <c r="R189" t="s">
        <v>379</v>
      </c>
      <c r="S189" t="s">
        <v>379</v>
      </c>
      <c r="T189" t="s">
        <v>379</v>
      </c>
      <c r="U189" t="s">
        <v>379</v>
      </c>
      <c r="V189" t="s">
        <v>379</v>
      </c>
      <c r="W189" t="s">
        <v>379</v>
      </c>
      <c r="X189" t="s">
        <v>379</v>
      </c>
      <c r="Y189" t="s">
        <v>379</v>
      </c>
      <c r="Z189" t="s">
        <v>379</v>
      </c>
      <c r="AA189" t="s">
        <v>379</v>
      </c>
      <c r="AB189" t="s">
        <v>379</v>
      </c>
      <c r="AC189" t="s">
        <v>454</v>
      </c>
      <c r="AD189" t="s">
        <v>453</v>
      </c>
      <c r="AE189">
        <v>10</v>
      </c>
      <c r="AF189">
        <v>8</v>
      </c>
      <c r="AG189">
        <v>1</v>
      </c>
      <c r="AH189" t="s">
        <v>456</v>
      </c>
      <c r="AJ189" t="s">
        <v>100</v>
      </c>
      <c r="AK189" t="s">
        <v>108</v>
      </c>
      <c r="AM189">
        <v>3038</v>
      </c>
      <c r="AN189">
        <v>621</v>
      </c>
    </row>
    <row r="190" spans="1:40" x14ac:dyDescent="0.35">
      <c r="A190" t="s">
        <v>379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379</v>
      </c>
      <c r="I190" t="s">
        <v>379</v>
      </c>
      <c r="J190" t="s">
        <v>379</v>
      </c>
      <c r="K190" t="s">
        <v>379</v>
      </c>
      <c r="L190" t="s">
        <v>379</v>
      </c>
      <c r="M190" t="s">
        <v>379</v>
      </c>
      <c r="N190" t="s">
        <v>379</v>
      </c>
      <c r="O190" t="s">
        <v>379</v>
      </c>
      <c r="P190" t="s">
        <v>379</v>
      </c>
      <c r="Q190" t="s">
        <v>379</v>
      </c>
      <c r="R190" t="s">
        <v>379</v>
      </c>
      <c r="S190" t="s">
        <v>379</v>
      </c>
      <c r="T190" t="s">
        <v>379</v>
      </c>
      <c r="U190" t="s">
        <v>379</v>
      </c>
      <c r="V190" t="s">
        <v>379</v>
      </c>
      <c r="W190" t="s">
        <v>379</v>
      </c>
      <c r="X190" t="s">
        <v>379</v>
      </c>
      <c r="Y190" t="s">
        <v>379</v>
      </c>
      <c r="Z190" t="s">
        <v>379</v>
      </c>
      <c r="AA190" t="s">
        <v>379</v>
      </c>
      <c r="AB190" t="s">
        <v>379</v>
      </c>
      <c r="AC190" t="s">
        <v>454</v>
      </c>
      <c r="AD190" t="s">
        <v>453</v>
      </c>
      <c r="AE190">
        <v>10</v>
      </c>
      <c r="AF190">
        <v>9</v>
      </c>
      <c r="AG190">
        <v>1</v>
      </c>
      <c r="AH190" t="s">
        <v>401</v>
      </c>
      <c r="AJ190" t="s">
        <v>59</v>
      </c>
      <c r="AK190" t="s">
        <v>108</v>
      </c>
      <c r="AM190">
        <v>356</v>
      </c>
      <c r="AN190">
        <v>1730</v>
      </c>
    </row>
    <row r="191" spans="1:40" x14ac:dyDescent="0.35">
      <c r="A191" t="s">
        <v>379</v>
      </c>
      <c r="B191" t="s">
        <v>379</v>
      </c>
      <c r="C191" t="s">
        <v>379</v>
      </c>
      <c r="D191" t="s">
        <v>379</v>
      </c>
      <c r="E191" t="s">
        <v>379</v>
      </c>
      <c r="F191" t="s">
        <v>379</v>
      </c>
      <c r="G191" t="s">
        <v>379</v>
      </c>
      <c r="H191" t="s">
        <v>379</v>
      </c>
      <c r="I191" t="s">
        <v>379</v>
      </c>
      <c r="J191" t="s">
        <v>379</v>
      </c>
      <c r="K191" t="s">
        <v>379</v>
      </c>
      <c r="L191" t="s">
        <v>379</v>
      </c>
      <c r="M191" t="s">
        <v>379</v>
      </c>
      <c r="N191" t="s">
        <v>379</v>
      </c>
      <c r="O191" t="s">
        <v>379</v>
      </c>
      <c r="P191" t="s">
        <v>379</v>
      </c>
      <c r="Q191" t="s">
        <v>379</v>
      </c>
      <c r="R191" t="s">
        <v>379</v>
      </c>
      <c r="S191" t="s">
        <v>379</v>
      </c>
      <c r="T191" t="s">
        <v>379</v>
      </c>
      <c r="U191" t="s">
        <v>379</v>
      </c>
      <c r="V191" t="s">
        <v>379</v>
      </c>
      <c r="W191" t="s">
        <v>379</v>
      </c>
      <c r="X191" t="s">
        <v>379</v>
      </c>
      <c r="Y191" t="s">
        <v>379</v>
      </c>
      <c r="Z191" t="s">
        <v>379</v>
      </c>
      <c r="AA191" t="s">
        <v>379</v>
      </c>
      <c r="AB191" t="s">
        <v>379</v>
      </c>
      <c r="AC191" t="s">
        <v>454</v>
      </c>
      <c r="AD191" t="s">
        <v>453</v>
      </c>
      <c r="AE191">
        <v>10</v>
      </c>
      <c r="AF191">
        <v>10</v>
      </c>
      <c r="AH191" t="s">
        <v>457</v>
      </c>
      <c r="AJ191" t="s">
        <v>101</v>
      </c>
      <c r="AK191" t="s">
        <v>109</v>
      </c>
      <c r="AM191">
        <v>1105</v>
      </c>
      <c r="AN191">
        <v>1575</v>
      </c>
    </row>
    <row r="192" spans="1:40" x14ac:dyDescent="0.35">
      <c r="A192" t="s">
        <v>379</v>
      </c>
      <c r="B192" t="s">
        <v>379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379</v>
      </c>
      <c r="N192" t="s">
        <v>379</v>
      </c>
      <c r="O192" t="s">
        <v>379</v>
      </c>
      <c r="P192" t="s">
        <v>379</v>
      </c>
      <c r="Q192" t="s">
        <v>379</v>
      </c>
      <c r="R192" t="s">
        <v>379</v>
      </c>
      <c r="S192" t="s">
        <v>379</v>
      </c>
      <c r="T192" t="s">
        <v>379</v>
      </c>
      <c r="U192" t="s">
        <v>379</v>
      </c>
      <c r="V192" t="s">
        <v>379</v>
      </c>
      <c r="W192" t="s">
        <v>379</v>
      </c>
      <c r="X192" t="s">
        <v>379</v>
      </c>
      <c r="Y192" t="s">
        <v>379</v>
      </c>
      <c r="Z192" t="s">
        <v>379</v>
      </c>
      <c r="AA192" t="s">
        <v>379</v>
      </c>
      <c r="AB192" t="s">
        <v>379</v>
      </c>
      <c r="AC192" t="s">
        <v>459</v>
      </c>
      <c r="AD192" t="s">
        <v>458</v>
      </c>
      <c r="AE192">
        <v>10</v>
      </c>
      <c r="AF192">
        <v>1</v>
      </c>
      <c r="AG192">
        <v>1</v>
      </c>
      <c r="AH192" t="s">
        <v>410</v>
      </c>
      <c r="AJ192" t="s">
        <v>66</v>
      </c>
      <c r="AK192" t="s">
        <v>108</v>
      </c>
      <c r="AM192">
        <v>2819</v>
      </c>
      <c r="AN192">
        <v>2586</v>
      </c>
    </row>
    <row r="193" spans="1:40" x14ac:dyDescent="0.35">
      <c r="A193" t="s">
        <v>379</v>
      </c>
      <c r="B193" t="s">
        <v>379</v>
      </c>
      <c r="C193" t="s">
        <v>379</v>
      </c>
      <c r="D193" t="s">
        <v>379</v>
      </c>
      <c r="E193" t="s">
        <v>379</v>
      </c>
      <c r="F193" t="s">
        <v>379</v>
      </c>
      <c r="G193" t="s">
        <v>379</v>
      </c>
      <c r="H193" t="s">
        <v>379</v>
      </c>
      <c r="I193" t="s">
        <v>379</v>
      </c>
      <c r="J193" t="s">
        <v>379</v>
      </c>
      <c r="K193" t="s">
        <v>379</v>
      </c>
      <c r="L193" t="s">
        <v>379</v>
      </c>
      <c r="M193" t="s">
        <v>379</v>
      </c>
      <c r="N193" t="s">
        <v>379</v>
      </c>
      <c r="O193" t="s">
        <v>379</v>
      </c>
      <c r="P193" t="s">
        <v>379</v>
      </c>
      <c r="Q193" t="s">
        <v>379</v>
      </c>
      <c r="R193" t="s">
        <v>379</v>
      </c>
      <c r="S193" t="s">
        <v>379</v>
      </c>
      <c r="T193" t="s">
        <v>379</v>
      </c>
      <c r="U193" t="s">
        <v>379</v>
      </c>
      <c r="V193" t="s">
        <v>379</v>
      </c>
      <c r="W193" t="s">
        <v>379</v>
      </c>
      <c r="X193" t="s">
        <v>379</v>
      </c>
      <c r="Y193" t="s">
        <v>379</v>
      </c>
      <c r="Z193" t="s">
        <v>379</v>
      </c>
      <c r="AA193" t="s">
        <v>379</v>
      </c>
      <c r="AB193" t="s">
        <v>379</v>
      </c>
      <c r="AC193" t="s">
        <v>459</v>
      </c>
      <c r="AD193" t="s">
        <v>458</v>
      </c>
      <c r="AE193">
        <v>10</v>
      </c>
      <c r="AF193">
        <v>2</v>
      </c>
      <c r="AH193" t="s">
        <v>384</v>
      </c>
      <c r="AJ193" t="s">
        <v>44</v>
      </c>
      <c r="AK193" t="s">
        <v>109</v>
      </c>
      <c r="AM193">
        <v>255</v>
      </c>
      <c r="AN193">
        <v>767</v>
      </c>
    </row>
    <row r="194" spans="1:40" x14ac:dyDescent="0.35">
      <c r="A194" t="s">
        <v>379</v>
      </c>
      <c r="B194" t="s">
        <v>379</v>
      </c>
      <c r="C194" t="s">
        <v>379</v>
      </c>
      <c r="D194" t="s">
        <v>379</v>
      </c>
      <c r="E194" t="s">
        <v>379</v>
      </c>
      <c r="F194" t="s">
        <v>379</v>
      </c>
      <c r="G194" t="s">
        <v>379</v>
      </c>
      <c r="H194" t="s">
        <v>379</v>
      </c>
      <c r="I194" t="s">
        <v>379</v>
      </c>
      <c r="J194" t="s">
        <v>379</v>
      </c>
      <c r="K194" t="s">
        <v>379</v>
      </c>
      <c r="L194" t="s">
        <v>379</v>
      </c>
      <c r="M194" t="s">
        <v>379</v>
      </c>
      <c r="N194" t="s">
        <v>379</v>
      </c>
      <c r="O194" t="s">
        <v>379</v>
      </c>
      <c r="P194" t="s">
        <v>379</v>
      </c>
      <c r="Q194" t="s">
        <v>379</v>
      </c>
      <c r="R194" t="s">
        <v>379</v>
      </c>
      <c r="S194" t="s">
        <v>379</v>
      </c>
      <c r="T194" t="s">
        <v>379</v>
      </c>
      <c r="U194" t="s">
        <v>379</v>
      </c>
      <c r="V194" t="s">
        <v>379</v>
      </c>
      <c r="W194" t="s">
        <v>379</v>
      </c>
      <c r="X194" t="s">
        <v>379</v>
      </c>
      <c r="Y194" t="s">
        <v>379</v>
      </c>
      <c r="Z194" t="s">
        <v>379</v>
      </c>
      <c r="AA194" t="s">
        <v>379</v>
      </c>
      <c r="AB194" t="s">
        <v>379</v>
      </c>
      <c r="AC194" t="s">
        <v>459</v>
      </c>
      <c r="AD194" t="s">
        <v>458</v>
      </c>
      <c r="AE194">
        <v>10</v>
      </c>
      <c r="AF194">
        <v>3</v>
      </c>
      <c r="AH194" t="s">
        <v>384</v>
      </c>
      <c r="AJ194" t="s">
        <v>44</v>
      </c>
      <c r="AK194" t="s">
        <v>109</v>
      </c>
      <c r="AM194">
        <v>1495</v>
      </c>
      <c r="AN194">
        <v>1775</v>
      </c>
    </row>
    <row r="195" spans="1:40" x14ac:dyDescent="0.35">
      <c r="A195" t="s">
        <v>379</v>
      </c>
      <c r="B195" t="s">
        <v>379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  <c r="P195" t="s">
        <v>379</v>
      </c>
      <c r="Q195" t="s">
        <v>379</v>
      </c>
      <c r="R195" t="s">
        <v>379</v>
      </c>
      <c r="S195" t="s">
        <v>379</v>
      </c>
      <c r="T195" t="s">
        <v>379</v>
      </c>
      <c r="U195" t="s">
        <v>379</v>
      </c>
      <c r="V195" t="s">
        <v>379</v>
      </c>
      <c r="W195" t="s">
        <v>379</v>
      </c>
      <c r="X195" t="s">
        <v>379</v>
      </c>
      <c r="Y195" t="s">
        <v>379</v>
      </c>
      <c r="Z195" t="s">
        <v>379</v>
      </c>
      <c r="AA195" t="s">
        <v>379</v>
      </c>
      <c r="AB195" t="s">
        <v>379</v>
      </c>
      <c r="AC195" t="s">
        <v>459</v>
      </c>
      <c r="AD195" t="s">
        <v>458</v>
      </c>
      <c r="AE195">
        <v>10</v>
      </c>
      <c r="AF195">
        <v>4</v>
      </c>
      <c r="AG195">
        <v>1</v>
      </c>
      <c r="AH195" t="s">
        <v>382</v>
      </c>
      <c r="AJ195" t="s">
        <v>42</v>
      </c>
      <c r="AK195" t="s">
        <v>108</v>
      </c>
      <c r="AM195">
        <v>2083</v>
      </c>
      <c r="AN195">
        <v>1464</v>
      </c>
    </row>
    <row r="196" spans="1:40" x14ac:dyDescent="0.35">
      <c r="A196" t="s">
        <v>379</v>
      </c>
      <c r="B196" t="s">
        <v>379</v>
      </c>
      <c r="C196" t="s">
        <v>379</v>
      </c>
      <c r="D196" t="s">
        <v>379</v>
      </c>
      <c r="E196" t="s">
        <v>379</v>
      </c>
      <c r="F196" t="s">
        <v>379</v>
      </c>
      <c r="G196" t="s">
        <v>379</v>
      </c>
      <c r="H196" t="s">
        <v>379</v>
      </c>
      <c r="I196" t="s">
        <v>379</v>
      </c>
      <c r="J196" t="s">
        <v>379</v>
      </c>
      <c r="K196" t="s">
        <v>379</v>
      </c>
      <c r="L196" t="s">
        <v>379</v>
      </c>
      <c r="M196" t="s">
        <v>379</v>
      </c>
      <c r="N196" t="s">
        <v>379</v>
      </c>
      <c r="O196" t="s">
        <v>379</v>
      </c>
      <c r="P196" t="s">
        <v>379</v>
      </c>
      <c r="Q196" t="s">
        <v>379</v>
      </c>
      <c r="R196" t="s">
        <v>379</v>
      </c>
      <c r="S196" t="s">
        <v>379</v>
      </c>
      <c r="T196" t="s">
        <v>379</v>
      </c>
      <c r="U196" t="s">
        <v>379</v>
      </c>
      <c r="V196" t="s">
        <v>379</v>
      </c>
      <c r="W196" t="s">
        <v>379</v>
      </c>
      <c r="X196" t="s">
        <v>379</v>
      </c>
      <c r="Y196" t="s">
        <v>379</v>
      </c>
      <c r="Z196" t="s">
        <v>379</v>
      </c>
      <c r="AA196" t="s">
        <v>379</v>
      </c>
      <c r="AB196" t="s">
        <v>379</v>
      </c>
      <c r="AC196" t="s">
        <v>459</v>
      </c>
      <c r="AD196" t="s">
        <v>458</v>
      </c>
      <c r="AE196">
        <v>10</v>
      </c>
      <c r="AF196">
        <v>5</v>
      </c>
      <c r="AH196" t="s">
        <v>384</v>
      </c>
      <c r="AJ196" t="s">
        <v>44</v>
      </c>
      <c r="AK196" t="s">
        <v>109</v>
      </c>
      <c r="AM196">
        <v>2070</v>
      </c>
      <c r="AN196">
        <v>2084</v>
      </c>
    </row>
    <row r="197" spans="1:40" x14ac:dyDescent="0.35">
      <c r="A197" t="s">
        <v>379</v>
      </c>
      <c r="B197" t="s">
        <v>379</v>
      </c>
      <c r="C197" t="s">
        <v>379</v>
      </c>
      <c r="D197" t="s">
        <v>379</v>
      </c>
      <c r="E197" t="s">
        <v>379</v>
      </c>
      <c r="F197" t="s">
        <v>379</v>
      </c>
      <c r="G197" t="s">
        <v>379</v>
      </c>
      <c r="H197" t="s">
        <v>379</v>
      </c>
      <c r="I197" t="s">
        <v>379</v>
      </c>
      <c r="J197" t="s">
        <v>379</v>
      </c>
      <c r="K197" t="s">
        <v>379</v>
      </c>
      <c r="L197" t="s">
        <v>379</v>
      </c>
      <c r="M197" t="s">
        <v>379</v>
      </c>
      <c r="N197" t="s">
        <v>379</v>
      </c>
      <c r="O197" t="s">
        <v>379</v>
      </c>
      <c r="P197" t="s">
        <v>379</v>
      </c>
      <c r="Q197" t="s">
        <v>379</v>
      </c>
      <c r="R197" t="s">
        <v>379</v>
      </c>
      <c r="S197" t="s">
        <v>379</v>
      </c>
      <c r="T197" t="s">
        <v>379</v>
      </c>
      <c r="U197" t="s">
        <v>379</v>
      </c>
      <c r="V197" t="s">
        <v>379</v>
      </c>
      <c r="W197" t="s">
        <v>379</v>
      </c>
      <c r="X197" t="s">
        <v>379</v>
      </c>
      <c r="Y197" t="s">
        <v>379</v>
      </c>
      <c r="Z197" t="s">
        <v>379</v>
      </c>
      <c r="AA197" t="s">
        <v>379</v>
      </c>
      <c r="AB197" t="s">
        <v>379</v>
      </c>
      <c r="AC197" t="s">
        <v>459</v>
      </c>
      <c r="AD197" t="s">
        <v>458</v>
      </c>
      <c r="AE197">
        <v>10</v>
      </c>
      <c r="AF197">
        <v>6</v>
      </c>
      <c r="AH197" t="s">
        <v>384</v>
      </c>
      <c r="AJ197" t="s">
        <v>44</v>
      </c>
      <c r="AK197" t="s">
        <v>109</v>
      </c>
      <c r="AM197">
        <v>1552</v>
      </c>
      <c r="AN197">
        <v>1831</v>
      </c>
    </row>
    <row r="198" spans="1:40" x14ac:dyDescent="0.35">
      <c r="A198" t="s">
        <v>379</v>
      </c>
      <c r="B198" t="s">
        <v>379</v>
      </c>
      <c r="C198" t="s">
        <v>379</v>
      </c>
      <c r="D198" t="s">
        <v>379</v>
      </c>
      <c r="E198" t="s">
        <v>379</v>
      </c>
      <c r="F198" t="s">
        <v>379</v>
      </c>
      <c r="G198" t="s">
        <v>379</v>
      </c>
      <c r="H198" t="s">
        <v>379</v>
      </c>
      <c r="I198" t="s">
        <v>379</v>
      </c>
      <c r="J198" t="s">
        <v>379</v>
      </c>
      <c r="K198" t="s">
        <v>379</v>
      </c>
      <c r="L198" t="s">
        <v>379</v>
      </c>
      <c r="M198" t="s">
        <v>379</v>
      </c>
      <c r="N198" t="s">
        <v>379</v>
      </c>
      <c r="O198" t="s">
        <v>379</v>
      </c>
      <c r="P198" t="s">
        <v>379</v>
      </c>
      <c r="Q198" t="s">
        <v>379</v>
      </c>
      <c r="R198" t="s">
        <v>379</v>
      </c>
      <c r="S198" t="s">
        <v>379</v>
      </c>
      <c r="T198" t="s">
        <v>379</v>
      </c>
      <c r="U198" t="s">
        <v>379</v>
      </c>
      <c r="V198" t="s">
        <v>379</v>
      </c>
      <c r="W198" t="s">
        <v>379</v>
      </c>
      <c r="X198" t="s">
        <v>379</v>
      </c>
      <c r="Y198" t="s">
        <v>379</v>
      </c>
      <c r="Z198" t="s">
        <v>379</v>
      </c>
      <c r="AA198" t="s">
        <v>379</v>
      </c>
      <c r="AB198" t="s">
        <v>379</v>
      </c>
      <c r="AC198" t="s">
        <v>459</v>
      </c>
      <c r="AD198" t="s">
        <v>458</v>
      </c>
      <c r="AE198">
        <v>10</v>
      </c>
      <c r="AF198">
        <v>7</v>
      </c>
      <c r="AG198">
        <v>1</v>
      </c>
      <c r="AH198" t="s">
        <v>382</v>
      </c>
      <c r="AJ198" t="s">
        <v>42</v>
      </c>
      <c r="AK198" t="s">
        <v>108</v>
      </c>
      <c r="AM198">
        <v>2359</v>
      </c>
      <c r="AN198">
        <v>1302</v>
      </c>
    </row>
    <row r="199" spans="1:40" x14ac:dyDescent="0.35">
      <c r="A199" t="s">
        <v>379</v>
      </c>
      <c r="B199" t="s">
        <v>379</v>
      </c>
      <c r="C199" t="s">
        <v>379</v>
      </c>
      <c r="D199" t="s">
        <v>379</v>
      </c>
      <c r="E199" t="s">
        <v>379</v>
      </c>
      <c r="F199" t="s">
        <v>379</v>
      </c>
      <c r="G199" t="s">
        <v>379</v>
      </c>
      <c r="H199" t="s">
        <v>379</v>
      </c>
      <c r="I199" t="s">
        <v>379</v>
      </c>
      <c r="J199" t="s">
        <v>379</v>
      </c>
      <c r="K199" t="s">
        <v>379</v>
      </c>
      <c r="L199" t="s">
        <v>379</v>
      </c>
      <c r="M199" t="s">
        <v>379</v>
      </c>
      <c r="N199" t="s">
        <v>379</v>
      </c>
      <c r="O199" t="s">
        <v>379</v>
      </c>
      <c r="P199" t="s">
        <v>379</v>
      </c>
      <c r="Q199" t="s">
        <v>379</v>
      </c>
      <c r="R199" t="s">
        <v>379</v>
      </c>
      <c r="S199" t="s">
        <v>379</v>
      </c>
      <c r="T199" t="s">
        <v>379</v>
      </c>
      <c r="U199" t="s">
        <v>379</v>
      </c>
      <c r="V199" t="s">
        <v>379</v>
      </c>
      <c r="W199" t="s">
        <v>379</v>
      </c>
      <c r="X199" t="s">
        <v>379</v>
      </c>
      <c r="Y199" t="s">
        <v>379</v>
      </c>
      <c r="Z199" t="s">
        <v>379</v>
      </c>
      <c r="AA199" t="s">
        <v>379</v>
      </c>
      <c r="AB199" t="s">
        <v>379</v>
      </c>
      <c r="AC199" t="s">
        <v>459</v>
      </c>
      <c r="AD199" t="s">
        <v>458</v>
      </c>
      <c r="AE199">
        <v>10</v>
      </c>
      <c r="AF199">
        <v>8</v>
      </c>
      <c r="AG199">
        <v>1</v>
      </c>
      <c r="AH199" t="s">
        <v>403</v>
      </c>
      <c r="AJ199" t="s">
        <v>61</v>
      </c>
      <c r="AK199" t="s">
        <v>108</v>
      </c>
      <c r="AM199">
        <v>2883</v>
      </c>
      <c r="AN199">
        <v>8</v>
      </c>
    </row>
    <row r="200" spans="1:40" x14ac:dyDescent="0.35">
      <c r="A200" t="s">
        <v>379</v>
      </c>
      <c r="B200" t="s">
        <v>379</v>
      </c>
      <c r="C200" t="s">
        <v>379</v>
      </c>
      <c r="D200" t="s">
        <v>379</v>
      </c>
      <c r="E200" t="s">
        <v>379</v>
      </c>
      <c r="F200" t="s">
        <v>379</v>
      </c>
      <c r="G200" t="s">
        <v>379</v>
      </c>
      <c r="H200" t="s">
        <v>379</v>
      </c>
      <c r="I200" t="s">
        <v>379</v>
      </c>
      <c r="J200" t="s">
        <v>379</v>
      </c>
      <c r="K200" t="s">
        <v>379</v>
      </c>
      <c r="L200" t="s">
        <v>379</v>
      </c>
      <c r="M200" t="s">
        <v>379</v>
      </c>
      <c r="N200" t="s">
        <v>379</v>
      </c>
      <c r="O200" t="s">
        <v>379</v>
      </c>
      <c r="P200" t="s">
        <v>379</v>
      </c>
      <c r="Q200" t="s">
        <v>379</v>
      </c>
      <c r="R200" t="s">
        <v>379</v>
      </c>
      <c r="S200" t="s">
        <v>379</v>
      </c>
      <c r="T200" t="s">
        <v>379</v>
      </c>
      <c r="U200" t="s">
        <v>379</v>
      </c>
      <c r="V200" t="s">
        <v>379</v>
      </c>
      <c r="W200" t="s">
        <v>379</v>
      </c>
      <c r="X200" t="s">
        <v>379</v>
      </c>
      <c r="Y200" t="s">
        <v>379</v>
      </c>
      <c r="Z200" t="s">
        <v>379</v>
      </c>
      <c r="AA200" t="s">
        <v>379</v>
      </c>
      <c r="AB200" t="s">
        <v>379</v>
      </c>
      <c r="AC200" t="s">
        <v>459</v>
      </c>
      <c r="AD200" t="s">
        <v>458</v>
      </c>
      <c r="AE200">
        <v>10</v>
      </c>
      <c r="AF200">
        <v>9</v>
      </c>
      <c r="AH200" t="s">
        <v>389</v>
      </c>
      <c r="AJ200" t="s">
        <v>48</v>
      </c>
      <c r="AK200" t="s">
        <v>109</v>
      </c>
      <c r="AM200">
        <v>389</v>
      </c>
      <c r="AN200">
        <v>1107</v>
      </c>
    </row>
    <row r="201" spans="1:40" x14ac:dyDescent="0.35">
      <c r="A201" t="s">
        <v>379</v>
      </c>
      <c r="B201" t="s">
        <v>379</v>
      </c>
      <c r="C201" t="s">
        <v>379</v>
      </c>
      <c r="D201" t="s">
        <v>379</v>
      </c>
      <c r="E201" t="s">
        <v>379</v>
      </c>
      <c r="F201" t="s">
        <v>379</v>
      </c>
      <c r="G201" t="s">
        <v>379</v>
      </c>
      <c r="H201" t="s">
        <v>379</v>
      </c>
      <c r="I201" t="s">
        <v>379</v>
      </c>
      <c r="J201" t="s">
        <v>379</v>
      </c>
      <c r="K201" t="s">
        <v>379</v>
      </c>
      <c r="L201" t="s">
        <v>379</v>
      </c>
      <c r="M201" t="s">
        <v>379</v>
      </c>
      <c r="N201" t="s">
        <v>379</v>
      </c>
      <c r="O201" t="s">
        <v>379</v>
      </c>
      <c r="P201" t="s">
        <v>379</v>
      </c>
      <c r="Q201" t="s">
        <v>379</v>
      </c>
      <c r="R201" t="s">
        <v>379</v>
      </c>
      <c r="S201" t="s">
        <v>379</v>
      </c>
      <c r="T201" t="s">
        <v>379</v>
      </c>
      <c r="U201" t="s">
        <v>379</v>
      </c>
      <c r="V201" t="s">
        <v>379</v>
      </c>
      <c r="W201" t="s">
        <v>379</v>
      </c>
      <c r="X201" t="s">
        <v>379</v>
      </c>
      <c r="Y201" t="s">
        <v>379</v>
      </c>
      <c r="Z201" t="s">
        <v>379</v>
      </c>
      <c r="AA201" t="s">
        <v>379</v>
      </c>
      <c r="AB201" t="s">
        <v>379</v>
      </c>
      <c r="AC201" t="s">
        <v>459</v>
      </c>
      <c r="AD201" t="s">
        <v>458</v>
      </c>
      <c r="AE201">
        <v>10</v>
      </c>
      <c r="AF201">
        <v>10</v>
      </c>
      <c r="AH201" t="s">
        <v>380</v>
      </c>
      <c r="AJ201" t="s">
        <v>37</v>
      </c>
      <c r="AK201" t="s">
        <v>115</v>
      </c>
      <c r="AM201">
        <v>658</v>
      </c>
      <c r="AN201">
        <v>1394</v>
      </c>
    </row>
    <row r="202" spans="1:40" x14ac:dyDescent="0.35">
      <c r="A202" t="s">
        <v>379</v>
      </c>
      <c r="B202" t="s">
        <v>379</v>
      </c>
      <c r="C202" t="s">
        <v>379</v>
      </c>
      <c r="D202" t="s">
        <v>379</v>
      </c>
      <c r="E202" t="s">
        <v>379</v>
      </c>
      <c r="F202" t="s">
        <v>379</v>
      </c>
      <c r="G202" t="s">
        <v>379</v>
      </c>
      <c r="H202" t="s">
        <v>379</v>
      </c>
      <c r="I202" t="s">
        <v>379</v>
      </c>
      <c r="J202" t="s">
        <v>379</v>
      </c>
      <c r="K202" t="s">
        <v>379</v>
      </c>
      <c r="L202" t="s">
        <v>379</v>
      </c>
      <c r="M202" t="s">
        <v>379</v>
      </c>
      <c r="N202" t="s">
        <v>379</v>
      </c>
      <c r="O202" t="s">
        <v>379</v>
      </c>
      <c r="P202" t="s">
        <v>379</v>
      </c>
      <c r="Q202" t="s">
        <v>379</v>
      </c>
      <c r="R202" t="s">
        <v>379</v>
      </c>
      <c r="S202" t="s">
        <v>379</v>
      </c>
      <c r="T202" t="s">
        <v>379</v>
      </c>
      <c r="U202" t="s">
        <v>379</v>
      </c>
      <c r="V202" t="s">
        <v>379</v>
      </c>
      <c r="W202" t="s">
        <v>379</v>
      </c>
      <c r="X202" t="s">
        <v>379</v>
      </c>
      <c r="Y202" t="s">
        <v>379</v>
      </c>
      <c r="Z202" t="s">
        <v>379</v>
      </c>
      <c r="AA202" t="s">
        <v>379</v>
      </c>
      <c r="AB202" t="s">
        <v>379</v>
      </c>
      <c r="AC202" t="s">
        <v>461</v>
      </c>
      <c r="AD202" t="s">
        <v>460</v>
      </c>
      <c r="AE202">
        <v>10</v>
      </c>
      <c r="AF202">
        <v>1</v>
      </c>
      <c r="AG202">
        <v>1</v>
      </c>
      <c r="AH202" t="s">
        <v>438</v>
      </c>
      <c r="AJ202" t="s">
        <v>87</v>
      </c>
      <c r="AK202" t="s">
        <v>108</v>
      </c>
      <c r="AM202">
        <v>3087</v>
      </c>
      <c r="AN202">
        <v>714</v>
      </c>
    </row>
    <row r="203" spans="1:40" x14ac:dyDescent="0.35">
      <c r="A203" t="s">
        <v>379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379</v>
      </c>
      <c r="I203" t="s">
        <v>379</v>
      </c>
      <c r="J203" t="s">
        <v>379</v>
      </c>
      <c r="K203" t="s">
        <v>379</v>
      </c>
      <c r="L203" t="s">
        <v>379</v>
      </c>
      <c r="M203" t="s">
        <v>379</v>
      </c>
      <c r="N203" t="s">
        <v>379</v>
      </c>
      <c r="O203" t="s">
        <v>379</v>
      </c>
      <c r="P203" t="s">
        <v>379</v>
      </c>
      <c r="Q203" t="s">
        <v>379</v>
      </c>
      <c r="R203" t="s">
        <v>379</v>
      </c>
      <c r="S203" t="s">
        <v>379</v>
      </c>
      <c r="T203" t="s">
        <v>379</v>
      </c>
      <c r="U203" t="s">
        <v>379</v>
      </c>
      <c r="V203" t="s">
        <v>379</v>
      </c>
      <c r="W203" t="s">
        <v>379</v>
      </c>
      <c r="X203" t="s">
        <v>379</v>
      </c>
      <c r="Y203" t="s">
        <v>379</v>
      </c>
      <c r="Z203" t="s">
        <v>379</v>
      </c>
      <c r="AA203" t="s">
        <v>379</v>
      </c>
      <c r="AB203" t="s">
        <v>379</v>
      </c>
      <c r="AC203" t="s">
        <v>461</v>
      </c>
      <c r="AD203" t="s">
        <v>460</v>
      </c>
      <c r="AE203">
        <v>10</v>
      </c>
      <c r="AF203">
        <v>2</v>
      </c>
      <c r="AG203">
        <v>1</v>
      </c>
      <c r="AH203" t="s">
        <v>401</v>
      </c>
      <c r="AJ203" t="s">
        <v>59</v>
      </c>
      <c r="AK203" t="s">
        <v>108</v>
      </c>
      <c r="AM203">
        <v>860</v>
      </c>
      <c r="AN203">
        <v>518</v>
      </c>
    </row>
    <row r="204" spans="1:40" x14ac:dyDescent="0.35">
      <c r="A204" t="s">
        <v>379</v>
      </c>
      <c r="B204" t="s">
        <v>379</v>
      </c>
      <c r="C204" t="s">
        <v>379</v>
      </c>
      <c r="D204" t="s">
        <v>379</v>
      </c>
      <c r="E204" t="s">
        <v>379</v>
      </c>
      <c r="F204" t="s">
        <v>379</v>
      </c>
      <c r="G204" t="s">
        <v>379</v>
      </c>
      <c r="H204" t="s">
        <v>379</v>
      </c>
      <c r="I204" t="s">
        <v>379</v>
      </c>
      <c r="J204" t="s">
        <v>379</v>
      </c>
      <c r="K204" t="s">
        <v>379</v>
      </c>
      <c r="L204" t="s">
        <v>379</v>
      </c>
      <c r="M204" t="s">
        <v>379</v>
      </c>
      <c r="N204" t="s">
        <v>379</v>
      </c>
      <c r="O204" t="s">
        <v>379</v>
      </c>
      <c r="P204" t="s">
        <v>379</v>
      </c>
      <c r="Q204" t="s">
        <v>379</v>
      </c>
      <c r="R204" t="s">
        <v>379</v>
      </c>
      <c r="S204" t="s">
        <v>379</v>
      </c>
      <c r="T204" t="s">
        <v>379</v>
      </c>
      <c r="U204" t="s">
        <v>379</v>
      </c>
      <c r="V204" t="s">
        <v>379</v>
      </c>
      <c r="W204" t="s">
        <v>379</v>
      </c>
      <c r="X204" t="s">
        <v>379</v>
      </c>
      <c r="Y204" t="s">
        <v>379</v>
      </c>
      <c r="Z204" t="s">
        <v>379</v>
      </c>
      <c r="AA204" t="s">
        <v>379</v>
      </c>
      <c r="AB204" t="s">
        <v>379</v>
      </c>
      <c r="AC204" t="s">
        <v>461</v>
      </c>
      <c r="AD204" t="s">
        <v>460</v>
      </c>
      <c r="AE204">
        <v>10</v>
      </c>
      <c r="AF204">
        <v>3</v>
      </c>
      <c r="AG204">
        <v>1</v>
      </c>
      <c r="AH204" t="s">
        <v>442</v>
      </c>
      <c r="AJ204" t="s">
        <v>90</v>
      </c>
      <c r="AK204" t="s">
        <v>108</v>
      </c>
      <c r="AM204">
        <v>502</v>
      </c>
      <c r="AN204">
        <v>420</v>
      </c>
    </row>
    <row r="205" spans="1:40" x14ac:dyDescent="0.35">
      <c r="A205" t="s">
        <v>379</v>
      </c>
      <c r="B205" t="s">
        <v>379</v>
      </c>
      <c r="C205" t="s">
        <v>379</v>
      </c>
      <c r="D205" t="s">
        <v>379</v>
      </c>
      <c r="E205" t="s">
        <v>379</v>
      </c>
      <c r="F205" t="s">
        <v>379</v>
      </c>
      <c r="G205" t="s">
        <v>379</v>
      </c>
      <c r="H205" t="s">
        <v>379</v>
      </c>
      <c r="I205" t="s">
        <v>379</v>
      </c>
      <c r="J205" t="s">
        <v>379</v>
      </c>
      <c r="K205" t="s">
        <v>379</v>
      </c>
      <c r="L205" t="s">
        <v>379</v>
      </c>
      <c r="M205" t="s">
        <v>379</v>
      </c>
      <c r="N205" t="s">
        <v>379</v>
      </c>
      <c r="O205" t="s">
        <v>379</v>
      </c>
      <c r="P205" t="s">
        <v>379</v>
      </c>
      <c r="Q205" t="s">
        <v>379</v>
      </c>
      <c r="R205" t="s">
        <v>379</v>
      </c>
      <c r="S205" t="s">
        <v>379</v>
      </c>
      <c r="T205" t="s">
        <v>379</v>
      </c>
      <c r="U205" t="s">
        <v>379</v>
      </c>
      <c r="V205" t="s">
        <v>379</v>
      </c>
      <c r="W205" t="s">
        <v>379</v>
      </c>
      <c r="X205" t="s">
        <v>379</v>
      </c>
      <c r="Y205" t="s">
        <v>379</v>
      </c>
      <c r="Z205" t="s">
        <v>379</v>
      </c>
      <c r="AA205" t="s">
        <v>379</v>
      </c>
      <c r="AB205" t="s">
        <v>379</v>
      </c>
      <c r="AC205" t="s">
        <v>461</v>
      </c>
      <c r="AD205" t="s">
        <v>460</v>
      </c>
      <c r="AE205">
        <v>10</v>
      </c>
      <c r="AF205">
        <v>4</v>
      </c>
      <c r="AG205">
        <v>1</v>
      </c>
      <c r="AH205" t="s">
        <v>402</v>
      </c>
      <c r="AJ205" t="s">
        <v>60</v>
      </c>
      <c r="AK205" t="s">
        <v>108</v>
      </c>
      <c r="AM205">
        <v>2769</v>
      </c>
      <c r="AN205">
        <v>1452</v>
      </c>
    </row>
    <row r="206" spans="1:40" x14ac:dyDescent="0.35">
      <c r="A206" t="s">
        <v>379</v>
      </c>
      <c r="B206" t="s">
        <v>379</v>
      </c>
      <c r="C206" t="s">
        <v>379</v>
      </c>
      <c r="D206" t="s">
        <v>379</v>
      </c>
      <c r="E206" t="s">
        <v>379</v>
      </c>
      <c r="F206" t="s">
        <v>379</v>
      </c>
      <c r="G206" t="s">
        <v>379</v>
      </c>
      <c r="H206" t="s">
        <v>379</v>
      </c>
      <c r="I206" t="s">
        <v>379</v>
      </c>
      <c r="J206" t="s">
        <v>379</v>
      </c>
      <c r="K206" t="s">
        <v>379</v>
      </c>
      <c r="L206" t="s">
        <v>379</v>
      </c>
      <c r="M206" t="s">
        <v>379</v>
      </c>
      <c r="N206" t="s">
        <v>379</v>
      </c>
      <c r="O206" t="s">
        <v>379</v>
      </c>
      <c r="P206" t="s">
        <v>379</v>
      </c>
      <c r="Q206" t="s">
        <v>379</v>
      </c>
      <c r="R206" t="s">
        <v>379</v>
      </c>
      <c r="S206" t="s">
        <v>379</v>
      </c>
      <c r="T206" t="s">
        <v>379</v>
      </c>
      <c r="U206" t="s">
        <v>379</v>
      </c>
      <c r="V206" t="s">
        <v>379</v>
      </c>
      <c r="W206" t="s">
        <v>379</v>
      </c>
      <c r="X206" t="s">
        <v>379</v>
      </c>
      <c r="Y206" t="s">
        <v>379</v>
      </c>
      <c r="Z206" t="s">
        <v>379</v>
      </c>
      <c r="AA206" t="s">
        <v>379</v>
      </c>
      <c r="AB206" t="s">
        <v>379</v>
      </c>
      <c r="AC206" t="s">
        <v>461</v>
      </c>
      <c r="AD206" t="s">
        <v>460</v>
      </c>
      <c r="AE206">
        <v>10</v>
      </c>
      <c r="AF206">
        <v>5</v>
      </c>
      <c r="AH206" t="s">
        <v>384</v>
      </c>
      <c r="AJ206" t="s">
        <v>44</v>
      </c>
      <c r="AK206" t="s">
        <v>109</v>
      </c>
      <c r="AM206">
        <v>2676</v>
      </c>
      <c r="AN206">
        <v>189</v>
      </c>
    </row>
    <row r="207" spans="1:40" x14ac:dyDescent="0.35">
      <c r="A207" t="s">
        <v>379</v>
      </c>
      <c r="B207" t="s">
        <v>379</v>
      </c>
      <c r="C207" t="s">
        <v>379</v>
      </c>
      <c r="D207" t="s">
        <v>379</v>
      </c>
      <c r="E207" t="s">
        <v>379</v>
      </c>
      <c r="F207" t="s">
        <v>379</v>
      </c>
      <c r="G207" t="s">
        <v>379</v>
      </c>
      <c r="H207" t="s">
        <v>379</v>
      </c>
      <c r="I207" t="s">
        <v>379</v>
      </c>
      <c r="J207" t="s">
        <v>379</v>
      </c>
      <c r="K207" t="s">
        <v>379</v>
      </c>
      <c r="L207" t="s">
        <v>379</v>
      </c>
      <c r="M207" t="s">
        <v>379</v>
      </c>
      <c r="N207" t="s">
        <v>379</v>
      </c>
      <c r="O207" t="s">
        <v>379</v>
      </c>
      <c r="P207" t="s">
        <v>379</v>
      </c>
      <c r="Q207" t="s">
        <v>379</v>
      </c>
      <c r="R207" t="s">
        <v>379</v>
      </c>
      <c r="S207" t="s">
        <v>379</v>
      </c>
      <c r="T207" t="s">
        <v>379</v>
      </c>
      <c r="U207" t="s">
        <v>379</v>
      </c>
      <c r="V207" t="s">
        <v>379</v>
      </c>
      <c r="W207" t="s">
        <v>379</v>
      </c>
      <c r="X207" t="s">
        <v>379</v>
      </c>
      <c r="Y207" t="s">
        <v>379</v>
      </c>
      <c r="Z207" t="s">
        <v>379</v>
      </c>
      <c r="AA207" t="s">
        <v>379</v>
      </c>
      <c r="AB207" t="s">
        <v>379</v>
      </c>
      <c r="AC207" t="s">
        <v>461</v>
      </c>
      <c r="AD207" t="s">
        <v>460</v>
      </c>
      <c r="AE207">
        <v>10</v>
      </c>
      <c r="AF207">
        <v>6</v>
      </c>
      <c r="AG207">
        <v>1</v>
      </c>
      <c r="AH207" t="s">
        <v>400</v>
      </c>
      <c r="AJ207" t="s">
        <v>58</v>
      </c>
      <c r="AK207" t="s">
        <v>108</v>
      </c>
      <c r="AM207">
        <v>32</v>
      </c>
      <c r="AN207">
        <v>1531</v>
      </c>
    </row>
    <row r="208" spans="1:40" x14ac:dyDescent="0.35">
      <c r="A208" t="s">
        <v>379</v>
      </c>
      <c r="B208" t="s">
        <v>379</v>
      </c>
      <c r="C208" t="s">
        <v>379</v>
      </c>
      <c r="D208" t="s">
        <v>379</v>
      </c>
      <c r="E208" t="s">
        <v>379</v>
      </c>
      <c r="F208" t="s">
        <v>379</v>
      </c>
      <c r="G208" t="s">
        <v>379</v>
      </c>
      <c r="H208" t="s">
        <v>379</v>
      </c>
      <c r="I208" t="s">
        <v>379</v>
      </c>
      <c r="J208" t="s">
        <v>379</v>
      </c>
      <c r="K208" t="s">
        <v>379</v>
      </c>
      <c r="L208" t="s">
        <v>379</v>
      </c>
      <c r="M208" t="s">
        <v>379</v>
      </c>
      <c r="N208" t="s">
        <v>379</v>
      </c>
      <c r="O208" t="s">
        <v>379</v>
      </c>
      <c r="P208" t="s">
        <v>379</v>
      </c>
      <c r="Q208" t="s">
        <v>379</v>
      </c>
      <c r="R208" t="s">
        <v>379</v>
      </c>
      <c r="S208" t="s">
        <v>379</v>
      </c>
      <c r="T208" t="s">
        <v>379</v>
      </c>
      <c r="U208" t="s">
        <v>379</v>
      </c>
      <c r="V208" t="s">
        <v>379</v>
      </c>
      <c r="W208" t="s">
        <v>379</v>
      </c>
      <c r="X208" t="s">
        <v>379</v>
      </c>
      <c r="Y208" t="s">
        <v>379</v>
      </c>
      <c r="Z208" t="s">
        <v>379</v>
      </c>
      <c r="AA208" t="s">
        <v>379</v>
      </c>
      <c r="AB208" t="s">
        <v>379</v>
      </c>
      <c r="AC208" t="s">
        <v>461</v>
      </c>
      <c r="AD208" t="s">
        <v>460</v>
      </c>
      <c r="AE208">
        <v>10</v>
      </c>
      <c r="AF208">
        <v>7</v>
      </c>
      <c r="AG208">
        <v>1</v>
      </c>
      <c r="AH208" t="s">
        <v>413</v>
      </c>
      <c r="AJ208" t="s">
        <v>69</v>
      </c>
      <c r="AK208" t="s">
        <v>108</v>
      </c>
      <c r="AM208">
        <v>2049</v>
      </c>
      <c r="AN208">
        <v>1606</v>
      </c>
    </row>
    <row r="209" spans="1:40" x14ac:dyDescent="0.35">
      <c r="A209" t="s">
        <v>379</v>
      </c>
      <c r="B209" t="s">
        <v>379</v>
      </c>
      <c r="C209" t="s">
        <v>379</v>
      </c>
      <c r="D209" t="s">
        <v>379</v>
      </c>
      <c r="E209" t="s">
        <v>379</v>
      </c>
      <c r="F209" t="s">
        <v>379</v>
      </c>
      <c r="G209" t="s">
        <v>379</v>
      </c>
      <c r="H209" t="s">
        <v>379</v>
      </c>
      <c r="I209" t="s">
        <v>379</v>
      </c>
      <c r="J209" t="s">
        <v>379</v>
      </c>
      <c r="K209" t="s">
        <v>379</v>
      </c>
      <c r="L209" t="s">
        <v>379</v>
      </c>
      <c r="M209" t="s">
        <v>379</v>
      </c>
      <c r="N209" t="s">
        <v>379</v>
      </c>
      <c r="O209" t="s">
        <v>379</v>
      </c>
      <c r="P209" t="s">
        <v>379</v>
      </c>
      <c r="Q209" t="s">
        <v>379</v>
      </c>
      <c r="R209" t="s">
        <v>379</v>
      </c>
      <c r="S209" t="s">
        <v>379</v>
      </c>
      <c r="T209" t="s">
        <v>379</v>
      </c>
      <c r="U209" t="s">
        <v>379</v>
      </c>
      <c r="V209" t="s">
        <v>379</v>
      </c>
      <c r="W209" t="s">
        <v>379</v>
      </c>
      <c r="X209" t="s">
        <v>379</v>
      </c>
      <c r="Y209" t="s">
        <v>379</v>
      </c>
      <c r="Z209" t="s">
        <v>379</v>
      </c>
      <c r="AA209" t="s">
        <v>379</v>
      </c>
      <c r="AB209" t="s">
        <v>379</v>
      </c>
      <c r="AC209" t="s">
        <v>461</v>
      </c>
      <c r="AD209" t="s">
        <v>460</v>
      </c>
      <c r="AE209">
        <v>10</v>
      </c>
      <c r="AF209">
        <v>8</v>
      </c>
      <c r="AH209" t="s">
        <v>384</v>
      </c>
      <c r="AJ209" t="s">
        <v>44</v>
      </c>
      <c r="AK209" t="s">
        <v>109</v>
      </c>
      <c r="AM209">
        <v>1187</v>
      </c>
      <c r="AN209">
        <v>1347</v>
      </c>
    </row>
    <row r="210" spans="1:40" x14ac:dyDescent="0.35">
      <c r="A210" t="s">
        <v>379</v>
      </c>
      <c r="B210" t="s">
        <v>379</v>
      </c>
      <c r="C210" t="s">
        <v>379</v>
      </c>
      <c r="D210" t="s">
        <v>379</v>
      </c>
      <c r="E210" t="s">
        <v>379</v>
      </c>
      <c r="F210" t="s">
        <v>379</v>
      </c>
      <c r="G210" t="s">
        <v>379</v>
      </c>
      <c r="H210" t="s">
        <v>379</v>
      </c>
      <c r="I210" t="s">
        <v>379</v>
      </c>
      <c r="J210" t="s">
        <v>379</v>
      </c>
      <c r="K210" t="s">
        <v>379</v>
      </c>
      <c r="L210" t="s">
        <v>379</v>
      </c>
      <c r="M210" t="s">
        <v>379</v>
      </c>
      <c r="N210" t="s">
        <v>379</v>
      </c>
      <c r="O210" t="s">
        <v>379</v>
      </c>
      <c r="P210" t="s">
        <v>379</v>
      </c>
      <c r="Q210" t="s">
        <v>379</v>
      </c>
      <c r="R210" t="s">
        <v>379</v>
      </c>
      <c r="S210" t="s">
        <v>379</v>
      </c>
      <c r="T210" t="s">
        <v>379</v>
      </c>
      <c r="U210" t="s">
        <v>379</v>
      </c>
      <c r="V210" t="s">
        <v>379</v>
      </c>
      <c r="W210" t="s">
        <v>379</v>
      </c>
      <c r="X210" t="s">
        <v>379</v>
      </c>
      <c r="Y210" t="s">
        <v>379</v>
      </c>
      <c r="Z210" t="s">
        <v>379</v>
      </c>
      <c r="AA210" t="s">
        <v>379</v>
      </c>
      <c r="AB210" t="s">
        <v>379</v>
      </c>
      <c r="AC210" t="s">
        <v>461</v>
      </c>
      <c r="AD210" t="s">
        <v>460</v>
      </c>
      <c r="AE210">
        <v>10</v>
      </c>
      <c r="AF210">
        <v>9</v>
      </c>
      <c r="AH210" t="s">
        <v>384</v>
      </c>
      <c r="AJ210" t="s">
        <v>44</v>
      </c>
      <c r="AK210" t="s">
        <v>109</v>
      </c>
      <c r="AM210">
        <v>2753</v>
      </c>
      <c r="AN210">
        <v>906</v>
      </c>
    </row>
    <row r="211" spans="1:40" x14ac:dyDescent="0.35">
      <c r="A211" t="s">
        <v>379</v>
      </c>
      <c r="B211" t="s">
        <v>379</v>
      </c>
      <c r="C211" t="s">
        <v>379</v>
      </c>
      <c r="D211" t="s">
        <v>379</v>
      </c>
      <c r="E211" t="s">
        <v>379</v>
      </c>
      <c r="F211" t="s">
        <v>379</v>
      </c>
      <c r="G211" t="s">
        <v>379</v>
      </c>
      <c r="H211" t="s">
        <v>379</v>
      </c>
      <c r="I211" t="s">
        <v>379</v>
      </c>
      <c r="J211" t="s">
        <v>379</v>
      </c>
      <c r="K211" t="s">
        <v>379</v>
      </c>
      <c r="L211" t="s">
        <v>379</v>
      </c>
      <c r="M211" t="s">
        <v>379</v>
      </c>
      <c r="N211" t="s">
        <v>379</v>
      </c>
      <c r="O211" t="s">
        <v>379</v>
      </c>
      <c r="P211" t="s">
        <v>379</v>
      </c>
      <c r="Q211" t="s">
        <v>379</v>
      </c>
      <c r="R211" t="s">
        <v>379</v>
      </c>
      <c r="S211" t="s">
        <v>379</v>
      </c>
      <c r="T211" t="s">
        <v>379</v>
      </c>
      <c r="U211" t="s">
        <v>379</v>
      </c>
      <c r="V211" t="s">
        <v>379</v>
      </c>
      <c r="W211" t="s">
        <v>379</v>
      </c>
      <c r="X211" t="s">
        <v>379</v>
      </c>
      <c r="Y211" t="s">
        <v>379</v>
      </c>
      <c r="Z211" t="s">
        <v>379</v>
      </c>
      <c r="AA211" t="s">
        <v>379</v>
      </c>
      <c r="AB211" t="s">
        <v>379</v>
      </c>
      <c r="AC211" t="s">
        <v>461</v>
      </c>
      <c r="AD211" t="s">
        <v>460</v>
      </c>
      <c r="AE211">
        <v>10</v>
      </c>
      <c r="AF211">
        <v>10</v>
      </c>
      <c r="AG211">
        <v>1</v>
      </c>
      <c r="AH211" t="s">
        <v>400</v>
      </c>
      <c r="AJ211" t="s">
        <v>58</v>
      </c>
      <c r="AK211" t="s">
        <v>108</v>
      </c>
      <c r="AM211">
        <v>143</v>
      </c>
      <c r="AN211">
        <v>1734</v>
      </c>
    </row>
    <row r="212" spans="1:40" x14ac:dyDescent="0.35">
      <c r="A212" t="s">
        <v>379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379</v>
      </c>
      <c r="I212" t="s">
        <v>379</v>
      </c>
      <c r="J212" t="s">
        <v>379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  <c r="P212" t="s">
        <v>379</v>
      </c>
      <c r="Q212" t="s">
        <v>379</v>
      </c>
      <c r="R212" t="s">
        <v>379</v>
      </c>
      <c r="S212" t="s">
        <v>379</v>
      </c>
      <c r="T212" t="s">
        <v>379</v>
      </c>
      <c r="U212" t="s">
        <v>379</v>
      </c>
      <c r="V212" t="s">
        <v>379</v>
      </c>
      <c r="W212" t="s">
        <v>379</v>
      </c>
      <c r="X212" t="s">
        <v>379</v>
      </c>
      <c r="Y212" t="s">
        <v>379</v>
      </c>
      <c r="Z212" t="s">
        <v>379</v>
      </c>
      <c r="AA212" t="s">
        <v>379</v>
      </c>
      <c r="AB212" t="s">
        <v>379</v>
      </c>
      <c r="AC212" t="s">
        <v>463</v>
      </c>
      <c r="AD212" t="s">
        <v>462</v>
      </c>
      <c r="AE212">
        <v>10</v>
      </c>
      <c r="AF212">
        <v>1</v>
      </c>
      <c r="AG212">
        <v>1</v>
      </c>
      <c r="AH212" t="s">
        <v>400</v>
      </c>
      <c r="AJ212" t="s">
        <v>58</v>
      </c>
      <c r="AK212" t="s">
        <v>108</v>
      </c>
      <c r="AM212">
        <v>2031</v>
      </c>
      <c r="AN212">
        <v>239</v>
      </c>
    </row>
    <row r="213" spans="1:40" x14ac:dyDescent="0.35">
      <c r="A213" t="s">
        <v>379</v>
      </c>
      <c r="B213" t="s">
        <v>379</v>
      </c>
      <c r="C213" t="s">
        <v>379</v>
      </c>
      <c r="D213" t="s">
        <v>379</v>
      </c>
      <c r="E213" t="s">
        <v>379</v>
      </c>
      <c r="F213" t="s">
        <v>379</v>
      </c>
      <c r="G213" t="s">
        <v>379</v>
      </c>
      <c r="H213" t="s">
        <v>379</v>
      </c>
      <c r="I213" t="s">
        <v>379</v>
      </c>
      <c r="J213" t="s">
        <v>379</v>
      </c>
      <c r="K213" t="s">
        <v>379</v>
      </c>
      <c r="L213" t="s">
        <v>379</v>
      </c>
      <c r="M213" t="s">
        <v>379</v>
      </c>
      <c r="N213" t="s">
        <v>379</v>
      </c>
      <c r="O213" t="s">
        <v>379</v>
      </c>
      <c r="P213" t="s">
        <v>379</v>
      </c>
      <c r="Q213" t="s">
        <v>379</v>
      </c>
      <c r="R213" t="s">
        <v>379</v>
      </c>
      <c r="S213" t="s">
        <v>379</v>
      </c>
      <c r="T213" t="s">
        <v>379</v>
      </c>
      <c r="U213" t="s">
        <v>379</v>
      </c>
      <c r="V213" t="s">
        <v>379</v>
      </c>
      <c r="W213" t="s">
        <v>379</v>
      </c>
      <c r="X213" t="s">
        <v>379</v>
      </c>
      <c r="Y213" t="s">
        <v>379</v>
      </c>
      <c r="Z213" t="s">
        <v>379</v>
      </c>
      <c r="AA213" t="s">
        <v>379</v>
      </c>
      <c r="AB213" t="s">
        <v>379</v>
      </c>
      <c r="AC213" t="s">
        <v>463</v>
      </c>
      <c r="AD213" t="s">
        <v>462</v>
      </c>
      <c r="AE213">
        <v>10</v>
      </c>
      <c r="AF213">
        <v>2</v>
      </c>
      <c r="AH213" t="s">
        <v>380</v>
      </c>
      <c r="AJ213" t="s">
        <v>37</v>
      </c>
      <c r="AK213" t="s">
        <v>115</v>
      </c>
      <c r="AM213">
        <v>2120</v>
      </c>
      <c r="AN213">
        <v>1016</v>
      </c>
    </row>
    <row r="214" spans="1:40" x14ac:dyDescent="0.35">
      <c r="A214" t="s">
        <v>379</v>
      </c>
      <c r="B214" t="s">
        <v>379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379</v>
      </c>
      <c r="K214" t="s">
        <v>379</v>
      </c>
      <c r="L214" t="s">
        <v>379</v>
      </c>
      <c r="M214" t="s">
        <v>379</v>
      </c>
      <c r="N214" t="s">
        <v>379</v>
      </c>
      <c r="O214" t="s">
        <v>379</v>
      </c>
      <c r="P214" t="s">
        <v>379</v>
      </c>
      <c r="Q214" t="s">
        <v>379</v>
      </c>
      <c r="R214" t="s">
        <v>379</v>
      </c>
      <c r="S214" t="s">
        <v>379</v>
      </c>
      <c r="T214" t="s">
        <v>379</v>
      </c>
      <c r="U214" t="s">
        <v>379</v>
      </c>
      <c r="V214" t="s">
        <v>379</v>
      </c>
      <c r="W214" t="s">
        <v>379</v>
      </c>
      <c r="X214" t="s">
        <v>379</v>
      </c>
      <c r="Y214" t="s">
        <v>379</v>
      </c>
      <c r="Z214" t="s">
        <v>379</v>
      </c>
      <c r="AA214" t="s">
        <v>379</v>
      </c>
      <c r="AB214" t="s">
        <v>379</v>
      </c>
      <c r="AC214" t="s">
        <v>463</v>
      </c>
      <c r="AD214" t="s">
        <v>462</v>
      </c>
      <c r="AE214">
        <v>10</v>
      </c>
      <c r="AF214">
        <v>3</v>
      </c>
      <c r="AG214">
        <v>1</v>
      </c>
      <c r="AH214" t="s">
        <v>396</v>
      </c>
      <c r="AJ214" t="s">
        <v>55</v>
      </c>
      <c r="AK214" t="s">
        <v>108</v>
      </c>
      <c r="AM214">
        <v>1538</v>
      </c>
      <c r="AN214">
        <v>703</v>
      </c>
    </row>
    <row r="215" spans="1:40" x14ac:dyDescent="0.35">
      <c r="A215" t="s">
        <v>379</v>
      </c>
      <c r="B215" t="s">
        <v>379</v>
      </c>
      <c r="C215" t="s">
        <v>379</v>
      </c>
      <c r="D215" t="s">
        <v>379</v>
      </c>
      <c r="E215" t="s">
        <v>379</v>
      </c>
      <c r="F215" t="s">
        <v>379</v>
      </c>
      <c r="G215" t="s">
        <v>379</v>
      </c>
      <c r="H215" t="s">
        <v>379</v>
      </c>
      <c r="I215" t="s">
        <v>379</v>
      </c>
      <c r="J215" t="s">
        <v>379</v>
      </c>
      <c r="K215" t="s">
        <v>379</v>
      </c>
      <c r="L215" t="s">
        <v>379</v>
      </c>
      <c r="M215" t="s">
        <v>379</v>
      </c>
      <c r="N215" t="s">
        <v>379</v>
      </c>
      <c r="O215" t="s">
        <v>379</v>
      </c>
      <c r="P215" t="s">
        <v>379</v>
      </c>
      <c r="Q215" t="s">
        <v>379</v>
      </c>
      <c r="R215" t="s">
        <v>379</v>
      </c>
      <c r="S215" t="s">
        <v>379</v>
      </c>
      <c r="T215" t="s">
        <v>379</v>
      </c>
      <c r="U215" t="s">
        <v>379</v>
      </c>
      <c r="V215" t="s">
        <v>379</v>
      </c>
      <c r="W215" t="s">
        <v>379</v>
      </c>
      <c r="X215" t="s">
        <v>379</v>
      </c>
      <c r="Y215" t="s">
        <v>379</v>
      </c>
      <c r="Z215" t="s">
        <v>379</v>
      </c>
      <c r="AA215" t="s">
        <v>379</v>
      </c>
      <c r="AB215" t="s">
        <v>379</v>
      </c>
      <c r="AC215" t="s">
        <v>463</v>
      </c>
      <c r="AD215" t="s">
        <v>462</v>
      </c>
      <c r="AE215">
        <v>10</v>
      </c>
      <c r="AF215">
        <v>4</v>
      </c>
      <c r="AH215" t="s">
        <v>380</v>
      </c>
      <c r="AJ215" t="s">
        <v>37</v>
      </c>
      <c r="AK215" t="s">
        <v>115</v>
      </c>
      <c r="AM215">
        <v>2572</v>
      </c>
      <c r="AN215">
        <v>986</v>
      </c>
    </row>
    <row r="216" spans="1:40" x14ac:dyDescent="0.35">
      <c r="A216" t="s">
        <v>379</v>
      </c>
      <c r="B216" t="s">
        <v>379</v>
      </c>
      <c r="C216" t="s">
        <v>379</v>
      </c>
      <c r="D216" t="s">
        <v>379</v>
      </c>
      <c r="E216" t="s">
        <v>379</v>
      </c>
      <c r="F216" t="s">
        <v>379</v>
      </c>
      <c r="G216" t="s">
        <v>379</v>
      </c>
      <c r="H216" t="s">
        <v>379</v>
      </c>
      <c r="I216" t="s">
        <v>379</v>
      </c>
      <c r="J216" t="s">
        <v>379</v>
      </c>
      <c r="K216" t="s">
        <v>379</v>
      </c>
      <c r="L216" t="s">
        <v>379</v>
      </c>
      <c r="M216" t="s">
        <v>379</v>
      </c>
      <c r="N216" t="s">
        <v>379</v>
      </c>
      <c r="O216" t="s">
        <v>379</v>
      </c>
      <c r="P216" t="s">
        <v>379</v>
      </c>
      <c r="Q216" t="s">
        <v>379</v>
      </c>
      <c r="R216" t="s">
        <v>379</v>
      </c>
      <c r="S216" t="s">
        <v>379</v>
      </c>
      <c r="T216" t="s">
        <v>379</v>
      </c>
      <c r="U216" t="s">
        <v>379</v>
      </c>
      <c r="V216" t="s">
        <v>379</v>
      </c>
      <c r="W216" t="s">
        <v>379</v>
      </c>
      <c r="X216" t="s">
        <v>379</v>
      </c>
      <c r="Y216" t="s">
        <v>379</v>
      </c>
      <c r="Z216" t="s">
        <v>379</v>
      </c>
      <c r="AA216" t="s">
        <v>379</v>
      </c>
      <c r="AB216" t="s">
        <v>379</v>
      </c>
      <c r="AC216" t="s">
        <v>463</v>
      </c>
      <c r="AD216" t="s">
        <v>462</v>
      </c>
      <c r="AE216">
        <v>10</v>
      </c>
      <c r="AF216">
        <v>5</v>
      </c>
      <c r="AH216" t="s">
        <v>464</v>
      </c>
      <c r="AJ216" t="s">
        <v>105</v>
      </c>
      <c r="AK216" t="s">
        <v>110</v>
      </c>
      <c r="AM216">
        <v>905</v>
      </c>
      <c r="AN216">
        <v>2156</v>
      </c>
    </row>
    <row r="217" spans="1:40" x14ac:dyDescent="0.35">
      <c r="A217" t="s">
        <v>379</v>
      </c>
      <c r="B217" t="s">
        <v>379</v>
      </c>
      <c r="C217" t="s">
        <v>379</v>
      </c>
      <c r="D217" t="s">
        <v>379</v>
      </c>
      <c r="E217" t="s">
        <v>379</v>
      </c>
      <c r="F217" t="s">
        <v>379</v>
      </c>
      <c r="G217" t="s">
        <v>379</v>
      </c>
      <c r="H217" t="s">
        <v>379</v>
      </c>
      <c r="I217" t="s">
        <v>379</v>
      </c>
      <c r="J217" t="s">
        <v>379</v>
      </c>
      <c r="K217" t="s">
        <v>379</v>
      </c>
      <c r="L217" t="s">
        <v>379</v>
      </c>
      <c r="M217" t="s">
        <v>379</v>
      </c>
      <c r="N217" t="s">
        <v>379</v>
      </c>
      <c r="O217" t="s">
        <v>379</v>
      </c>
      <c r="P217" t="s">
        <v>379</v>
      </c>
      <c r="Q217" t="s">
        <v>379</v>
      </c>
      <c r="R217" t="s">
        <v>379</v>
      </c>
      <c r="S217" t="s">
        <v>379</v>
      </c>
      <c r="T217" t="s">
        <v>379</v>
      </c>
      <c r="U217" t="s">
        <v>379</v>
      </c>
      <c r="V217" t="s">
        <v>379</v>
      </c>
      <c r="W217" t="s">
        <v>379</v>
      </c>
      <c r="X217" t="s">
        <v>379</v>
      </c>
      <c r="Y217" t="s">
        <v>379</v>
      </c>
      <c r="Z217" t="s">
        <v>379</v>
      </c>
      <c r="AA217" t="s">
        <v>379</v>
      </c>
      <c r="AB217" t="s">
        <v>379</v>
      </c>
      <c r="AC217" t="s">
        <v>463</v>
      </c>
      <c r="AD217" t="s">
        <v>462</v>
      </c>
      <c r="AE217">
        <v>10</v>
      </c>
      <c r="AF217">
        <v>6</v>
      </c>
      <c r="AG217">
        <v>1</v>
      </c>
      <c r="AH217" t="s">
        <v>396</v>
      </c>
      <c r="AJ217" t="s">
        <v>55</v>
      </c>
      <c r="AK217" t="s">
        <v>108</v>
      </c>
      <c r="AM217">
        <v>1555</v>
      </c>
      <c r="AN217">
        <v>1635</v>
      </c>
    </row>
    <row r="218" spans="1:40" x14ac:dyDescent="0.35">
      <c r="A218" t="s">
        <v>379</v>
      </c>
      <c r="B218" t="s">
        <v>379</v>
      </c>
      <c r="C218" t="s">
        <v>379</v>
      </c>
      <c r="D218" t="s">
        <v>379</v>
      </c>
      <c r="E218" t="s">
        <v>379</v>
      </c>
      <c r="F218" t="s">
        <v>379</v>
      </c>
      <c r="G218" t="s">
        <v>379</v>
      </c>
      <c r="H218" t="s">
        <v>379</v>
      </c>
      <c r="I218" t="s">
        <v>379</v>
      </c>
      <c r="J218" t="s">
        <v>379</v>
      </c>
      <c r="K218" t="s">
        <v>379</v>
      </c>
      <c r="L218" t="s">
        <v>379</v>
      </c>
      <c r="M218" t="s">
        <v>379</v>
      </c>
      <c r="N218" t="s">
        <v>379</v>
      </c>
      <c r="O218" t="s">
        <v>379</v>
      </c>
      <c r="P218" t="s">
        <v>379</v>
      </c>
      <c r="Q218" t="s">
        <v>379</v>
      </c>
      <c r="R218" t="s">
        <v>379</v>
      </c>
      <c r="S218" t="s">
        <v>379</v>
      </c>
      <c r="T218" t="s">
        <v>379</v>
      </c>
      <c r="U218" t="s">
        <v>379</v>
      </c>
      <c r="V218" t="s">
        <v>379</v>
      </c>
      <c r="W218" t="s">
        <v>379</v>
      </c>
      <c r="X218" t="s">
        <v>379</v>
      </c>
      <c r="Y218" t="s">
        <v>379</v>
      </c>
      <c r="Z218" t="s">
        <v>379</v>
      </c>
      <c r="AA218" t="s">
        <v>379</v>
      </c>
      <c r="AB218" t="s">
        <v>379</v>
      </c>
      <c r="AC218" t="s">
        <v>463</v>
      </c>
      <c r="AD218" t="s">
        <v>462</v>
      </c>
      <c r="AE218">
        <v>10</v>
      </c>
      <c r="AF218">
        <v>7</v>
      </c>
      <c r="AG218">
        <v>1</v>
      </c>
      <c r="AH218" t="s">
        <v>427</v>
      </c>
      <c r="AJ218" t="s">
        <v>80</v>
      </c>
      <c r="AK218" t="s">
        <v>108</v>
      </c>
      <c r="AM218">
        <v>2037</v>
      </c>
      <c r="AN218">
        <v>1899</v>
      </c>
    </row>
    <row r="219" spans="1:40" x14ac:dyDescent="0.35">
      <c r="A219" t="s">
        <v>379</v>
      </c>
      <c r="B219" t="s">
        <v>379</v>
      </c>
      <c r="C219" t="s">
        <v>379</v>
      </c>
      <c r="D219" t="s">
        <v>379</v>
      </c>
      <c r="E219" t="s">
        <v>379</v>
      </c>
      <c r="F219" t="s">
        <v>379</v>
      </c>
      <c r="G219" t="s">
        <v>379</v>
      </c>
      <c r="H219" t="s">
        <v>379</v>
      </c>
      <c r="I219" t="s">
        <v>379</v>
      </c>
      <c r="J219" t="s">
        <v>379</v>
      </c>
      <c r="K219" t="s">
        <v>379</v>
      </c>
      <c r="L219" t="s">
        <v>379</v>
      </c>
      <c r="M219" t="s">
        <v>379</v>
      </c>
      <c r="N219" t="s">
        <v>379</v>
      </c>
      <c r="O219" t="s">
        <v>379</v>
      </c>
      <c r="P219" t="s">
        <v>379</v>
      </c>
      <c r="Q219" t="s">
        <v>379</v>
      </c>
      <c r="R219" t="s">
        <v>379</v>
      </c>
      <c r="S219" t="s">
        <v>379</v>
      </c>
      <c r="T219" t="s">
        <v>379</v>
      </c>
      <c r="U219" t="s">
        <v>379</v>
      </c>
      <c r="V219" t="s">
        <v>379</v>
      </c>
      <c r="W219" t="s">
        <v>379</v>
      </c>
      <c r="X219" t="s">
        <v>379</v>
      </c>
      <c r="Y219" t="s">
        <v>379</v>
      </c>
      <c r="Z219" t="s">
        <v>379</v>
      </c>
      <c r="AA219" t="s">
        <v>379</v>
      </c>
      <c r="AB219" t="s">
        <v>379</v>
      </c>
      <c r="AC219" t="s">
        <v>463</v>
      </c>
      <c r="AD219" t="s">
        <v>462</v>
      </c>
      <c r="AE219">
        <v>10</v>
      </c>
      <c r="AF219">
        <v>8</v>
      </c>
      <c r="AH219" t="s">
        <v>380</v>
      </c>
      <c r="AJ219" t="s">
        <v>37</v>
      </c>
      <c r="AK219" t="s">
        <v>115</v>
      </c>
      <c r="AM219">
        <v>1722</v>
      </c>
      <c r="AN219">
        <v>2466</v>
      </c>
    </row>
    <row r="220" spans="1:40" x14ac:dyDescent="0.35">
      <c r="A220" t="s">
        <v>379</v>
      </c>
      <c r="B220" t="s">
        <v>379</v>
      </c>
      <c r="C220" t="s">
        <v>379</v>
      </c>
      <c r="D220" t="s">
        <v>379</v>
      </c>
      <c r="E220" t="s">
        <v>379</v>
      </c>
      <c r="F220" t="s">
        <v>379</v>
      </c>
      <c r="G220" t="s">
        <v>379</v>
      </c>
      <c r="H220" t="s">
        <v>379</v>
      </c>
      <c r="I220" t="s">
        <v>379</v>
      </c>
      <c r="J220" t="s">
        <v>379</v>
      </c>
      <c r="K220" t="s">
        <v>379</v>
      </c>
      <c r="L220" t="s">
        <v>379</v>
      </c>
      <c r="M220" t="s">
        <v>379</v>
      </c>
      <c r="N220" t="s">
        <v>379</v>
      </c>
      <c r="O220" t="s">
        <v>379</v>
      </c>
      <c r="P220" t="s">
        <v>379</v>
      </c>
      <c r="Q220" t="s">
        <v>379</v>
      </c>
      <c r="R220" t="s">
        <v>379</v>
      </c>
      <c r="S220" t="s">
        <v>379</v>
      </c>
      <c r="T220" t="s">
        <v>379</v>
      </c>
      <c r="U220" t="s">
        <v>379</v>
      </c>
      <c r="V220" t="s">
        <v>379</v>
      </c>
      <c r="W220" t="s">
        <v>379</v>
      </c>
      <c r="X220" t="s">
        <v>379</v>
      </c>
      <c r="Y220" t="s">
        <v>379</v>
      </c>
      <c r="Z220" t="s">
        <v>379</v>
      </c>
      <c r="AA220" t="s">
        <v>379</v>
      </c>
      <c r="AB220" t="s">
        <v>379</v>
      </c>
      <c r="AC220" t="s">
        <v>463</v>
      </c>
      <c r="AD220" t="s">
        <v>462</v>
      </c>
      <c r="AE220">
        <v>10</v>
      </c>
      <c r="AF220">
        <v>9</v>
      </c>
      <c r="AG220">
        <v>1</v>
      </c>
      <c r="AH220" t="s">
        <v>445</v>
      </c>
      <c r="AJ220" t="s">
        <v>92</v>
      </c>
      <c r="AK220" t="s">
        <v>108</v>
      </c>
      <c r="AM220">
        <v>2774</v>
      </c>
      <c r="AN220">
        <v>1512</v>
      </c>
    </row>
    <row r="221" spans="1:40" x14ac:dyDescent="0.35">
      <c r="A221" t="s">
        <v>379</v>
      </c>
      <c r="B221" t="s">
        <v>379</v>
      </c>
      <c r="C221" t="s">
        <v>379</v>
      </c>
      <c r="D221" t="s">
        <v>379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379</v>
      </c>
      <c r="V221" t="s">
        <v>379</v>
      </c>
      <c r="W221" t="s">
        <v>379</v>
      </c>
      <c r="X221" t="s">
        <v>379</v>
      </c>
      <c r="Y221" t="s">
        <v>379</v>
      </c>
      <c r="Z221" t="s">
        <v>379</v>
      </c>
      <c r="AA221" t="s">
        <v>379</v>
      </c>
      <c r="AB221" t="s">
        <v>379</v>
      </c>
      <c r="AC221" t="s">
        <v>463</v>
      </c>
      <c r="AD221" t="s">
        <v>462</v>
      </c>
      <c r="AE221">
        <v>10</v>
      </c>
      <c r="AF221">
        <v>10</v>
      </c>
      <c r="AH221" t="s">
        <v>384</v>
      </c>
      <c r="AJ221" t="s">
        <v>44</v>
      </c>
      <c r="AK221" t="s">
        <v>109</v>
      </c>
      <c r="AM221">
        <v>1197</v>
      </c>
      <c r="AN22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7E7B-5F36-4C8A-A0B3-DEB2845C7D98}">
  <dimension ref="A1:M354"/>
  <sheetViews>
    <sheetView tabSelected="1" workbookViewId="0">
      <selection activeCell="G2" sqref="G2"/>
    </sheetView>
  </sheetViews>
  <sheetFormatPr defaultRowHeight="14.5" x14ac:dyDescent="0.35"/>
  <cols>
    <col min="1" max="1" width="30.6328125" style="53" bestFit="1" customWidth="1"/>
    <col min="2" max="2" width="5.26953125" style="53" bestFit="1" customWidth="1"/>
    <col min="3" max="3" width="5.08984375" style="53" bestFit="1" customWidth="1"/>
    <col min="4" max="4" width="5.26953125" style="53" bestFit="1" customWidth="1"/>
    <col min="5" max="5" width="8" style="53" bestFit="1" customWidth="1"/>
    <col min="6" max="6" width="9.90625" style="53" bestFit="1" customWidth="1"/>
    <col min="7" max="7" width="27.1796875" style="53" bestFit="1" customWidth="1"/>
    <col min="8" max="8" width="11.1796875" style="53" bestFit="1" customWidth="1"/>
    <col min="9" max="13" width="8.7265625" style="53"/>
  </cols>
  <sheetData>
    <row r="1" spans="1:8" x14ac:dyDescent="0.35">
      <c r="A1" s="53" t="s">
        <v>290</v>
      </c>
      <c r="F1" s="53" t="s">
        <v>466</v>
      </c>
    </row>
    <row r="2" spans="1:8" x14ac:dyDescent="0.35">
      <c r="A2" s="53" t="s">
        <v>465</v>
      </c>
      <c r="F2" s="53" t="s">
        <v>305</v>
      </c>
      <c r="G2" s="53" t="s">
        <v>489</v>
      </c>
    </row>
    <row r="3" spans="1:8" x14ac:dyDescent="0.35">
      <c r="A3" s="53" t="s">
        <v>291</v>
      </c>
      <c r="C3" s="53" t="s">
        <v>292</v>
      </c>
      <c r="D3" s="53" t="s">
        <v>293</v>
      </c>
      <c r="F3" s="54" t="s">
        <v>299</v>
      </c>
      <c r="G3" s="53" t="s">
        <v>300</v>
      </c>
    </row>
    <row r="4" spans="1:8" x14ac:dyDescent="0.35">
      <c r="A4" s="53" t="s">
        <v>307</v>
      </c>
      <c r="B4" s="53" t="s">
        <v>487</v>
      </c>
    </row>
    <row r="5" spans="1:8" ht="15" thickBot="1" x14ac:dyDescent="0.4"/>
    <row r="6" spans="1:8" ht="15.5" thickTop="1" thickBot="1" x14ac:dyDescent="0.4">
      <c r="A6" s="71" t="s">
        <v>467</v>
      </c>
      <c r="B6" s="66">
        <v>4</v>
      </c>
      <c r="C6" s="67"/>
      <c r="D6" s="67"/>
      <c r="E6" s="67"/>
      <c r="F6" s="67"/>
      <c r="G6" s="67"/>
      <c r="H6" s="79"/>
    </row>
    <row r="7" spans="1:8" ht="15" thickTop="1" x14ac:dyDescent="0.35">
      <c r="A7" s="72" t="s">
        <v>468</v>
      </c>
      <c r="B7" s="68">
        <f>'4'!B8</f>
        <v>22</v>
      </c>
      <c r="C7" s="64"/>
      <c r="D7" s="64"/>
      <c r="E7" s="64"/>
      <c r="F7" s="64"/>
      <c r="G7" s="64"/>
      <c r="H7" s="80"/>
    </row>
    <row r="8" spans="1:8" x14ac:dyDescent="0.35">
      <c r="A8" s="73" t="s">
        <v>469</v>
      </c>
      <c r="B8" s="57">
        <f ca="1">'4'!B23</f>
        <v>220</v>
      </c>
      <c r="H8" s="81"/>
    </row>
    <row r="9" spans="1:8" ht="15" thickBot="1" x14ac:dyDescent="0.4">
      <c r="A9" s="74" t="s">
        <v>470</v>
      </c>
      <c r="B9" s="69">
        <f ca="1">'4'!H121</f>
        <v>205</v>
      </c>
      <c r="C9" s="65"/>
      <c r="D9" s="65"/>
      <c r="E9" s="65"/>
      <c r="F9" s="65"/>
      <c r="G9" s="65"/>
      <c r="H9" s="82"/>
    </row>
    <row r="10" spans="1:8" ht="15" thickTop="1" x14ac:dyDescent="0.35">
      <c r="A10" s="73" t="s">
        <v>471</v>
      </c>
      <c r="D10" s="55" t="s">
        <v>472</v>
      </c>
      <c r="E10" s="55" t="s">
        <v>473</v>
      </c>
      <c r="F10" s="55" t="s">
        <v>474</v>
      </c>
      <c r="H10" s="81"/>
    </row>
    <row r="11" spans="1:8" x14ac:dyDescent="0.35">
      <c r="A11" s="75" t="s">
        <v>348</v>
      </c>
      <c r="B11" s="60">
        <f ca="1">'4'!C16</f>
        <v>62.926829268292686</v>
      </c>
      <c r="C11" s="59"/>
      <c r="D11" s="60">
        <f t="shared" ref="D11:D17" ca="1" si="0">AVERAGE(B11:B11)</f>
        <v>62.926829268292686</v>
      </c>
      <c r="E11" s="60" t="e">
        <f t="shared" ref="E11:E17" ca="1" si="1">STDEV(B11:B11)</f>
        <v>#DIV/0!</v>
      </c>
      <c r="F11" s="60" t="e">
        <f t="shared" ref="F11:F17" ca="1" si="2">E11/SQRT(1)</f>
        <v>#DIV/0!</v>
      </c>
      <c r="G11" s="59"/>
      <c r="H11" s="83"/>
    </row>
    <row r="12" spans="1:8" x14ac:dyDescent="0.35">
      <c r="A12" s="76" t="s">
        <v>349</v>
      </c>
      <c r="B12" s="58">
        <f ca="1">'4'!C17</f>
        <v>24.878048780487806</v>
      </c>
      <c r="D12" s="58">
        <f t="shared" ca="1" si="0"/>
        <v>24.878048780487806</v>
      </c>
      <c r="E12" s="58" t="e">
        <f t="shared" ca="1" si="1"/>
        <v>#DIV/0!</v>
      </c>
      <c r="F12" s="58" t="e">
        <f t="shared" ca="1" si="2"/>
        <v>#DIV/0!</v>
      </c>
      <c r="H12" s="81"/>
    </row>
    <row r="13" spans="1:8" x14ac:dyDescent="0.35">
      <c r="A13" s="75" t="s">
        <v>350</v>
      </c>
      <c r="B13" s="60">
        <f ca="1">'4'!C18</f>
        <v>0.48780487804878048</v>
      </c>
      <c r="C13" s="59"/>
      <c r="D13" s="60">
        <f t="shared" ca="1" si="0"/>
        <v>0.48780487804878048</v>
      </c>
      <c r="E13" s="60" t="e">
        <f t="shared" ca="1" si="1"/>
        <v>#DIV/0!</v>
      </c>
      <c r="F13" s="60" t="e">
        <f t="shared" ca="1" si="2"/>
        <v>#DIV/0!</v>
      </c>
      <c r="G13" s="59"/>
      <c r="H13" s="83"/>
    </row>
    <row r="14" spans="1:8" x14ac:dyDescent="0.35">
      <c r="A14" s="76" t="s">
        <v>351</v>
      </c>
      <c r="B14" s="58">
        <f ca="1">'4'!C19</f>
        <v>0</v>
      </c>
      <c r="D14" s="58">
        <f t="shared" ca="1" si="0"/>
        <v>0</v>
      </c>
      <c r="E14" s="58" t="e">
        <f t="shared" ca="1" si="1"/>
        <v>#DIV/0!</v>
      </c>
      <c r="F14" s="58" t="e">
        <f t="shared" ca="1" si="2"/>
        <v>#DIV/0!</v>
      </c>
      <c r="H14" s="81"/>
    </row>
    <row r="15" spans="1:8" x14ac:dyDescent="0.35">
      <c r="A15" s="75" t="s">
        <v>352</v>
      </c>
      <c r="B15" s="60">
        <f ca="1">'4'!C20</f>
        <v>0</v>
      </c>
      <c r="C15" s="59"/>
      <c r="D15" s="60">
        <f t="shared" ca="1" si="0"/>
        <v>0</v>
      </c>
      <c r="E15" s="60" t="e">
        <f t="shared" ca="1" si="1"/>
        <v>#DIV/0!</v>
      </c>
      <c r="F15" s="60" t="e">
        <f t="shared" ca="1" si="2"/>
        <v>#DIV/0!</v>
      </c>
      <c r="G15" s="59"/>
      <c r="H15" s="83"/>
    </row>
    <row r="16" spans="1:8" x14ac:dyDescent="0.35">
      <c r="A16" s="76" t="s">
        <v>353</v>
      </c>
      <c r="B16" s="58">
        <f ca="1">'4'!C21</f>
        <v>11.707317073170733</v>
      </c>
      <c r="D16" s="58">
        <f t="shared" ca="1" si="0"/>
        <v>11.707317073170733</v>
      </c>
      <c r="E16" s="58" t="e">
        <f t="shared" ca="1" si="1"/>
        <v>#DIV/0!</v>
      </c>
      <c r="F16" s="58" t="e">
        <f t="shared" ca="1" si="2"/>
        <v>#DIV/0!</v>
      </c>
      <c r="H16" s="81"/>
    </row>
    <row r="17" spans="1:8" x14ac:dyDescent="0.35">
      <c r="A17" s="75" t="s">
        <v>354</v>
      </c>
      <c r="B17" s="60">
        <f ca="1">'4'!C22</f>
        <v>6.8181818181818175</v>
      </c>
      <c r="C17" s="59"/>
      <c r="D17" s="60">
        <f t="shared" ca="1" si="0"/>
        <v>6.8181818181818175</v>
      </c>
      <c r="E17" s="60" t="e">
        <f t="shared" ca="1" si="1"/>
        <v>#DIV/0!</v>
      </c>
      <c r="F17" s="60" t="e">
        <f t="shared" ca="1" si="2"/>
        <v>#DIV/0!</v>
      </c>
      <c r="G17" s="59"/>
      <c r="H17" s="83"/>
    </row>
    <row r="18" spans="1:8" x14ac:dyDescent="0.35">
      <c r="A18" s="76" t="s">
        <v>475</v>
      </c>
      <c r="B18" s="58">
        <f ca="1">SUM(B11:B17) - B17</f>
        <v>100</v>
      </c>
      <c r="H18" s="81"/>
    </row>
    <row r="19" spans="1:8" x14ac:dyDescent="0.35">
      <c r="A19" s="76"/>
      <c r="H19" s="81"/>
    </row>
    <row r="20" spans="1:8" x14ac:dyDescent="0.35">
      <c r="A20" s="73" t="s">
        <v>476</v>
      </c>
      <c r="D20" s="55" t="s">
        <v>472</v>
      </c>
      <c r="E20" s="55" t="s">
        <v>473</v>
      </c>
      <c r="F20" s="55" t="s">
        <v>474</v>
      </c>
      <c r="H20" s="81"/>
    </row>
    <row r="21" spans="1:8" x14ac:dyDescent="0.35">
      <c r="A21" s="77" t="s">
        <v>348</v>
      </c>
      <c r="B21" s="59"/>
      <c r="C21" s="59"/>
      <c r="D21" s="59"/>
      <c r="E21" s="59"/>
      <c r="F21" s="59"/>
      <c r="G21" s="59"/>
      <c r="H21" s="83"/>
    </row>
    <row r="22" spans="1:8" x14ac:dyDescent="0.35">
      <c r="A22" s="76" t="s">
        <v>119</v>
      </c>
      <c r="B22" s="58">
        <f ca="1">'4'!I17</f>
        <v>0</v>
      </c>
      <c r="D22" s="58">
        <f t="shared" ref="D22:D53" ca="1" si="3">AVERAGE(B22:B22)</f>
        <v>0</v>
      </c>
      <c r="E22" s="58" t="e">
        <f t="shared" ref="E22:E53" ca="1" si="4">STDEV(B22:B22)</f>
        <v>#DIV/0!</v>
      </c>
      <c r="F22" s="58" t="e">
        <f t="shared" ref="F22:F53" ca="1" si="5">E22/SQRT(1)</f>
        <v>#DIV/0!</v>
      </c>
      <c r="H22" s="81"/>
    </row>
    <row r="23" spans="1:8" x14ac:dyDescent="0.35">
      <c r="A23" s="76" t="s">
        <v>121</v>
      </c>
      <c r="B23" s="58">
        <f ca="1">'4'!I18</f>
        <v>9.2682926829268286</v>
      </c>
      <c r="D23" s="58">
        <f t="shared" ca="1" si="3"/>
        <v>9.2682926829268286</v>
      </c>
      <c r="E23" s="58" t="e">
        <f t="shared" ca="1" si="4"/>
        <v>#DIV/0!</v>
      </c>
      <c r="F23" s="58" t="e">
        <f t="shared" ca="1" si="5"/>
        <v>#DIV/0!</v>
      </c>
      <c r="H23" s="81"/>
    </row>
    <row r="24" spans="1:8" x14ac:dyDescent="0.35">
      <c r="A24" s="76" t="s">
        <v>122</v>
      </c>
      <c r="B24" s="58">
        <f ca="1">'4'!I19</f>
        <v>0.48780487804878048</v>
      </c>
      <c r="D24" s="58">
        <f t="shared" ca="1" si="3"/>
        <v>0.48780487804878048</v>
      </c>
      <c r="E24" s="58" t="e">
        <f t="shared" ca="1" si="4"/>
        <v>#DIV/0!</v>
      </c>
      <c r="F24" s="58" t="e">
        <f t="shared" ca="1" si="5"/>
        <v>#DIV/0!</v>
      </c>
      <c r="H24" s="81"/>
    </row>
    <row r="25" spans="1:8" x14ac:dyDescent="0.35">
      <c r="A25" s="76" t="s">
        <v>123</v>
      </c>
      <c r="B25" s="58">
        <f ca="1">'4'!I20</f>
        <v>0</v>
      </c>
      <c r="D25" s="58">
        <f t="shared" ca="1" si="3"/>
        <v>0</v>
      </c>
      <c r="E25" s="58" t="e">
        <f t="shared" ca="1" si="4"/>
        <v>#DIV/0!</v>
      </c>
      <c r="F25" s="58" t="e">
        <f t="shared" ca="1" si="5"/>
        <v>#DIV/0!</v>
      </c>
      <c r="H25" s="81"/>
    </row>
    <row r="26" spans="1:8" x14ac:dyDescent="0.35">
      <c r="A26" s="76" t="s">
        <v>125</v>
      </c>
      <c r="B26" s="58">
        <f ca="1">'4'!I21</f>
        <v>0</v>
      </c>
      <c r="D26" s="58">
        <f t="shared" ca="1" si="3"/>
        <v>0</v>
      </c>
      <c r="E26" s="58" t="e">
        <f t="shared" ca="1" si="4"/>
        <v>#DIV/0!</v>
      </c>
      <c r="F26" s="58" t="e">
        <f t="shared" ca="1" si="5"/>
        <v>#DIV/0!</v>
      </c>
      <c r="H26" s="81"/>
    </row>
    <row r="27" spans="1:8" x14ac:dyDescent="0.35">
      <c r="A27" s="76" t="s">
        <v>127</v>
      </c>
      <c r="B27" s="58">
        <f ca="1">'4'!I22</f>
        <v>6.3414634146341466</v>
      </c>
      <c r="D27" s="58">
        <f t="shared" ca="1" si="3"/>
        <v>6.3414634146341466</v>
      </c>
      <c r="E27" s="58" t="e">
        <f t="shared" ca="1" si="4"/>
        <v>#DIV/0!</v>
      </c>
      <c r="F27" s="58" t="e">
        <f t="shared" ca="1" si="5"/>
        <v>#DIV/0!</v>
      </c>
      <c r="H27" s="81"/>
    </row>
    <row r="28" spans="1:8" x14ac:dyDescent="0.35">
      <c r="A28" s="76" t="s">
        <v>128</v>
      </c>
      <c r="B28" s="58">
        <f ca="1">'4'!I23</f>
        <v>0.97560975609756095</v>
      </c>
      <c r="D28" s="58">
        <f t="shared" ca="1" si="3"/>
        <v>0.97560975609756095</v>
      </c>
      <c r="E28" s="58" t="e">
        <f t="shared" ca="1" si="4"/>
        <v>#DIV/0!</v>
      </c>
      <c r="F28" s="58" t="e">
        <f t="shared" ca="1" si="5"/>
        <v>#DIV/0!</v>
      </c>
      <c r="H28" s="81"/>
    </row>
    <row r="29" spans="1:8" x14ac:dyDescent="0.35">
      <c r="A29" s="76" t="s">
        <v>129</v>
      </c>
      <c r="B29" s="58">
        <f ca="1">'4'!I24</f>
        <v>0</v>
      </c>
      <c r="D29" s="58">
        <f t="shared" ca="1" si="3"/>
        <v>0</v>
      </c>
      <c r="E29" s="58" t="e">
        <f t="shared" ca="1" si="4"/>
        <v>#DIV/0!</v>
      </c>
      <c r="F29" s="58" t="e">
        <f t="shared" ca="1" si="5"/>
        <v>#DIV/0!</v>
      </c>
      <c r="H29" s="81"/>
    </row>
    <row r="30" spans="1:8" x14ac:dyDescent="0.35">
      <c r="A30" s="76" t="s">
        <v>131</v>
      </c>
      <c r="B30" s="58">
        <f ca="1">'4'!I25</f>
        <v>0</v>
      </c>
      <c r="D30" s="58">
        <f t="shared" ca="1" si="3"/>
        <v>0</v>
      </c>
      <c r="E30" s="58" t="e">
        <f t="shared" ca="1" si="4"/>
        <v>#DIV/0!</v>
      </c>
      <c r="F30" s="58" t="e">
        <f t="shared" ca="1" si="5"/>
        <v>#DIV/0!</v>
      </c>
      <c r="H30" s="81"/>
    </row>
    <row r="31" spans="1:8" x14ac:dyDescent="0.35">
      <c r="A31" s="76" t="s">
        <v>133</v>
      </c>
      <c r="B31" s="58">
        <f ca="1">'4'!I26</f>
        <v>0</v>
      </c>
      <c r="D31" s="58">
        <f t="shared" ca="1" si="3"/>
        <v>0</v>
      </c>
      <c r="E31" s="58" t="e">
        <f t="shared" ca="1" si="4"/>
        <v>#DIV/0!</v>
      </c>
      <c r="F31" s="58" t="e">
        <f t="shared" ca="1" si="5"/>
        <v>#DIV/0!</v>
      </c>
      <c r="H31" s="81"/>
    </row>
    <row r="32" spans="1:8" x14ac:dyDescent="0.35">
      <c r="A32" s="76" t="s">
        <v>135</v>
      </c>
      <c r="B32" s="58">
        <f ca="1">'4'!I27</f>
        <v>0.48780487804878048</v>
      </c>
      <c r="D32" s="58">
        <f t="shared" ca="1" si="3"/>
        <v>0.48780487804878048</v>
      </c>
      <c r="E32" s="58" t="e">
        <f t="shared" ca="1" si="4"/>
        <v>#DIV/0!</v>
      </c>
      <c r="F32" s="58" t="e">
        <f t="shared" ca="1" si="5"/>
        <v>#DIV/0!</v>
      </c>
      <c r="H32" s="81"/>
    </row>
    <row r="33" spans="1:8" x14ac:dyDescent="0.35">
      <c r="A33" s="76" t="s">
        <v>136</v>
      </c>
      <c r="B33" s="58">
        <f ca="1">'4'!I28</f>
        <v>1.9512195121951219</v>
      </c>
      <c r="D33" s="58">
        <f t="shared" ca="1" si="3"/>
        <v>1.9512195121951219</v>
      </c>
      <c r="E33" s="58" t="e">
        <f t="shared" ca="1" si="4"/>
        <v>#DIV/0!</v>
      </c>
      <c r="F33" s="58" t="e">
        <f t="shared" ca="1" si="5"/>
        <v>#DIV/0!</v>
      </c>
      <c r="H33" s="81"/>
    </row>
    <row r="34" spans="1:8" x14ac:dyDescent="0.35">
      <c r="A34" s="76" t="s">
        <v>137</v>
      </c>
      <c r="B34" s="58">
        <f ca="1">'4'!I29</f>
        <v>0</v>
      </c>
      <c r="D34" s="58">
        <f t="shared" ca="1" si="3"/>
        <v>0</v>
      </c>
      <c r="E34" s="58" t="e">
        <f t="shared" ca="1" si="4"/>
        <v>#DIV/0!</v>
      </c>
      <c r="F34" s="58" t="e">
        <f t="shared" ca="1" si="5"/>
        <v>#DIV/0!</v>
      </c>
      <c r="H34" s="81"/>
    </row>
    <row r="35" spans="1:8" x14ac:dyDescent="0.35">
      <c r="A35" s="76" t="s">
        <v>139</v>
      </c>
      <c r="B35" s="58">
        <f ca="1">'4'!I30</f>
        <v>0</v>
      </c>
      <c r="D35" s="58">
        <f t="shared" ca="1" si="3"/>
        <v>0</v>
      </c>
      <c r="E35" s="58" t="e">
        <f t="shared" ca="1" si="4"/>
        <v>#DIV/0!</v>
      </c>
      <c r="F35" s="58" t="e">
        <f t="shared" ca="1" si="5"/>
        <v>#DIV/0!</v>
      </c>
      <c r="H35" s="81"/>
    </row>
    <row r="36" spans="1:8" x14ac:dyDescent="0.35">
      <c r="A36" s="76" t="s">
        <v>141</v>
      </c>
      <c r="B36" s="58">
        <f ca="1">'4'!I31</f>
        <v>0</v>
      </c>
      <c r="D36" s="58">
        <f t="shared" ca="1" si="3"/>
        <v>0</v>
      </c>
      <c r="E36" s="58" t="e">
        <f t="shared" ca="1" si="4"/>
        <v>#DIV/0!</v>
      </c>
      <c r="F36" s="58" t="e">
        <f t="shared" ca="1" si="5"/>
        <v>#DIV/0!</v>
      </c>
      <c r="H36" s="81"/>
    </row>
    <row r="37" spans="1:8" x14ac:dyDescent="0.35">
      <c r="A37" s="76" t="s">
        <v>143</v>
      </c>
      <c r="B37" s="58">
        <f ca="1">'4'!I32</f>
        <v>0.97560975609756095</v>
      </c>
      <c r="D37" s="58">
        <f t="shared" ca="1" si="3"/>
        <v>0.97560975609756095</v>
      </c>
      <c r="E37" s="58" t="e">
        <f t="shared" ca="1" si="4"/>
        <v>#DIV/0!</v>
      </c>
      <c r="F37" s="58" t="e">
        <f t="shared" ca="1" si="5"/>
        <v>#DIV/0!</v>
      </c>
      <c r="H37" s="81"/>
    </row>
    <row r="38" spans="1:8" x14ac:dyDescent="0.35">
      <c r="A38" s="76" t="s">
        <v>144</v>
      </c>
      <c r="B38" s="58">
        <f ca="1">'4'!I33</f>
        <v>0.48780487804878048</v>
      </c>
      <c r="D38" s="58">
        <f t="shared" ca="1" si="3"/>
        <v>0.48780487804878048</v>
      </c>
      <c r="E38" s="58" t="e">
        <f t="shared" ca="1" si="4"/>
        <v>#DIV/0!</v>
      </c>
      <c r="F38" s="58" t="e">
        <f t="shared" ca="1" si="5"/>
        <v>#DIV/0!</v>
      </c>
      <c r="H38" s="81"/>
    </row>
    <row r="39" spans="1:8" x14ac:dyDescent="0.35">
      <c r="A39" s="76" t="s">
        <v>145</v>
      </c>
      <c r="B39" s="58">
        <f ca="1">'4'!I34</f>
        <v>0</v>
      </c>
      <c r="D39" s="58">
        <f t="shared" ca="1" si="3"/>
        <v>0</v>
      </c>
      <c r="E39" s="58" t="e">
        <f t="shared" ca="1" si="4"/>
        <v>#DIV/0!</v>
      </c>
      <c r="F39" s="58" t="e">
        <f t="shared" ca="1" si="5"/>
        <v>#DIV/0!</v>
      </c>
      <c r="H39" s="81"/>
    </row>
    <row r="40" spans="1:8" x14ac:dyDescent="0.35">
      <c r="A40" s="76" t="s">
        <v>147</v>
      </c>
      <c r="B40" s="58">
        <f ca="1">'4'!I35</f>
        <v>0</v>
      </c>
      <c r="D40" s="58">
        <f t="shared" ca="1" si="3"/>
        <v>0</v>
      </c>
      <c r="E40" s="58" t="e">
        <f t="shared" ca="1" si="4"/>
        <v>#DIV/0!</v>
      </c>
      <c r="F40" s="58" t="e">
        <f t="shared" ca="1" si="5"/>
        <v>#DIV/0!</v>
      </c>
      <c r="H40" s="81"/>
    </row>
    <row r="41" spans="1:8" x14ac:dyDescent="0.35">
      <c r="A41" s="76" t="s">
        <v>149</v>
      </c>
      <c r="B41" s="58">
        <f ca="1">'4'!I36</f>
        <v>0</v>
      </c>
      <c r="D41" s="58">
        <f t="shared" ca="1" si="3"/>
        <v>0</v>
      </c>
      <c r="E41" s="58" t="e">
        <f t="shared" ca="1" si="4"/>
        <v>#DIV/0!</v>
      </c>
      <c r="F41" s="58" t="e">
        <f t="shared" ca="1" si="5"/>
        <v>#DIV/0!</v>
      </c>
      <c r="H41" s="81"/>
    </row>
    <row r="42" spans="1:8" x14ac:dyDescent="0.35">
      <c r="A42" s="76" t="s">
        <v>151</v>
      </c>
      <c r="B42" s="58">
        <f ca="1">'4'!I37</f>
        <v>1.9512195121951219</v>
      </c>
      <c r="D42" s="58">
        <f t="shared" ca="1" si="3"/>
        <v>1.9512195121951219</v>
      </c>
      <c r="E42" s="58" t="e">
        <f t="shared" ca="1" si="4"/>
        <v>#DIV/0!</v>
      </c>
      <c r="F42" s="58" t="e">
        <f t="shared" ca="1" si="5"/>
        <v>#DIV/0!</v>
      </c>
      <c r="H42" s="81"/>
    </row>
    <row r="43" spans="1:8" x14ac:dyDescent="0.35">
      <c r="A43" s="76" t="s">
        <v>152</v>
      </c>
      <c r="B43" s="58">
        <f ca="1">'4'!I38</f>
        <v>0</v>
      </c>
      <c r="D43" s="58">
        <f t="shared" ca="1" si="3"/>
        <v>0</v>
      </c>
      <c r="E43" s="58" t="e">
        <f t="shared" ca="1" si="4"/>
        <v>#DIV/0!</v>
      </c>
      <c r="F43" s="58" t="e">
        <f t="shared" ca="1" si="5"/>
        <v>#DIV/0!</v>
      </c>
      <c r="H43" s="81"/>
    </row>
    <row r="44" spans="1:8" x14ac:dyDescent="0.35">
      <c r="A44" s="76" t="s">
        <v>154</v>
      </c>
      <c r="B44" s="58">
        <f ca="1">'4'!I39</f>
        <v>0.48780487804878048</v>
      </c>
      <c r="D44" s="58">
        <f t="shared" ca="1" si="3"/>
        <v>0.48780487804878048</v>
      </c>
      <c r="E44" s="58" t="e">
        <f t="shared" ca="1" si="4"/>
        <v>#DIV/0!</v>
      </c>
      <c r="F44" s="58" t="e">
        <f t="shared" ca="1" si="5"/>
        <v>#DIV/0!</v>
      </c>
      <c r="H44" s="81"/>
    </row>
    <row r="45" spans="1:8" x14ac:dyDescent="0.35">
      <c r="A45" s="76" t="s">
        <v>155</v>
      </c>
      <c r="B45" s="58">
        <f ca="1">'4'!I40</f>
        <v>2.9268292682926833</v>
      </c>
      <c r="D45" s="58">
        <f t="shared" ca="1" si="3"/>
        <v>2.9268292682926833</v>
      </c>
      <c r="E45" s="58" t="e">
        <f t="shared" ca="1" si="4"/>
        <v>#DIV/0!</v>
      </c>
      <c r="F45" s="58" t="e">
        <f t="shared" ca="1" si="5"/>
        <v>#DIV/0!</v>
      </c>
      <c r="H45" s="81"/>
    </row>
    <row r="46" spans="1:8" x14ac:dyDescent="0.35">
      <c r="A46" s="76" t="s">
        <v>156</v>
      </c>
      <c r="B46" s="58">
        <f ca="1">'4'!I41</f>
        <v>0</v>
      </c>
      <c r="D46" s="58">
        <f t="shared" ca="1" si="3"/>
        <v>0</v>
      </c>
      <c r="E46" s="58" t="e">
        <f t="shared" ca="1" si="4"/>
        <v>#DIV/0!</v>
      </c>
      <c r="F46" s="58" t="e">
        <f t="shared" ca="1" si="5"/>
        <v>#DIV/0!</v>
      </c>
      <c r="H46" s="81"/>
    </row>
    <row r="47" spans="1:8" x14ac:dyDescent="0.35">
      <c r="A47" s="76" t="s">
        <v>158</v>
      </c>
      <c r="B47" s="58">
        <f ca="1">'4'!I42</f>
        <v>0</v>
      </c>
      <c r="D47" s="58">
        <f t="shared" ca="1" si="3"/>
        <v>0</v>
      </c>
      <c r="E47" s="58" t="e">
        <f t="shared" ca="1" si="4"/>
        <v>#DIV/0!</v>
      </c>
      <c r="F47" s="58" t="e">
        <f t="shared" ca="1" si="5"/>
        <v>#DIV/0!</v>
      </c>
      <c r="H47" s="81"/>
    </row>
    <row r="48" spans="1:8" x14ac:dyDescent="0.35">
      <c r="A48" s="76" t="s">
        <v>160</v>
      </c>
      <c r="B48" s="58">
        <f ca="1">'4'!I43</f>
        <v>2.9268292682926833</v>
      </c>
      <c r="D48" s="58">
        <f t="shared" ca="1" si="3"/>
        <v>2.9268292682926833</v>
      </c>
      <c r="E48" s="58" t="e">
        <f t="shared" ca="1" si="4"/>
        <v>#DIV/0!</v>
      </c>
      <c r="F48" s="58" t="e">
        <f t="shared" ca="1" si="5"/>
        <v>#DIV/0!</v>
      </c>
      <c r="H48" s="81"/>
    </row>
    <row r="49" spans="1:8" x14ac:dyDescent="0.35">
      <c r="A49" s="76" t="s">
        <v>161</v>
      </c>
      <c r="B49" s="58">
        <f ca="1">'4'!I44</f>
        <v>0</v>
      </c>
      <c r="D49" s="58">
        <f t="shared" ca="1" si="3"/>
        <v>0</v>
      </c>
      <c r="E49" s="58" t="e">
        <f t="shared" ca="1" si="4"/>
        <v>#DIV/0!</v>
      </c>
      <c r="F49" s="58" t="e">
        <f t="shared" ca="1" si="5"/>
        <v>#DIV/0!</v>
      </c>
      <c r="H49" s="81"/>
    </row>
    <row r="50" spans="1:8" x14ac:dyDescent="0.35">
      <c r="A50" s="76" t="s">
        <v>163</v>
      </c>
      <c r="B50" s="58">
        <f ca="1">'4'!I45</f>
        <v>0.48780487804878048</v>
      </c>
      <c r="D50" s="58">
        <f t="shared" ca="1" si="3"/>
        <v>0.48780487804878048</v>
      </c>
      <c r="E50" s="58" t="e">
        <f t="shared" ca="1" si="4"/>
        <v>#DIV/0!</v>
      </c>
      <c r="F50" s="58" t="e">
        <f t="shared" ca="1" si="5"/>
        <v>#DIV/0!</v>
      </c>
      <c r="H50" s="81"/>
    </row>
    <row r="51" spans="1:8" x14ac:dyDescent="0.35">
      <c r="A51" s="76" t="s">
        <v>164</v>
      </c>
      <c r="B51" s="58">
        <f ca="1">'4'!I46</f>
        <v>0</v>
      </c>
      <c r="D51" s="58">
        <f t="shared" ca="1" si="3"/>
        <v>0</v>
      </c>
      <c r="E51" s="58" t="e">
        <f t="shared" ca="1" si="4"/>
        <v>#DIV/0!</v>
      </c>
      <c r="F51" s="58" t="e">
        <f t="shared" ca="1" si="5"/>
        <v>#DIV/0!</v>
      </c>
      <c r="H51" s="81"/>
    </row>
    <row r="52" spans="1:8" x14ac:dyDescent="0.35">
      <c r="A52" s="76" t="s">
        <v>166</v>
      </c>
      <c r="B52" s="58">
        <f ca="1">'4'!I47</f>
        <v>1.9512195121951219</v>
      </c>
      <c r="D52" s="58">
        <f t="shared" ca="1" si="3"/>
        <v>1.9512195121951219</v>
      </c>
      <c r="E52" s="58" t="e">
        <f t="shared" ca="1" si="4"/>
        <v>#DIV/0!</v>
      </c>
      <c r="F52" s="58" t="e">
        <f t="shared" ca="1" si="5"/>
        <v>#DIV/0!</v>
      </c>
      <c r="H52" s="81"/>
    </row>
    <row r="53" spans="1:8" x14ac:dyDescent="0.35">
      <c r="A53" s="76" t="s">
        <v>167</v>
      </c>
      <c r="B53" s="58">
        <f ca="1">'4'!I48</f>
        <v>0</v>
      </c>
      <c r="D53" s="58">
        <f t="shared" ca="1" si="3"/>
        <v>0</v>
      </c>
      <c r="E53" s="58" t="e">
        <f t="shared" ca="1" si="4"/>
        <v>#DIV/0!</v>
      </c>
      <c r="F53" s="58" t="e">
        <f t="shared" ca="1" si="5"/>
        <v>#DIV/0!</v>
      </c>
      <c r="H53" s="81"/>
    </row>
    <row r="54" spans="1:8" x14ac:dyDescent="0.35">
      <c r="A54" s="76" t="s">
        <v>169</v>
      </c>
      <c r="B54" s="58">
        <f ca="1">'4'!I49</f>
        <v>0</v>
      </c>
      <c r="D54" s="58">
        <f t="shared" ref="D54:D85" ca="1" si="6">AVERAGE(B54:B54)</f>
        <v>0</v>
      </c>
      <c r="E54" s="58" t="e">
        <f t="shared" ref="E54:E85" ca="1" si="7">STDEV(B54:B54)</f>
        <v>#DIV/0!</v>
      </c>
      <c r="F54" s="58" t="e">
        <f t="shared" ref="F54:F85" ca="1" si="8">E54/SQRT(1)</f>
        <v>#DIV/0!</v>
      </c>
      <c r="H54" s="81"/>
    </row>
    <row r="55" spans="1:8" x14ac:dyDescent="0.35">
      <c r="A55" s="76" t="s">
        <v>171</v>
      </c>
      <c r="B55" s="58">
        <f ca="1">'4'!I50</f>
        <v>1.4634146341463417</v>
      </c>
      <c r="D55" s="58">
        <f t="shared" ca="1" si="6"/>
        <v>1.4634146341463417</v>
      </c>
      <c r="E55" s="58" t="e">
        <f t="shared" ca="1" si="7"/>
        <v>#DIV/0!</v>
      </c>
      <c r="F55" s="58" t="e">
        <f t="shared" ca="1" si="8"/>
        <v>#DIV/0!</v>
      </c>
      <c r="H55" s="81"/>
    </row>
    <row r="56" spans="1:8" x14ac:dyDescent="0.35">
      <c r="A56" s="76" t="s">
        <v>172</v>
      </c>
      <c r="B56" s="58">
        <f ca="1">'4'!I51</f>
        <v>0</v>
      </c>
      <c r="D56" s="58">
        <f t="shared" ca="1" si="6"/>
        <v>0</v>
      </c>
      <c r="E56" s="58" t="e">
        <f t="shared" ca="1" si="7"/>
        <v>#DIV/0!</v>
      </c>
      <c r="F56" s="58" t="e">
        <f t="shared" ca="1" si="8"/>
        <v>#DIV/0!</v>
      </c>
      <c r="H56" s="81"/>
    </row>
    <row r="57" spans="1:8" x14ac:dyDescent="0.35">
      <c r="A57" s="76" t="s">
        <v>174</v>
      </c>
      <c r="B57" s="58">
        <f ca="1">'4'!I52</f>
        <v>0</v>
      </c>
      <c r="D57" s="58">
        <f t="shared" ca="1" si="6"/>
        <v>0</v>
      </c>
      <c r="E57" s="58" t="e">
        <f t="shared" ca="1" si="7"/>
        <v>#DIV/0!</v>
      </c>
      <c r="F57" s="58" t="e">
        <f t="shared" ca="1" si="8"/>
        <v>#DIV/0!</v>
      </c>
      <c r="H57" s="81"/>
    </row>
    <row r="58" spans="1:8" x14ac:dyDescent="0.35">
      <c r="A58" s="76" t="s">
        <v>176</v>
      </c>
      <c r="B58" s="58">
        <f ca="1">'4'!I53</f>
        <v>1.4634146341463417</v>
      </c>
      <c r="D58" s="58">
        <f t="shared" ca="1" si="6"/>
        <v>1.4634146341463417</v>
      </c>
      <c r="E58" s="58" t="e">
        <f t="shared" ca="1" si="7"/>
        <v>#DIV/0!</v>
      </c>
      <c r="F58" s="58" t="e">
        <f t="shared" ca="1" si="8"/>
        <v>#DIV/0!</v>
      </c>
      <c r="H58" s="81"/>
    </row>
    <row r="59" spans="1:8" x14ac:dyDescent="0.35">
      <c r="A59" s="76" t="s">
        <v>177</v>
      </c>
      <c r="B59" s="58">
        <f ca="1">'4'!I54</f>
        <v>1.4634146341463417</v>
      </c>
      <c r="D59" s="58">
        <f t="shared" ca="1" si="6"/>
        <v>1.4634146341463417</v>
      </c>
      <c r="E59" s="58" t="e">
        <f t="shared" ca="1" si="7"/>
        <v>#DIV/0!</v>
      </c>
      <c r="F59" s="58" t="e">
        <f t="shared" ca="1" si="8"/>
        <v>#DIV/0!</v>
      </c>
      <c r="H59" s="81"/>
    </row>
    <row r="60" spans="1:8" x14ac:dyDescent="0.35">
      <c r="A60" s="76" t="s">
        <v>178</v>
      </c>
      <c r="B60" s="58">
        <f ca="1">'4'!I55</f>
        <v>1.9512195121951219</v>
      </c>
      <c r="D60" s="58">
        <f t="shared" ca="1" si="6"/>
        <v>1.9512195121951219</v>
      </c>
      <c r="E60" s="58" t="e">
        <f t="shared" ca="1" si="7"/>
        <v>#DIV/0!</v>
      </c>
      <c r="F60" s="58" t="e">
        <f t="shared" ca="1" si="8"/>
        <v>#DIV/0!</v>
      </c>
      <c r="H60" s="81"/>
    </row>
    <row r="61" spans="1:8" x14ac:dyDescent="0.35">
      <c r="A61" s="76" t="s">
        <v>179</v>
      </c>
      <c r="B61" s="58">
        <f ca="1">'4'!I56</f>
        <v>2.9268292682926833</v>
      </c>
      <c r="D61" s="58">
        <f t="shared" ca="1" si="6"/>
        <v>2.9268292682926833</v>
      </c>
      <c r="E61" s="58" t="e">
        <f t="shared" ca="1" si="7"/>
        <v>#DIV/0!</v>
      </c>
      <c r="F61" s="58" t="e">
        <f t="shared" ca="1" si="8"/>
        <v>#DIV/0!</v>
      </c>
      <c r="H61" s="81"/>
    </row>
    <row r="62" spans="1:8" x14ac:dyDescent="0.35">
      <c r="A62" s="76" t="s">
        <v>180</v>
      </c>
      <c r="B62" s="58">
        <f ca="1">'4'!I57</f>
        <v>0.48780487804878048</v>
      </c>
      <c r="D62" s="58">
        <f t="shared" ca="1" si="6"/>
        <v>0.48780487804878048</v>
      </c>
      <c r="E62" s="58" t="e">
        <f t="shared" ca="1" si="7"/>
        <v>#DIV/0!</v>
      </c>
      <c r="F62" s="58" t="e">
        <f t="shared" ca="1" si="8"/>
        <v>#DIV/0!</v>
      </c>
      <c r="H62" s="81"/>
    </row>
    <row r="63" spans="1:8" x14ac:dyDescent="0.35">
      <c r="A63" s="76" t="s">
        <v>181</v>
      </c>
      <c r="B63" s="58">
        <f ca="1">'4'!I58</f>
        <v>0</v>
      </c>
      <c r="D63" s="58">
        <f t="shared" ca="1" si="6"/>
        <v>0</v>
      </c>
      <c r="E63" s="58" t="e">
        <f t="shared" ca="1" si="7"/>
        <v>#DIV/0!</v>
      </c>
      <c r="F63" s="58" t="e">
        <f t="shared" ca="1" si="8"/>
        <v>#DIV/0!</v>
      </c>
      <c r="H63" s="81"/>
    </row>
    <row r="64" spans="1:8" x14ac:dyDescent="0.35">
      <c r="A64" s="76" t="s">
        <v>183</v>
      </c>
      <c r="B64" s="58">
        <f ca="1">'4'!I59</f>
        <v>0.97560975609756095</v>
      </c>
      <c r="D64" s="58">
        <f t="shared" ca="1" si="6"/>
        <v>0.97560975609756095</v>
      </c>
      <c r="E64" s="58" t="e">
        <f t="shared" ca="1" si="7"/>
        <v>#DIV/0!</v>
      </c>
      <c r="F64" s="58" t="e">
        <f t="shared" ca="1" si="8"/>
        <v>#DIV/0!</v>
      </c>
      <c r="H64" s="81"/>
    </row>
    <row r="65" spans="1:8" x14ac:dyDescent="0.35">
      <c r="A65" s="76" t="s">
        <v>184</v>
      </c>
      <c r="B65" s="58">
        <f ca="1">'4'!I60</f>
        <v>0</v>
      </c>
      <c r="D65" s="58">
        <f t="shared" ca="1" si="6"/>
        <v>0</v>
      </c>
      <c r="E65" s="58" t="e">
        <f t="shared" ca="1" si="7"/>
        <v>#DIV/0!</v>
      </c>
      <c r="F65" s="58" t="e">
        <f t="shared" ca="1" si="8"/>
        <v>#DIV/0!</v>
      </c>
      <c r="H65" s="81"/>
    </row>
    <row r="66" spans="1:8" x14ac:dyDescent="0.35">
      <c r="A66" s="76" t="s">
        <v>186</v>
      </c>
      <c r="B66" s="58">
        <f ca="1">'4'!I61</f>
        <v>0</v>
      </c>
      <c r="D66" s="58">
        <f t="shared" ca="1" si="6"/>
        <v>0</v>
      </c>
      <c r="E66" s="58" t="e">
        <f t="shared" ca="1" si="7"/>
        <v>#DIV/0!</v>
      </c>
      <c r="F66" s="58" t="e">
        <f t="shared" ca="1" si="8"/>
        <v>#DIV/0!</v>
      </c>
      <c r="H66" s="81"/>
    </row>
    <row r="67" spans="1:8" x14ac:dyDescent="0.35">
      <c r="A67" s="76" t="s">
        <v>188</v>
      </c>
      <c r="B67" s="58">
        <f ca="1">'4'!I62</f>
        <v>0.48780487804878048</v>
      </c>
      <c r="D67" s="58">
        <f t="shared" ca="1" si="6"/>
        <v>0.48780487804878048</v>
      </c>
      <c r="E67" s="58" t="e">
        <f t="shared" ca="1" si="7"/>
        <v>#DIV/0!</v>
      </c>
      <c r="F67" s="58" t="e">
        <f t="shared" ca="1" si="8"/>
        <v>#DIV/0!</v>
      </c>
      <c r="H67" s="81"/>
    </row>
    <row r="68" spans="1:8" x14ac:dyDescent="0.35">
      <c r="A68" s="76" t="s">
        <v>189</v>
      </c>
      <c r="B68" s="58">
        <f ca="1">'4'!I63</f>
        <v>2.4390243902439024</v>
      </c>
      <c r="D68" s="58">
        <f t="shared" ca="1" si="6"/>
        <v>2.4390243902439024</v>
      </c>
      <c r="E68" s="58" t="e">
        <f t="shared" ca="1" si="7"/>
        <v>#DIV/0!</v>
      </c>
      <c r="F68" s="58" t="e">
        <f t="shared" ca="1" si="8"/>
        <v>#DIV/0!</v>
      </c>
      <c r="H68" s="81"/>
    </row>
    <row r="69" spans="1:8" x14ac:dyDescent="0.35">
      <c r="A69" s="76" t="s">
        <v>190</v>
      </c>
      <c r="B69" s="58">
        <f ca="1">'4'!I64</f>
        <v>2.9268292682926833</v>
      </c>
      <c r="D69" s="58">
        <f t="shared" ca="1" si="6"/>
        <v>2.9268292682926833</v>
      </c>
      <c r="E69" s="58" t="e">
        <f t="shared" ca="1" si="7"/>
        <v>#DIV/0!</v>
      </c>
      <c r="F69" s="58" t="e">
        <f t="shared" ca="1" si="8"/>
        <v>#DIV/0!</v>
      </c>
      <c r="H69" s="81"/>
    </row>
    <row r="70" spans="1:8" x14ac:dyDescent="0.35">
      <c r="A70" s="76" t="s">
        <v>191</v>
      </c>
      <c r="B70" s="58">
        <f ca="1">'4'!I65</f>
        <v>0.48780487804878048</v>
      </c>
      <c r="D70" s="58">
        <f t="shared" ca="1" si="6"/>
        <v>0.48780487804878048</v>
      </c>
      <c r="E70" s="58" t="e">
        <f t="shared" ca="1" si="7"/>
        <v>#DIV/0!</v>
      </c>
      <c r="F70" s="58" t="e">
        <f t="shared" ca="1" si="8"/>
        <v>#DIV/0!</v>
      </c>
      <c r="H70" s="81"/>
    </row>
    <row r="71" spans="1:8" x14ac:dyDescent="0.35">
      <c r="A71" s="76" t="s">
        <v>192</v>
      </c>
      <c r="B71" s="58">
        <f ca="1">'4'!I66</f>
        <v>0.97560975609756095</v>
      </c>
      <c r="D71" s="58">
        <f t="shared" ca="1" si="6"/>
        <v>0.97560975609756095</v>
      </c>
      <c r="E71" s="58" t="e">
        <f t="shared" ca="1" si="7"/>
        <v>#DIV/0!</v>
      </c>
      <c r="F71" s="58" t="e">
        <f t="shared" ca="1" si="8"/>
        <v>#DIV/0!</v>
      </c>
      <c r="H71" s="81"/>
    </row>
    <row r="72" spans="1:8" x14ac:dyDescent="0.35">
      <c r="A72" s="76" t="s">
        <v>193</v>
      </c>
      <c r="B72" s="58">
        <f ca="1">'4'!I67</f>
        <v>0.48780487804878048</v>
      </c>
      <c r="D72" s="58">
        <f t="shared" ca="1" si="6"/>
        <v>0.48780487804878048</v>
      </c>
      <c r="E72" s="58" t="e">
        <f t="shared" ca="1" si="7"/>
        <v>#DIV/0!</v>
      </c>
      <c r="F72" s="58" t="e">
        <f t="shared" ca="1" si="8"/>
        <v>#DIV/0!</v>
      </c>
      <c r="H72" s="81"/>
    </row>
    <row r="73" spans="1:8" x14ac:dyDescent="0.35">
      <c r="A73" s="76" t="s">
        <v>194</v>
      </c>
      <c r="B73" s="58">
        <f ca="1">'4'!I68</f>
        <v>0.48780487804878048</v>
      </c>
      <c r="D73" s="58">
        <f t="shared" ca="1" si="6"/>
        <v>0.48780487804878048</v>
      </c>
      <c r="E73" s="58" t="e">
        <f t="shared" ca="1" si="7"/>
        <v>#DIV/0!</v>
      </c>
      <c r="F73" s="58" t="e">
        <f t="shared" ca="1" si="8"/>
        <v>#DIV/0!</v>
      </c>
      <c r="H73" s="81"/>
    </row>
    <row r="74" spans="1:8" x14ac:dyDescent="0.35">
      <c r="A74" s="76" t="s">
        <v>195</v>
      </c>
      <c r="B74" s="58">
        <f ca="1">'4'!I69</f>
        <v>2.4390243902439024</v>
      </c>
      <c r="D74" s="58">
        <f t="shared" ca="1" si="6"/>
        <v>2.4390243902439024</v>
      </c>
      <c r="E74" s="58" t="e">
        <f t="shared" ca="1" si="7"/>
        <v>#DIV/0!</v>
      </c>
      <c r="F74" s="58" t="e">
        <f t="shared" ca="1" si="8"/>
        <v>#DIV/0!</v>
      </c>
      <c r="H74" s="81"/>
    </row>
    <row r="75" spans="1:8" x14ac:dyDescent="0.35">
      <c r="A75" s="76" t="s">
        <v>196</v>
      </c>
      <c r="B75" s="58">
        <f ca="1">'4'!I70</f>
        <v>0.97560975609756095</v>
      </c>
      <c r="D75" s="58">
        <f t="shared" ca="1" si="6"/>
        <v>0.97560975609756095</v>
      </c>
      <c r="E75" s="58" t="e">
        <f t="shared" ca="1" si="7"/>
        <v>#DIV/0!</v>
      </c>
      <c r="F75" s="58" t="e">
        <f t="shared" ca="1" si="8"/>
        <v>#DIV/0!</v>
      </c>
      <c r="H75" s="81"/>
    </row>
    <row r="76" spans="1:8" x14ac:dyDescent="0.35">
      <c r="A76" s="76" t="s">
        <v>197</v>
      </c>
      <c r="B76" s="58">
        <f ca="1">'4'!I71</f>
        <v>3.4146341463414638</v>
      </c>
      <c r="D76" s="58">
        <f t="shared" ca="1" si="6"/>
        <v>3.4146341463414638</v>
      </c>
      <c r="E76" s="58" t="e">
        <f t="shared" ca="1" si="7"/>
        <v>#DIV/0!</v>
      </c>
      <c r="F76" s="58" t="e">
        <f t="shared" ca="1" si="8"/>
        <v>#DIV/0!</v>
      </c>
      <c r="H76" s="81"/>
    </row>
    <row r="77" spans="1:8" x14ac:dyDescent="0.35">
      <c r="A77" s="76" t="s">
        <v>198</v>
      </c>
      <c r="B77" s="58">
        <f ca="1">'4'!I72</f>
        <v>0.48780487804878048</v>
      </c>
      <c r="D77" s="58">
        <f t="shared" ca="1" si="6"/>
        <v>0.48780487804878048</v>
      </c>
      <c r="E77" s="58" t="e">
        <f t="shared" ca="1" si="7"/>
        <v>#DIV/0!</v>
      </c>
      <c r="F77" s="58" t="e">
        <f t="shared" ca="1" si="8"/>
        <v>#DIV/0!</v>
      </c>
      <c r="H77" s="81"/>
    </row>
    <row r="78" spans="1:8" x14ac:dyDescent="0.35">
      <c r="A78" s="76" t="s">
        <v>199</v>
      </c>
      <c r="B78" s="58">
        <f ca="1">'4'!I73</f>
        <v>0.48780487804878048</v>
      </c>
      <c r="D78" s="58">
        <f t="shared" ca="1" si="6"/>
        <v>0.48780487804878048</v>
      </c>
      <c r="E78" s="58" t="e">
        <f t="shared" ca="1" si="7"/>
        <v>#DIV/0!</v>
      </c>
      <c r="F78" s="58" t="e">
        <f t="shared" ca="1" si="8"/>
        <v>#DIV/0!</v>
      </c>
      <c r="H78" s="81"/>
    </row>
    <row r="79" spans="1:8" x14ac:dyDescent="0.35">
      <c r="A79" s="76" t="s">
        <v>200</v>
      </c>
      <c r="B79" s="58">
        <f ca="1">'4'!I74</f>
        <v>0.48780487804878048</v>
      </c>
      <c r="D79" s="58">
        <f t="shared" ca="1" si="6"/>
        <v>0.48780487804878048</v>
      </c>
      <c r="E79" s="58" t="e">
        <f t="shared" ca="1" si="7"/>
        <v>#DIV/0!</v>
      </c>
      <c r="F79" s="58" t="e">
        <f t="shared" ca="1" si="8"/>
        <v>#DIV/0!</v>
      </c>
      <c r="H79" s="81"/>
    </row>
    <row r="80" spans="1:8" x14ac:dyDescent="0.35">
      <c r="A80" s="76" t="s">
        <v>201</v>
      </c>
      <c r="B80" s="58">
        <f ca="1">'4'!I75</f>
        <v>0</v>
      </c>
      <c r="D80" s="58">
        <f t="shared" ca="1" si="6"/>
        <v>0</v>
      </c>
      <c r="E80" s="58" t="e">
        <f t="shared" ca="1" si="7"/>
        <v>#DIV/0!</v>
      </c>
      <c r="F80" s="58" t="e">
        <f t="shared" ca="1" si="8"/>
        <v>#DIV/0!</v>
      </c>
      <c r="H80" s="81"/>
    </row>
    <row r="81" spans="1:8" x14ac:dyDescent="0.35">
      <c r="A81" s="76" t="s">
        <v>203</v>
      </c>
      <c r="B81" s="58">
        <f ca="1">'4'!I76</f>
        <v>3.9024390243902438</v>
      </c>
      <c r="D81" s="58">
        <f t="shared" ca="1" si="6"/>
        <v>3.9024390243902438</v>
      </c>
      <c r="E81" s="58" t="e">
        <f t="shared" ca="1" si="7"/>
        <v>#DIV/0!</v>
      </c>
      <c r="F81" s="58" t="e">
        <f t="shared" ca="1" si="8"/>
        <v>#DIV/0!</v>
      </c>
      <c r="H81" s="81"/>
    </row>
    <row r="82" spans="1:8" x14ac:dyDescent="0.35">
      <c r="A82" s="76" t="s">
        <v>204</v>
      </c>
      <c r="B82" s="58">
        <f ca="1">'4'!I77</f>
        <v>0</v>
      </c>
      <c r="D82" s="58">
        <f t="shared" ca="1" si="6"/>
        <v>0</v>
      </c>
      <c r="E82" s="58" t="e">
        <f t="shared" ca="1" si="7"/>
        <v>#DIV/0!</v>
      </c>
      <c r="F82" s="58" t="e">
        <f t="shared" ca="1" si="8"/>
        <v>#DIV/0!</v>
      </c>
      <c r="H82" s="81"/>
    </row>
    <row r="83" spans="1:8" x14ac:dyDescent="0.35">
      <c r="A83" s="76" t="s">
        <v>206</v>
      </c>
      <c r="B83" s="58">
        <f ca="1">'4'!I78</f>
        <v>0</v>
      </c>
      <c r="D83" s="58">
        <f t="shared" ca="1" si="6"/>
        <v>0</v>
      </c>
      <c r="E83" s="58" t="e">
        <f t="shared" ca="1" si="7"/>
        <v>#DIV/0!</v>
      </c>
      <c r="F83" s="58" t="e">
        <f t="shared" ca="1" si="8"/>
        <v>#DIV/0!</v>
      </c>
      <c r="H83" s="81"/>
    </row>
    <row r="84" spans="1:8" x14ac:dyDescent="0.35">
      <c r="A84" s="76" t="s">
        <v>208</v>
      </c>
      <c r="B84" s="58">
        <f ca="1">'4'!I79</f>
        <v>0</v>
      </c>
      <c r="D84" s="58">
        <f t="shared" ca="1" si="6"/>
        <v>0</v>
      </c>
      <c r="E84" s="58" t="e">
        <f t="shared" ca="1" si="7"/>
        <v>#DIV/0!</v>
      </c>
      <c r="F84" s="58" t="e">
        <f t="shared" ca="1" si="8"/>
        <v>#DIV/0!</v>
      </c>
      <c r="H84" s="81"/>
    </row>
    <row r="85" spans="1:8" x14ac:dyDescent="0.35">
      <c r="A85" s="76" t="s">
        <v>210</v>
      </c>
      <c r="B85" s="58">
        <f ca="1">'4'!I80</f>
        <v>0</v>
      </c>
      <c r="D85" s="58">
        <f t="shared" ca="1" si="6"/>
        <v>0</v>
      </c>
      <c r="E85" s="58" t="e">
        <f t="shared" ca="1" si="7"/>
        <v>#DIV/0!</v>
      </c>
      <c r="F85" s="58" t="e">
        <f t="shared" ca="1" si="8"/>
        <v>#DIV/0!</v>
      </c>
      <c r="H85" s="81"/>
    </row>
    <row r="86" spans="1:8" x14ac:dyDescent="0.35">
      <c r="A86" s="76" t="s">
        <v>212</v>
      </c>
      <c r="B86" s="58">
        <f ca="1">'4'!I81</f>
        <v>0</v>
      </c>
      <c r="D86" s="58">
        <f t="shared" ref="D86:D93" ca="1" si="9">AVERAGE(B86:B86)</f>
        <v>0</v>
      </c>
      <c r="E86" s="58" t="e">
        <f t="shared" ref="E86:E93" ca="1" si="10">STDEV(B86:B86)</f>
        <v>#DIV/0!</v>
      </c>
      <c r="F86" s="58" t="e">
        <f t="shared" ref="F86:F117" ca="1" si="11">E86/SQRT(1)</f>
        <v>#DIV/0!</v>
      </c>
      <c r="H86" s="81"/>
    </row>
    <row r="87" spans="1:8" x14ac:dyDescent="0.35">
      <c r="A87" s="76" t="s">
        <v>214</v>
      </c>
      <c r="B87" s="58">
        <f ca="1">'4'!I82</f>
        <v>0</v>
      </c>
      <c r="D87" s="58">
        <f t="shared" ca="1" si="9"/>
        <v>0</v>
      </c>
      <c r="E87" s="58" t="e">
        <f t="shared" ca="1" si="10"/>
        <v>#DIV/0!</v>
      </c>
      <c r="F87" s="58" t="e">
        <f t="shared" ca="1" si="11"/>
        <v>#DIV/0!</v>
      </c>
      <c r="H87" s="81"/>
    </row>
    <row r="88" spans="1:8" x14ac:dyDescent="0.35">
      <c r="A88" s="76" t="s">
        <v>216</v>
      </c>
      <c r="B88" s="58">
        <f ca="1">'4'!I83</f>
        <v>0</v>
      </c>
      <c r="D88" s="58">
        <f t="shared" ca="1" si="9"/>
        <v>0</v>
      </c>
      <c r="E88" s="58" t="e">
        <f t="shared" ca="1" si="10"/>
        <v>#DIV/0!</v>
      </c>
      <c r="F88" s="58" t="e">
        <f t="shared" ca="1" si="11"/>
        <v>#DIV/0!</v>
      </c>
      <c r="H88" s="81"/>
    </row>
    <row r="89" spans="1:8" x14ac:dyDescent="0.35">
      <c r="A89" s="76" t="s">
        <v>218</v>
      </c>
      <c r="B89" s="58">
        <f ca="1">'4'!I84</f>
        <v>0</v>
      </c>
      <c r="D89" s="58">
        <f t="shared" ca="1" si="9"/>
        <v>0</v>
      </c>
      <c r="E89" s="58" t="e">
        <f t="shared" ca="1" si="10"/>
        <v>#DIV/0!</v>
      </c>
      <c r="F89" s="58" t="e">
        <f t="shared" ca="1" si="11"/>
        <v>#DIV/0!</v>
      </c>
      <c r="H89" s="81"/>
    </row>
    <row r="90" spans="1:8" x14ac:dyDescent="0.35">
      <c r="A90" s="76" t="s">
        <v>220</v>
      </c>
      <c r="B90" s="58">
        <f ca="1">'4'!I85</f>
        <v>0</v>
      </c>
      <c r="D90" s="58">
        <f t="shared" ca="1" si="9"/>
        <v>0</v>
      </c>
      <c r="E90" s="58" t="e">
        <f t="shared" ca="1" si="10"/>
        <v>#DIV/0!</v>
      </c>
      <c r="F90" s="58" t="e">
        <f t="shared" ca="1" si="11"/>
        <v>#DIV/0!</v>
      </c>
      <c r="H90" s="81"/>
    </row>
    <row r="91" spans="1:8" x14ac:dyDescent="0.35">
      <c r="A91" s="76" t="s">
        <v>222</v>
      </c>
      <c r="B91" s="58">
        <f ca="1">'4'!I86</f>
        <v>0</v>
      </c>
      <c r="D91" s="58">
        <f t="shared" ca="1" si="9"/>
        <v>0</v>
      </c>
      <c r="E91" s="58" t="e">
        <f t="shared" ca="1" si="10"/>
        <v>#DIV/0!</v>
      </c>
      <c r="F91" s="58" t="e">
        <f t="shared" ca="1" si="11"/>
        <v>#DIV/0!</v>
      </c>
      <c r="H91" s="81"/>
    </row>
    <row r="92" spans="1:8" x14ac:dyDescent="0.35">
      <c r="A92" s="76" t="s">
        <v>224</v>
      </c>
      <c r="B92" s="58">
        <f ca="1">'4'!I87</f>
        <v>0</v>
      </c>
      <c r="D92" s="58">
        <f t="shared" ca="1" si="9"/>
        <v>0</v>
      </c>
      <c r="E92" s="58" t="e">
        <f t="shared" ca="1" si="10"/>
        <v>#DIV/0!</v>
      </c>
      <c r="F92" s="58" t="e">
        <f t="shared" ca="1" si="11"/>
        <v>#DIV/0!</v>
      </c>
      <c r="H92" s="81"/>
    </row>
    <row r="93" spans="1:8" x14ac:dyDescent="0.35">
      <c r="A93" s="76" t="s">
        <v>226</v>
      </c>
      <c r="B93" s="58">
        <f ca="1">'4'!I88</f>
        <v>0</v>
      </c>
      <c r="D93" s="58">
        <f t="shared" ca="1" si="9"/>
        <v>0</v>
      </c>
      <c r="E93" s="58" t="e">
        <f t="shared" ca="1" si="10"/>
        <v>#DIV/0!</v>
      </c>
      <c r="F93" s="58" t="e">
        <f t="shared" ca="1" si="11"/>
        <v>#DIV/0!</v>
      </c>
      <c r="H93" s="81"/>
    </row>
    <row r="94" spans="1:8" x14ac:dyDescent="0.35">
      <c r="A94" s="77" t="s">
        <v>349</v>
      </c>
      <c r="B94" s="59"/>
      <c r="C94" s="59"/>
      <c r="D94" s="59"/>
      <c r="E94" s="59"/>
      <c r="F94" s="59"/>
      <c r="G94" s="59"/>
      <c r="H94" s="83"/>
    </row>
    <row r="95" spans="1:8" x14ac:dyDescent="0.35">
      <c r="A95" s="76" t="s">
        <v>228</v>
      </c>
      <c r="B95" s="58">
        <f ca="1">'4'!I90</f>
        <v>13.658536585365855</v>
      </c>
      <c r="D95" s="58">
        <f ca="1">AVERAGE(B95:B95)</f>
        <v>13.658536585365855</v>
      </c>
      <c r="E95" s="58" t="e">
        <f ca="1">STDEV(B95:B95)</f>
        <v>#DIV/0!</v>
      </c>
      <c r="F95" s="58" t="e">
        <f ca="1">E95/SQRT(1)</f>
        <v>#DIV/0!</v>
      </c>
      <c r="H95" s="81"/>
    </row>
    <row r="96" spans="1:8" x14ac:dyDescent="0.35">
      <c r="A96" s="76" t="s">
        <v>229</v>
      </c>
      <c r="B96" s="58">
        <f ca="1">'4'!I91</f>
        <v>10.24390243902439</v>
      </c>
      <c r="D96" s="58">
        <f ca="1">AVERAGE(B96:B96)</f>
        <v>10.24390243902439</v>
      </c>
      <c r="E96" s="58" t="e">
        <f ca="1">STDEV(B96:B96)</f>
        <v>#DIV/0!</v>
      </c>
      <c r="F96" s="58" t="e">
        <f ca="1">E96/SQRT(1)</f>
        <v>#DIV/0!</v>
      </c>
      <c r="H96" s="81"/>
    </row>
    <row r="97" spans="1:8" x14ac:dyDescent="0.35">
      <c r="A97" s="76" t="s">
        <v>230</v>
      </c>
      <c r="B97" s="58">
        <f ca="1">'4'!I92</f>
        <v>0.48780487804878048</v>
      </c>
      <c r="D97" s="58">
        <f ca="1">AVERAGE(B97:B97)</f>
        <v>0.48780487804878048</v>
      </c>
      <c r="E97" s="58" t="e">
        <f ca="1">STDEV(B97:B97)</f>
        <v>#DIV/0!</v>
      </c>
      <c r="F97" s="58" t="e">
        <f ca="1">E97/SQRT(1)</f>
        <v>#DIV/0!</v>
      </c>
      <c r="H97" s="81"/>
    </row>
    <row r="98" spans="1:8" x14ac:dyDescent="0.35">
      <c r="A98" s="76" t="s">
        <v>231</v>
      </c>
      <c r="B98" s="58">
        <f ca="1">'4'!I93</f>
        <v>0.48780487804878048</v>
      </c>
      <c r="D98" s="58">
        <f ca="1">AVERAGE(B98:B98)</f>
        <v>0.48780487804878048</v>
      </c>
      <c r="E98" s="58" t="e">
        <f ca="1">STDEV(B98:B98)</f>
        <v>#DIV/0!</v>
      </c>
      <c r="F98" s="58" t="e">
        <f ca="1">E98/SQRT(1)</f>
        <v>#DIV/0!</v>
      </c>
      <c r="H98" s="81"/>
    </row>
    <row r="99" spans="1:8" x14ac:dyDescent="0.35">
      <c r="A99" s="76" t="s">
        <v>232</v>
      </c>
      <c r="B99" s="58">
        <f ca="1">'4'!I94</f>
        <v>0</v>
      </c>
      <c r="D99" s="58">
        <f ca="1">AVERAGE(B99:B99)</f>
        <v>0</v>
      </c>
      <c r="E99" s="58" t="e">
        <f ca="1">STDEV(B99:B99)</f>
        <v>#DIV/0!</v>
      </c>
      <c r="F99" s="58" t="e">
        <f ca="1">E99/SQRT(1)</f>
        <v>#DIV/0!</v>
      </c>
      <c r="H99" s="81"/>
    </row>
    <row r="100" spans="1:8" x14ac:dyDescent="0.35">
      <c r="A100" s="77" t="s">
        <v>350</v>
      </c>
      <c r="B100" s="59"/>
      <c r="C100" s="59"/>
      <c r="D100" s="59"/>
      <c r="E100" s="59"/>
      <c r="F100" s="59"/>
      <c r="G100" s="59"/>
      <c r="H100" s="83"/>
    </row>
    <row r="101" spans="1:8" x14ac:dyDescent="0.35">
      <c r="A101" s="76" t="s">
        <v>233</v>
      </c>
      <c r="B101" s="58">
        <f ca="1">'4'!I96</f>
        <v>0</v>
      </c>
      <c r="D101" s="58">
        <f ca="1">AVERAGE(B101:B101)</f>
        <v>0</v>
      </c>
      <c r="E101" s="58" t="e">
        <f ca="1">STDEV(B101:B101)</f>
        <v>#DIV/0!</v>
      </c>
      <c r="F101" s="58" t="e">
        <f ca="1">E101/SQRT(1)</f>
        <v>#DIV/0!</v>
      </c>
      <c r="H101" s="81"/>
    </row>
    <row r="102" spans="1:8" x14ac:dyDescent="0.35">
      <c r="A102" s="76" t="s">
        <v>235</v>
      </c>
      <c r="B102" s="58">
        <f ca="1">'4'!I97</f>
        <v>0.48780487804878048</v>
      </c>
      <c r="D102" s="58">
        <f ca="1">AVERAGE(B102:B102)</f>
        <v>0.48780487804878048</v>
      </c>
      <c r="E102" s="58" t="e">
        <f ca="1">STDEV(B102:B102)</f>
        <v>#DIV/0!</v>
      </c>
      <c r="F102" s="58" t="e">
        <f ca="1">E102/SQRT(1)</f>
        <v>#DIV/0!</v>
      </c>
      <c r="H102" s="81"/>
    </row>
    <row r="103" spans="1:8" x14ac:dyDescent="0.35">
      <c r="A103" s="76" t="s">
        <v>236</v>
      </c>
      <c r="B103" s="58">
        <f ca="1">'4'!I98</f>
        <v>0</v>
      </c>
      <c r="D103" s="58">
        <f ca="1">AVERAGE(B103:B103)</f>
        <v>0</v>
      </c>
      <c r="E103" s="58" t="e">
        <f ca="1">STDEV(B103:B103)</f>
        <v>#DIV/0!</v>
      </c>
      <c r="F103" s="58" t="e">
        <f ca="1">E103/SQRT(1)</f>
        <v>#DIV/0!</v>
      </c>
      <c r="H103" s="81"/>
    </row>
    <row r="104" spans="1:8" x14ac:dyDescent="0.35">
      <c r="A104" s="76" t="s">
        <v>238</v>
      </c>
      <c r="B104" s="58">
        <f ca="1">'4'!I99</f>
        <v>0</v>
      </c>
      <c r="D104" s="58">
        <f ca="1">AVERAGE(B104:B104)</f>
        <v>0</v>
      </c>
      <c r="E104" s="58" t="e">
        <f ca="1">STDEV(B104:B104)</f>
        <v>#DIV/0!</v>
      </c>
      <c r="F104" s="58" t="e">
        <f ca="1">E104/SQRT(1)</f>
        <v>#DIV/0!</v>
      </c>
      <c r="H104" s="81"/>
    </row>
    <row r="105" spans="1:8" x14ac:dyDescent="0.35">
      <c r="A105" s="76" t="s">
        <v>240</v>
      </c>
      <c r="B105" s="58">
        <f ca="1">'4'!I100</f>
        <v>0</v>
      </c>
      <c r="D105" s="58">
        <f ca="1">AVERAGE(B105:B105)</f>
        <v>0</v>
      </c>
      <c r="E105" s="58" t="e">
        <f ca="1">STDEV(B105:B105)</f>
        <v>#DIV/0!</v>
      </c>
      <c r="F105" s="58" t="e">
        <f ca="1">E105/SQRT(1)</f>
        <v>#DIV/0!</v>
      </c>
      <c r="H105" s="81"/>
    </row>
    <row r="106" spans="1:8" x14ac:dyDescent="0.35">
      <c r="A106" s="77" t="s">
        <v>351</v>
      </c>
      <c r="B106" s="59"/>
      <c r="C106" s="59"/>
      <c r="D106" s="59"/>
      <c r="E106" s="59"/>
      <c r="F106" s="59"/>
      <c r="G106" s="59"/>
      <c r="H106" s="83"/>
    </row>
    <row r="107" spans="1:8" x14ac:dyDescent="0.35">
      <c r="A107" s="76" t="s">
        <v>242</v>
      </c>
      <c r="B107" s="58">
        <f ca="1">'4'!I102</f>
        <v>0</v>
      </c>
      <c r="D107" s="58">
        <f ca="1">AVERAGE(B107:B107)</f>
        <v>0</v>
      </c>
      <c r="E107" s="58" t="e">
        <f ca="1">STDEV(B107:B107)</f>
        <v>#DIV/0!</v>
      </c>
      <c r="F107" s="58" t="e">
        <f ca="1">E107/SQRT(1)</f>
        <v>#DIV/0!</v>
      </c>
      <c r="H107" s="81"/>
    </row>
    <row r="108" spans="1:8" x14ac:dyDescent="0.35">
      <c r="A108" s="76" t="s">
        <v>244</v>
      </c>
      <c r="B108" s="58">
        <f ca="1">'4'!I103</f>
        <v>0</v>
      </c>
      <c r="D108" s="58">
        <f ca="1">AVERAGE(B108:B108)</f>
        <v>0</v>
      </c>
      <c r="E108" s="58" t="e">
        <f ca="1">STDEV(B108:B108)</f>
        <v>#DIV/0!</v>
      </c>
      <c r="F108" s="58" t="e">
        <f ca="1">E108/SQRT(1)</f>
        <v>#DIV/0!</v>
      </c>
      <c r="H108" s="81"/>
    </row>
    <row r="109" spans="1:8" x14ac:dyDescent="0.35">
      <c r="A109" s="76" t="s">
        <v>246</v>
      </c>
      <c r="B109" s="58">
        <f ca="1">'4'!I104</f>
        <v>0</v>
      </c>
      <c r="D109" s="58">
        <f ca="1">AVERAGE(B109:B109)</f>
        <v>0</v>
      </c>
      <c r="E109" s="58" t="e">
        <f ca="1">STDEV(B109:B109)</f>
        <v>#DIV/0!</v>
      </c>
      <c r="F109" s="58" t="e">
        <f ca="1">E109/SQRT(1)</f>
        <v>#DIV/0!</v>
      </c>
      <c r="H109" s="81"/>
    </row>
    <row r="110" spans="1:8" x14ac:dyDescent="0.35">
      <c r="A110" s="76" t="s">
        <v>247</v>
      </c>
      <c r="B110" s="58">
        <f ca="1">'4'!I105</f>
        <v>0</v>
      </c>
      <c r="D110" s="58">
        <f ca="1">AVERAGE(B110:B110)</f>
        <v>0</v>
      </c>
      <c r="E110" s="58" t="e">
        <f ca="1">STDEV(B110:B110)</f>
        <v>#DIV/0!</v>
      </c>
      <c r="F110" s="58" t="e">
        <f ca="1">E110/SQRT(1)</f>
        <v>#DIV/0!</v>
      </c>
      <c r="H110" s="81"/>
    </row>
    <row r="111" spans="1:8" x14ac:dyDescent="0.35">
      <c r="A111" s="77" t="s">
        <v>352</v>
      </c>
      <c r="B111" s="59"/>
      <c r="C111" s="59"/>
      <c r="D111" s="59"/>
      <c r="E111" s="59"/>
      <c r="F111" s="59"/>
      <c r="G111" s="59"/>
      <c r="H111" s="83"/>
    </row>
    <row r="112" spans="1:8" x14ac:dyDescent="0.35">
      <c r="A112" s="76" t="s">
        <v>249</v>
      </c>
      <c r="B112" s="58">
        <f ca="1">'4'!I107</f>
        <v>0</v>
      </c>
      <c r="D112" s="58">
        <f ca="1">AVERAGE(B112:B112)</f>
        <v>0</v>
      </c>
      <c r="E112" s="58" t="e">
        <f ca="1">STDEV(B112:B112)</f>
        <v>#DIV/0!</v>
      </c>
      <c r="F112" s="58" t="e">
        <f ca="1">E112/SQRT(1)</f>
        <v>#DIV/0!</v>
      </c>
      <c r="H112" s="81"/>
    </row>
    <row r="113" spans="1:8" x14ac:dyDescent="0.35">
      <c r="A113" s="77" t="s">
        <v>353</v>
      </c>
      <c r="B113" s="59"/>
      <c r="C113" s="59"/>
      <c r="D113" s="59"/>
      <c r="E113" s="59"/>
      <c r="F113" s="59"/>
      <c r="G113" s="59"/>
      <c r="H113" s="83"/>
    </row>
    <row r="114" spans="1:8" x14ac:dyDescent="0.35">
      <c r="A114" s="76" t="s">
        <v>250</v>
      </c>
      <c r="B114" s="58">
        <f ca="1">'4'!I109</f>
        <v>0</v>
      </c>
      <c r="D114" s="58">
        <f t="shared" ref="D114:D123" ca="1" si="12">AVERAGE(B114:B114)</f>
        <v>0</v>
      </c>
      <c r="E114" s="58" t="e">
        <f t="shared" ref="E114:E123" ca="1" si="13">STDEV(B114:B114)</f>
        <v>#DIV/0!</v>
      </c>
      <c r="F114" s="58" t="e">
        <f t="shared" ref="F114:F123" ca="1" si="14">E114/SQRT(1)</f>
        <v>#DIV/0!</v>
      </c>
      <c r="H114" s="81"/>
    </row>
    <row r="115" spans="1:8" x14ac:dyDescent="0.35">
      <c r="A115" s="76" t="s">
        <v>252</v>
      </c>
      <c r="B115" s="58">
        <f ca="1">'4'!I110</f>
        <v>0</v>
      </c>
      <c r="D115" s="58">
        <f t="shared" ca="1" si="12"/>
        <v>0</v>
      </c>
      <c r="E115" s="58" t="e">
        <f t="shared" ca="1" si="13"/>
        <v>#DIV/0!</v>
      </c>
      <c r="F115" s="58" t="e">
        <f t="shared" ca="1" si="14"/>
        <v>#DIV/0!</v>
      </c>
      <c r="H115" s="81"/>
    </row>
    <row r="116" spans="1:8" x14ac:dyDescent="0.35">
      <c r="A116" s="76" t="s">
        <v>254</v>
      </c>
      <c r="B116" s="58">
        <f ca="1">'4'!I111</f>
        <v>0</v>
      </c>
      <c r="D116" s="58">
        <f t="shared" ca="1" si="12"/>
        <v>0</v>
      </c>
      <c r="E116" s="58" t="e">
        <f t="shared" ca="1" si="13"/>
        <v>#DIV/0!</v>
      </c>
      <c r="F116" s="58" t="e">
        <f t="shared" ca="1" si="14"/>
        <v>#DIV/0!</v>
      </c>
      <c r="H116" s="81"/>
    </row>
    <row r="117" spans="1:8" x14ac:dyDescent="0.35">
      <c r="A117" s="76" t="s">
        <v>256</v>
      </c>
      <c r="B117" s="58">
        <f ca="1">'4'!I112</f>
        <v>0</v>
      </c>
      <c r="D117" s="58">
        <f t="shared" ca="1" si="12"/>
        <v>0</v>
      </c>
      <c r="E117" s="58" t="e">
        <f t="shared" ca="1" si="13"/>
        <v>#DIV/0!</v>
      </c>
      <c r="F117" s="58" t="e">
        <f t="shared" ca="1" si="14"/>
        <v>#DIV/0!</v>
      </c>
      <c r="H117" s="81"/>
    </row>
    <row r="118" spans="1:8" x14ac:dyDescent="0.35">
      <c r="A118" s="76" t="s">
        <v>257</v>
      </c>
      <c r="B118" s="58">
        <f ca="1">'4'!I113</f>
        <v>0</v>
      </c>
      <c r="D118" s="58">
        <f t="shared" ca="1" si="12"/>
        <v>0</v>
      </c>
      <c r="E118" s="58" t="e">
        <f t="shared" ca="1" si="13"/>
        <v>#DIV/0!</v>
      </c>
      <c r="F118" s="58" t="e">
        <f t="shared" ca="1" si="14"/>
        <v>#DIV/0!</v>
      </c>
      <c r="H118" s="81"/>
    </row>
    <row r="119" spans="1:8" x14ac:dyDescent="0.35">
      <c r="A119" s="76" t="s">
        <v>259</v>
      </c>
      <c r="B119" s="58">
        <f ca="1">'4'!I114</f>
        <v>1.4634146341463417</v>
      </c>
      <c r="D119" s="58">
        <f t="shared" ca="1" si="12"/>
        <v>1.4634146341463417</v>
      </c>
      <c r="E119" s="58" t="e">
        <f t="shared" ca="1" si="13"/>
        <v>#DIV/0!</v>
      </c>
      <c r="F119" s="58" t="e">
        <f t="shared" ca="1" si="14"/>
        <v>#DIV/0!</v>
      </c>
      <c r="H119" s="81"/>
    </row>
    <row r="120" spans="1:8" x14ac:dyDescent="0.35">
      <c r="A120" s="76" t="s">
        <v>260</v>
      </c>
      <c r="B120" s="58">
        <f ca="1">'4'!I115</f>
        <v>0</v>
      </c>
      <c r="D120" s="58">
        <f t="shared" ca="1" si="12"/>
        <v>0</v>
      </c>
      <c r="E120" s="58" t="e">
        <f t="shared" ca="1" si="13"/>
        <v>#DIV/0!</v>
      </c>
      <c r="F120" s="58" t="e">
        <f t="shared" ca="1" si="14"/>
        <v>#DIV/0!</v>
      </c>
      <c r="H120" s="81"/>
    </row>
    <row r="121" spans="1:8" x14ac:dyDescent="0.35">
      <c r="A121" s="76" t="s">
        <v>262</v>
      </c>
      <c r="B121" s="58">
        <f ca="1">'4'!I116</f>
        <v>0.48780487804878048</v>
      </c>
      <c r="D121" s="58">
        <f t="shared" ca="1" si="12"/>
        <v>0.48780487804878048</v>
      </c>
      <c r="E121" s="58" t="e">
        <f t="shared" ca="1" si="13"/>
        <v>#DIV/0!</v>
      </c>
      <c r="F121" s="58" t="e">
        <f t="shared" ca="1" si="14"/>
        <v>#DIV/0!</v>
      </c>
      <c r="H121" s="81"/>
    </row>
    <row r="122" spans="1:8" x14ac:dyDescent="0.35">
      <c r="A122" s="76" t="s">
        <v>263</v>
      </c>
      <c r="B122" s="58">
        <f ca="1">'4'!I117</f>
        <v>9.7560975609756095</v>
      </c>
      <c r="D122" s="58">
        <f t="shared" ca="1" si="12"/>
        <v>9.7560975609756095</v>
      </c>
      <c r="E122" s="58" t="e">
        <f t="shared" ca="1" si="13"/>
        <v>#DIV/0!</v>
      </c>
      <c r="F122" s="58" t="e">
        <f t="shared" ca="1" si="14"/>
        <v>#DIV/0!</v>
      </c>
      <c r="H122" s="81"/>
    </row>
    <row r="123" spans="1:8" x14ac:dyDescent="0.35">
      <c r="A123" s="76" t="s">
        <v>264</v>
      </c>
      <c r="B123" s="58">
        <f ca="1">'4'!I118</f>
        <v>0</v>
      </c>
      <c r="D123" s="58">
        <f t="shared" ca="1" si="12"/>
        <v>0</v>
      </c>
      <c r="E123" s="58" t="e">
        <f t="shared" ca="1" si="13"/>
        <v>#DIV/0!</v>
      </c>
      <c r="F123" s="58" t="e">
        <f t="shared" ca="1" si="14"/>
        <v>#DIV/0!</v>
      </c>
      <c r="H123" s="81"/>
    </row>
    <row r="124" spans="1:8" x14ac:dyDescent="0.35">
      <c r="A124" s="77" t="s">
        <v>354</v>
      </c>
      <c r="B124" s="59"/>
      <c r="C124" s="59"/>
      <c r="D124" s="59"/>
      <c r="E124" s="59"/>
      <c r="F124" s="59"/>
      <c r="G124" s="59"/>
      <c r="H124" s="83"/>
    </row>
    <row r="125" spans="1:8" x14ac:dyDescent="0.35">
      <c r="A125" s="76" t="s">
        <v>266</v>
      </c>
      <c r="B125" s="58">
        <f ca="1">'4'!I120</f>
        <v>6.8181818181818175</v>
      </c>
      <c r="D125" s="58">
        <f ca="1">AVERAGE(B125:B125)</f>
        <v>6.8181818181818175</v>
      </c>
      <c r="E125" s="58" t="e">
        <f ca="1">STDEV(B125:B125)</f>
        <v>#DIV/0!</v>
      </c>
      <c r="F125" s="58" t="e">
        <f ca="1">E125/SQRT(1)</f>
        <v>#DIV/0!</v>
      </c>
      <c r="H125" s="81"/>
    </row>
    <row r="126" spans="1:8" x14ac:dyDescent="0.35">
      <c r="A126" s="76"/>
      <c r="H126" s="81"/>
    </row>
    <row r="127" spans="1:8" x14ac:dyDescent="0.35">
      <c r="A127" s="73" t="s">
        <v>356</v>
      </c>
      <c r="D127" s="55" t="s">
        <v>472</v>
      </c>
      <c r="E127" s="55" t="s">
        <v>473</v>
      </c>
      <c r="F127" s="55" t="s">
        <v>474</v>
      </c>
      <c r="H127" s="81"/>
    </row>
    <row r="128" spans="1:8" x14ac:dyDescent="0.35">
      <c r="A128" s="75" t="s">
        <v>250</v>
      </c>
      <c r="B128" s="60">
        <f ca="1">'4'!C26</f>
        <v>0</v>
      </c>
      <c r="C128" s="59"/>
      <c r="D128" s="60">
        <f t="shared" ref="D128:D149" ca="1" si="15">AVERAGE(B128:B128)</f>
        <v>0</v>
      </c>
      <c r="E128" s="60" t="e">
        <f t="shared" ref="E128:E149" ca="1" si="16">STDEV(B128:B128)</f>
        <v>#DIV/0!</v>
      </c>
      <c r="F128" s="60" t="e">
        <f t="shared" ref="F128:F149" ca="1" si="17">E128/SQRT(1)</f>
        <v>#DIV/0!</v>
      </c>
      <c r="G128" s="59"/>
      <c r="H128" s="83"/>
    </row>
    <row r="129" spans="1:8" x14ac:dyDescent="0.35">
      <c r="A129" s="76" t="s">
        <v>133</v>
      </c>
      <c r="B129" s="58">
        <f ca="1">'4'!C27</f>
        <v>0</v>
      </c>
      <c r="D129" s="58">
        <f t="shared" ca="1" si="15"/>
        <v>0</v>
      </c>
      <c r="E129" s="58" t="e">
        <f t="shared" ca="1" si="16"/>
        <v>#DIV/0!</v>
      </c>
      <c r="F129" s="58" t="e">
        <f t="shared" ca="1" si="17"/>
        <v>#DIV/0!</v>
      </c>
      <c r="H129" s="81"/>
    </row>
    <row r="130" spans="1:8" x14ac:dyDescent="0.35">
      <c r="A130" s="75" t="s">
        <v>242</v>
      </c>
      <c r="B130" s="60">
        <f ca="1">'4'!C28</f>
        <v>0</v>
      </c>
      <c r="C130" s="59"/>
      <c r="D130" s="60">
        <f t="shared" ca="1" si="15"/>
        <v>0</v>
      </c>
      <c r="E130" s="60" t="e">
        <f t="shared" ca="1" si="16"/>
        <v>#DIV/0!</v>
      </c>
      <c r="F130" s="60" t="e">
        <f t="shared" ca="1" si="17"/>
        <v>#DIV/0!</v>
      </c>
      <c r="G130" s="59"/>
      <c r="H130" s="83"/>
    </row>
    <row r="131" spans="1:8" x14ac:dyDescent="0.35">
      <c r="A131" s="76" t="s">
        <v>252</v>
      </c>
      <c r="B131" s="58">
        <f ca="1">'4'!C29</f>
        <v>0</v>
      </c>
      <c r="D131" s="58">
        <f t="shared" ca="1" si="15"/>
        <v>0</v>
      </c>
      <c r="E131" s="58" t="e">
        <f t="shared" ca="1" si="16"/>
        <v>#DIV/0!</v>
      </c>
      <c r="F131" s="58" t="e">
        <f t="shared" ca="1" si="17"/>
        <v>#DIV/0!</v>
      </c>
      <c r="H131" s="81"/>
    </row>
    <row r="132" spans="1:8" x14ac:dyDescent="0.35">
      <c r="A132" s="75" t="s">
        <v>254</v>
      </c>
      <c r="B132" s="60">
        <f ca="1">'4'!C30</f>
        <v>0</v>
      </c>
      <c r="C132" s="59"/>
      <c r="D132" s="60">
        <f t="shared" ca="1" si="15"/>
        <v>0</v>
      </c>
      <c r="E132" s="60" t="e">
        <f t="shared" ca="1" si="16"/>
        <v>#DIV/0!</v>
      </c>
      <c r="F132" s="60" t="e">
        <f t="shared" ca="1" si="17"/>
        <v>#DIV/0!</v>
      </c>
      <c r="G132" s="59"/>
      <c r="H132" s="83"/>
    </row>
    <row r="133" spans="1:8" x14ac:dyDescent="0.35">
      <c r="A133" s="76" t="s">
        <v>232</v>
      </c>
      <c r="B133" s="58">
        <f ca="1">'4'!C31</f>
        <v>0.48780487804878048</v>
      </c>
      <c r="D133" s="58">
        <f t="shared" ca="1" si="15"/>
        <v>0.48780487804878048</v>
      </c>
      <c r="E133" s="58" t="e">
        <f t="shared" ca="1" si="16"/>
        <v>#DIV/0!</v>
      </c>
      <c r="F133" s="58" t="e">
        <f t="shared" ca="1" si="17"/>
        <v>#DIV/0!</v>
      </c>
      <c r="H133" s="81"/>
    </row>
    <row r="134" spans="1:8" x14ac:dyDescent="0.35">
      <c r="A134" s="75" t="s">
        <v>256</v>
      </c>
      <c r="B134" s="60">
        <f ca="1">'4'!C32</f>
        <v>1.4634146341463417</v>
      </c>
      <c r="C134" s="59"/>
      <c r="D134" s="60">
        <f t="shared" ca="1" si="15"/>
        <v>1.4634146341463417</v>
      </c>
      <c r="E134" s="60" t="e">
        <f t="shared" ca="1" si="16"/>
        <v>#DIV/0!</v>
      </c>
      <c r="F134" s="60" t="e">
        <f t="shared" ca="1" si="17"/>
        <v>#DIV/0!</v>
      </c>
      <c r="G134" s="59"/>
      <c r="H134" s="83"/>
    </row>
    <row r="135" spans="1:8" x14ac:dyDescent="0.35">
      <c r="A135" s="76" t="s">
        <v>257</v>
      </c>
      <c r="B135" s="58">
        <f ca="1">'4'!C33</f>
        <v>0</v>
      </c>
      <c r="D135" s="58">
        <f t="shared" ca="1" si="15"/>
        <v>0</v>
      </c>
      <c r="E135" s="58" t="e">
        <f t="shared" ca="1" si="16"/>
        <v>#DIV/0!</v>
      </c>
      <c r="F135" s="58" t="e">
        <f t="shared" ca="1" si="17"/>
        <v>#DIV/0!</v>
      </c>
      <c r="H135" s="81"/>
    </row>
    <row r="136" spans="1:8" x14ac:dyDescent="0.35">
      <c r="A136" s="75" t="s">
        <v>244</v>
      </c>
      <c r="B136" s="60">
        <f ca="1">'4'!C34</f>
        <v>0</v>
      </c>
      <c r="C136" s="59"/>
      <c r="D136" s="60">
        <f t="shared" ca="1" si="15"/>
        <v>0</v>
      </c>
      <c r="E136" s="60" t="e">
        <f t="shared" ca="1" si="16"/>
        <v>#DIV/0!</v>
      </c>
      <c r="F136" s="60" t="e">
        <f t="shared" ca="1" si="17"/>
        <v>#DIV/0!</v>
      </c>
      <c r="G136" s="59"/>
      <c r="H136" s="83"/>
    </row>
    <row r="137" spans="1:8" x14ac:dyDescent="0.35">
      <c r="A137" s="76" t="s">
        <v>247</v>
      </c>
      <c r="B137" s="58">
        <f ca="1">'4'!C35</f>
        <v>0</v>
      </c>
      <c r="D137" s="58">
        <f t="shared" ca="1" si="15"/>
        <v>0</v>
      </c>
      <c r="E137" s="58" t="e">
        <f t="shared" ca="1" si="16"/>
        <v>#DIV/0!</v>
      </c>
      <c r="F137" s="58" t="e">
        <f t="shared" ca="1" si="17"/>
        <v>#DIV/0!</v>
      </c>
      <c r="H137" s="81"/>
    </row>
    <row r="138" spans="1:8" x14ac:dyDescent="0.35">
      <c r="A138" s="75" t="s">
        <v>204</v>
      </c>
      <c r="B138" s="60">
        <f ca="1">'4'!C36</f>
        <v>0</v>
      </c>
      <c r="C138" s="59"/>
      <c r="D138" s="60">
        <f t="shared" ca="1" si="15"/>
        <v>0</v>
      </c>
      <c r="E138" s="60" t="e">
        <f t="shared" ca="1" si="16"/>
        <v>#DIV/0!</v>
      </c>
      <c r="F138" s="60" t="e">
        <f t="shared" ca="1" si="17"/>
        <v>#DIV/0!</v>
      </c>
      <c r="G138" s="59"/>
      <c r="H138" s="83"/>
    </row>
    <row r="139" spans="1:8" x14ac:dyDescent="0.35">
      <c r="A139" s="76" t="s">
        <v>206</v>
      </c>
      <c r="B139" s="58">
        <f ca="1">'4'!C37</f>
        <v>0</v>
      </c>
      <c r="D139" s="58">
        <f t="shared" ca="1" si="15"/>
        <v>0</v>
      </c>
      <c r="E139" s="58" t="e">
        <f t="shared" ca="1" si="16"/>
        <v>#DIV/0!</v>
      </c>
      <c r="F139" s="58" t="e">
        <f t="shared" ca="1" si="17"/>
        <v>#DIV/0!</v>
      </c>
      <c r="H139" s="81"/>
    </row>
    <row r="140" spans="1:8" x14ac:dyDescent="0.35">
      <c r="A140" s="75" t="s">
        <v>208</v>
      </c>
      <c r="B140" s="60">
        <f ca="1">'4'!C38</f>
        <v>0</v>
      </c>
      <c r="C140" s="59"/>
      <c r="D140" s="60">
        <f t="shared" ca="1" si="15"/>
        <v>0</v>
      </c>
      <c r="E140" s="60" t="e">
        <f t="shared" ca="1" si="16"/>
        <v>#DIV/0!</v>
      </c>
      <c r="F140" s="60" t="e">
        <f t="shared" ca="1" si="17"/>
        <v>#DIV/0!</v>
      </c>
      <c r="G140" s="59"/>
      <c r="H140" s="83"/>
    </row>
    <row r="141" spans="1:8" x14ac:dyDescent="0.35">
      <c r="A141" s="76" t="s">
        <v>210</v>
      </c>
      <c r="B141" s="58">
        <f ca="1">'4'!C39</f>
        <v>0</v>
      </c>
      <c r="D141" s="58">
        <f t="shared" ca="1" si="15"/>
        <v>0</v>
      </c>
      <c r="E141" s="58" t="e">
        <f t="shared" ca="1" si="16"/>
        <v>#DIV/0!</v>
      </c>
      <c r="F141" s="58" t="e">
        <f t="shared" ca="1" si="17"/>
        <v>#DIV/0!</v>
      </c>
      <c r="H141" s="81"/>
    </row>
    <row r="142" spans="1:8" x14ac:dyDescent="0.35">
      <c r="A142" s="75" t="s">
        <v>212</v>
      </c>
      <c r="B142" s="60">
        <f ca="1">'4'!C40</f>
        <v>0</v>
      </c>
      <c r="C142" s="59"/>
      <c r="D142" s="60">
        <f t="shared" ca="1" si="15"/>
        <v>0</v>
      </c>
      <c r="E142" s="60" t="e">
        <f t="shared" ca="1" si="16"/>
        <v>#DIV/0!</v>
      </c>
      <c r="F142" s="60" t="e">
        <f t="shared" ca="1" si="17"/>
        <v>#DIV/0!</v>
      </c>
      <c r="G142" s="59"/>
      <c r="H142" s="83"/>
    </row>
    <row r="143" spans="1:8" x14ac:dyDescent="0.35">
      <c r="A143" s="76" t="s">
        <v>214</v>
      </c>
      <c r="B143" s="58">
        <f ca="1">'4'!C41</f>
        <v>0</v>
      </c>
      <c r="D143" s="58">
        <f t="shared" ca="1" si="15"/>
        <v>0</v>
      </c>
      <c r="E143" s="58" t="e">
        <f t="shared" ca="1" si="16"/>
        <v>#DIV/0!</v>
      </c>
      <c r="F143" s="58" t="e">
        <f t="shared" ca="1" si="17"/>
        <v>#DIV/0!</v>
      </c>
      <c r="H143" s="81"/>
    </row>
    <row r="144" spans="1:8" x14ac:dyDescent="0.35">
      <c r="A144" s="75" t="s">
        <v>216</v>
      </c>
      <c r="B144" s="60">
        <f ca="1">'4'!C42</f>
        <v>0</v>
      </c>
      <c r="C144" s="59"/>
      <c r="D144" s="60">
        <f t="shared" ca="1" si="15"/>
        <v>0</v>
      </c>
      <c r="E144" s="60" t="e">
        <f t="shared" ca="1" si="16"/>
        <v>#DIV/0!</v>
      </c>
      <c r="F144" s="60" t="e">
        <f t="shared" ca="1" si="17"/>
        <v>#DIV/0!</v>
      </c>
      <c r="G144" s="59"/>
      <c r="H144" s="83"/>
    </row>
    <row r="145" spans="1:8" x14ac:dyDescent="0.35">
      <c r="A145" s="76" t="s">
        <v>218</v>
      </c>
      <c r="B145" s="58">
        <f ca="1">'4'!C43</f>
        <v>0</v>
      </c>
      <c r="D145" s="58">
        <f t="shared" ca="1" si="15"/>
        <v>0</v>
      </c>
      <c r="E145" s="58" t="e">
        <f t="shared" ca="1" si="16"/>
        <v>#DIV/0!</v>
      </c>
      <c r="F145" s="58" t="e">
        <f t="shared" ca="1" si="17"/>
        <v>#DIV/0!</v>
      </c>
      <c r="H145" s="81"/>
    </row>
    <row r="146" spans="1:8" x14ac:dyDescent="0.35">
      <c r="A146" s="75" t="s">
        <v>220</v>
      </c>
      <c r="B146" s="60">
        <f ca="1">'4'!C44</f>
        <v>0</v>
      </c>
      <c r="C146" s="59"/>
      <c r="D146" s="60">
        <f t="shared" ca="1" si="15"/>
        <v>0</v>
      </c>
      <c r="E146" s="60" t="e">
        <f t="shared" ca="1" si="16"/>
        <v>#DIV/0!</v>
      </c>
      <c r="F146" s="60" t="e">
        <f t="shared" ca="1" si="17"/>
        <v>#DIV/0!</v>
      </c>
      <c r="G146" s="59"/>
      <c r="H146" s="83"/>
    </row>
    <row r="147" spans="1:8" x14ac:dyDescent="0.35">
      <c r="A147" s="76" t="s">
        <v>222</v>
      </c>
      <c r="B147" s="58">
        <f ca="1">'4'!C45</f>
        <v>0</v>
      </c>
      <c r="D147" s="58">
        <f t="shared" ca="1" si="15"/>
        <v>0</v>
      </c>
      <c r="E147" s="58" t="e">
        <f t="shared" ca="1" si="16"/>
        <v>#DIV/0!</v>
      </c>
      <c r="F147" s="58" t="e">
        <f t="shared" ca="1" si="17"/>
        <v>#DIV/0!</v>
      </c>
      <c r="H147" s="81"/>
    </row>
    <row r="148" spans="1:8" x14ac:dyDescent="0.35">
      <c r="A148" s="75" t="s">
        <v>224</v>
      </c>
      <c r="B148" s="60">
        <f ca="1">'4'!C46</f>
        <v>0</v>
      </c>
      <c r="C148" s="59"/>
      <c r="D148" s="60">
        <f t="shared" ca="1" si="15"/>
        <v>0</v>
      </c>
      <c r="E148" s="60" t="e">
        <f t="shared" ca="1" si="16"/>
        <v>#DIV/0!</v>
      </c>
      <c r="F148" s="60" t="e">
        <f t="shared" ca="1" si="17"/>
        <v>#DIV/0!</v>
      </c>
      <c r="G148" s="59"/>
      <c r="H148" s="83"/>
    </row>
    <row r="149" spans="1:8" x14ac:dyDescent="0.35">
      <c r="A149" s="76" t="s">
        <v>226</v>
      </c>
      <c r="B149" s="58">
        <f ca="1">'4'!C47</f>
        <v>0</v>
      </c>
      <c r="D149" s="58">
        <f t="shared" ca="1" si="15"/>
        <v>0</v>
      </c>
      <c r="E149" s="58" t="e">
        <f t="shared" ca="1" si="16"/>
        <v>#DIV/0!</v>
      </c>
      <c r="F149" s="58" t="e">
        <f t="shared" ca="1" si="17"/>
        <v>#DIV/0!</v>
      </c>
      <c r="H149" s="81"/>
    </row>
    <row r="150" spans="1:8" x14ac:dyDescent="0.35">
      <c r="A150" s="73" t="s">
        <v>357</v>
      </c>
      <c r="H150" s="81"/>
    </row>
    <row r="151" spans="1:8" x14ac:dyDescent="0.35">
      <c r="A151" s="75" t="s">
        <v>250</v>
      </c>
      <c r="B151" s="60">
        <f ca="1">'4'!C49</f>
        <v>0</v>
      </c>
      <c r="C151" s="59"/>
      <c r="D151" s="60">
        <f t="shared" ref="D151:D172" ca="1" si="18">AVERAGE(B151:B151)</f>
        <v>0</v>
      </c>
      <c r="E151" s="60" t="e">
        <f t="shared" ref="E151:E172" ca="1" si="19">STDEV(B151:B151)</f>
        <v>#DIV/0!</v>
      </c>
      <c r="F151" s="60" t="e">
        <f t="shared" ref="F151:F172" ca="1" si="20">E151/SQRT(1)</f>
        <v>#DIV/0!</v>
      </c>
      <c r="G151" s="59"/>
      <c r="H151" s="83"/>
    </row>
    <row r="152" spans="1:8" x14ac:dyDescent="0.35">
      <c r="A152" s="76" t="s">
        <v>133</v>
      </c>
      <c r="B152" s="58">
        <f ca="1">'4'!C50</f>
        <v>0</v>
      </c>
      <c r="D152" s="58">
        <f t="shared" ca="1" si="18"/>
        <v>0</v>
      </c>
      <c r="E152" s="58" t="e">
        <f t="shared" ca="1" si="19"/>
        <v>#DIV/0!</v>
      </c>
      <c r="F152" s="58" t="e">
        <f t="shared" ca="1" si="20"/>
        <v>#DIV/0!</v>
      </c>
      <c r="H152" s="81"/>
    </row>
    <row r="153" spans="1:8" x14ac:dyDescent="0.35">
      <c r="A153" s="75" t="s">
        <v>242</v>
      </c>
      <c r="B153" s="60">
        <f ca="1">'4'!C51</f>
        <v>0</v>
      </c>
      <c r="C153" s="59"/>
      <c r="D153" s="60">
        <f t="shared" ca="1" si="18"/>
        <v>0</v>
      </c>
      <c r="E153" s="60" t="e">
        <f t="shared" ca="1" si="19"/>
        <v>#DIV/0!</v>
      </c>
      <c r="F153" s="60" t="e">
        <f t="shared" ca="1" si="20"/>
        <v>#DIV/0!</v>
      </c>
      <c r="G153" s="59"/>
      <c r="H153" s="83"/>
    </row>
    <row r="154" spans="1:8" x14ac:dyDescent="0.35">
      <c r="A154" s="76" t="s">
        <v>252</v>
      </c>
      <c r="B154" s="58">
        <f ca="1">'4'!C52</f>
        <v>0</v>
      </c>
      <c r="D154" s="58">
        <f t="shared" ca="1" si="18"/>
        <v>0</v>
      </c>
      <c r="E154" s="58" t="e">
        <f t="shared" ca="1" si="19"/>
        <v>#DIV/0!</v>
      </c>
      <c r="F154" s="58" t="e">
        <f t="shared" ca="1" si="20"/>
        <v>#DIV/0!</v>
      </c>
      <c r="H154" s="81"/>
    </row>
    <row r="155" spans="1:8" x14ac:dyDescent="0.35">
      <c r="A155" s="75" t="s">
        <v>254</v>
      </c>
      <c r="B155" s="60">
        <f ca="1">'4'!C53</f>
        <v>0</v>
      </c>
      <c r="C155" s="59"/>
      <c r="D155" s="60">
        <f t="shared" ca="1" si="18"/>
        <v>0</v>
      </c>
      <c r="E155" s="60" t="e">
        <f t="shared" ca="1" si="19"/>
        <v>#DIV/0!</v>
      </c>
      <c r="F155" s="60" t="e">
        <f t="shared" ca="1" si="20"/>
        <v>#DIV/0!</v>
      </c>
      <c r="G155" s="59"/>
      <c r="H155" s="83"/>
    </row>
    <row r="156" spans="1:8" x14ac:dyDescent="0.35">
      <c r="A156" s="76" t="s">
        <v>232</v>
      </c>
      <c r="B156" s="58">
        <f ca="1">'4'!C54</f>
        <v>0.77519379844961245</v>
      </c>
      <c r="D156" s="58">
        <f t="shared" ca="1" si="18"/>
        <v>0.77519379844961245</v>
      </c>
      <c r="E156" s="58" t="e">
        <f t="shared" ca="1" si="19"/>
        <v>#DIV/0!</v>
      </c>
      <c r="F156" s="58" t="e">
        <f t="shared" ca="1" si="20"/>
        <v>#DIV/0!</v>
      </c>
      <c r="H156" s="81"/>
    </row>
    <row r="157" spans="1:8" x14ac:dyDescent="0.35">
      <c r="A157" s="75" t="s">
        <v>256</v>
      </c>
      <c r="B157" s="60">
        <f ca="1">'4'!C55</f>
        <v>0</v>
      </c>
      <c r="C157" s="59"/>
      <c r="D157" s="60">
        <f t="shared" ca="1" si="18"/>
        <v>0</v>
      </c>
      <c r="E157" s="60" t="e">
        <f t="shared" ca="1" si="19"/>
        <v>#DIV/0!</v>
      </c>
      <c r="F157" s="60" t="e">
        <f t="shared" ca="1" si="20"/>
        <v>#DIV/0!</v>
      </c>
      <c r="G157" s="59"/>
      <c r="H157" s="83"/>
    </row>
    <row r="158" spans="1:8" x14ac:dyDescent="0.35">
      <c r="A158" s="76" t="s">
        <v>257</v>
      </c>
      <c r="B158" s="58">
        <f ca="1">'4'!C56</f>
        <v>0</v>
      </c>
      <c r="D158" s="58">
        <f t="shared" ca="1" si="18"/>
        <v>0</v>
      </c>
      <c r="E158" s="58" t="e">
        <f t="shared" ca="1" si="19"/>
        <v>#DIV/0!</v>
      </c>
      <c r="F158" s="58" t="e">
        <f t="shared" ca="1" si="20"/>
        <v>#DIV/0!</v>
      </c>
      <c r="H158" s="81"/>
    </row>
    <row r="159" spans="1:8" x14ac:dyDescent="0.35">
      <c r="A159" s="75" t="s">
        <v>244</v>
      </c>
      <c r="B159" s="60">
        <f ca="1">'4'!C57</f>
        <v>0</v>
      </c>
      <c r="C159" s="59"/>
      <c r="D159" s="60">
        <f t="shared" ca="1" si="18"/>
        <v>0</v>
      </c>
      <c r="E159" s="60" t="e">
        <f t="shared" ca="1" si="19"/>
        <v>#DIV/0!</v>
      </c>
      <c r="F159" s="60" t="e">
        <f t="shared" ca="1" si="20"/>
        <v>#DIV/0!</v>
      </c>
      <c r="G159" s="59"/>
      <c r="H159" s="83"/>
    </row>
    <row r="160" spans="1:8" x14ac:dyDescent="0.35">
      <c r="A160" s="76" t="s">
        <v>247</v>
      </c>
      <c r="B160" s="58">
        <f ca="1">'4'!C58</f>
        <v>0</v>
      </c>
      <c r="D160" s="58">
        <f t="shared" ca="1" si="18"/>
        <v>0</v>
      </c>
      <c r="E160" s="58" t="e">
        <f t="shared" ca="1" si="19"/>
        <v>#DIV/0!</v>
      </c>
      <c r="F160" s="58" t="e">
        <f t="shared" ca="1" si="20"/>
        <v>#DIV/0!</v>
      </c>
      <c r="H160" s="81"/>
    </row>
    <row r="161" spans="1:8" x14ac:dyDescent="0.35">
      <c r="A161" s="75" t="s">
        <v>204</v>
      </c>
      <c r="B161" s="60">
        <f ca="1">'4'!C59</f>
        <v>0</v>
      </c>
      <c r="C161" s="59"/>
      <c r="D161" s="60">
        <f t="shared" ca="1" si="18"/>
        <v>0</v>
      </c>
      <c r="E161" s="60" t="e">
        <f t="shared" ca="1" si="19"/>
        <v>#DIV/0!</v>
      </c>
      <c r="F161" s="60" t="e">
        <f t="shared" ca="1" si="20"/>
        <v>#DIV/0!</v>
      </c>
      <c r="G161" s="59"/>
      <c r="H161" s="83"/>
    </row>
    <row r="162" spans="1:8" x14ac:dyDescent="0.35">
      <c r="A162" s="76" t="s">
        <v>206</v>
      </c>
      <c r="B162" s="58">
        <f ca="1">'4'!C60</f>
        <v>0</v>
      </c>
      <c r="D162" s="58">
        <f t="shared" ca="1" si="18"/>
        <v>0</v>
      </c>
      <c r="E162" s="58" t="e">
        <f t="shared" ca="1" si="19"/>
        <v>#DIV/0!</v>
      </c>
      <c r="F162" s="58" t="e">
        <f t="shared" ca="1" si="20"/>
        <v>#DIV/0!</v>
      </c>
      <c r="H162" s="81"/>
    </row>
    <row r="163" spans="1:8" x14ac:dyDescent="0.35">
      <c r="A163" s="75" t="s">
        <v>208</v>
      </c>
      <c r="B163" s="60">
        <f ca="1">'4'!C61</f>
        <v>0</v>
      </c>
      <c r="C163" s="59"/>
      <c r="D163" s="60">
        <f t="shared" ca="1" si="18"/>
        <v>0</v>
      </c>
      <c r="E163" s="60" t="e">
        <f t="shared" ca="1" si="19"/>
        <v>#DIV/0!</v>
      </c>
      <c r="F163" s="60" t="e">
        <f t="shared" ca="1" si="20"/>
        <v>#DIV/0!</v>
      </c>
      <c r="G163" s="59"/>
      <c r="H163" s="83"/>
    </row>
    <row r="164" spans="1:8" x14ac:dyDescent="0.35">
      <c r="A164" s="76" t="s">
        <v>210</v>
      </c>
      <c r="B164" s="58">
        <f ca="1">'4'!C62</f>
        <v>0</v>
      </c>
      <c r="D164" s="58">
        <f t="shared" ca="1" si="18"/>
        <v>0</v>
      </c>
      <c r="E164" s="58" t="e">
        <f t="shared" ca="1" si="19"/>
        <v>#DIV/0!</v>
      </c>
      <c r="F164" s="58" t="e">
        <f t="shared" ca="1" si="20"/>
        <v>#DIV/0!</v>
      </c>
      <c r="H164" s="81"/>
    </row>
    <row r="165" spans="1:8" x14ac:dyDescent="0.35">
      <c r="A165" s="75" t="s">
        <v>212</v>
      </c>
      <c r="B165" s="60">
        <f ca="1">'4'!C63</f>
        <v>0</v>
      </c>
      <c r="C165" s="59"/>
      <c r="D165" s="60">
        <f t="shared" ca="1" si="18"/>
        <v>0</v>
      </c>
      <c r="E165" s="60" t="e">
        <f t="shared" ca="1" si="19"/>
        <v>#DIV/0!</v>
      </c>
      <c r="F165" s="60" t="e">
        <f t="shared" ca="1" si="20"/>
        <v>#DIV/0!</v>
      </c>
      <c r="G165" s="59"/>
      <c r="H165" s="83"/>
    </row>
    <row r="166" spans="1:8" x14ac:dyDescent="0.35">
      <c r="A166" s="76" t="s">
        <v>214</v>
      </c>
      <c r="B166" s="58">
        <f ca="1">'4'!C64</f>
        <v>0</v>
      </c>
      <c r="D166" s="58">
        <f t="shared" ca="1" si="18"/>
        <v>0</v>
      </c>
      <c r="E166" s="58" t="e">
        <f t="shared" ca="1" si="19"/>
        <v>#DIV/0!</v>
      </c>
      <c r="F166" s="58" t="e">
        <f t="shared" ca="1" si="20"/>
        <v>#DIV/0!</v>
      </c>
      <c r="H166" s="81"/>
    </row>
    <row r="167" spans="1:8" x14ac:dyDescent="0.35">
      <c r="A167" s="75" t="s">
        <v>216</v>
      </c>
      <c r="B167" s="60">
        <f ca="1">'4'!C65</f>
        <v>0</v>
      </c>
      <c r="C167" s="59"/>
      <c r="D167" s="60">
        <f t="shared" ca="1" si="18"/>
        <v>0</v>
      </c>
      <c r="E167" s="60" t="e">
        <f t="shared" ca="1" si="19"/>
        <v>#DIV/0!</v>
      </c>
      <c r="F167" s="60" t="e">
        <f t="shared" ca="1" si="20"/>
        <v>#DIV/0!</v>
      </c>
      <c r="G167" s="59"/>
      <c r="H167" s="83"/>
    </row>
    <row r="168" spans="1:8" x14ac:dyDescent="0.35">
      <c r="A168" s="76" t="s">
        <v>218</v>
      </c>
      <c r="B168" s="58">
        <f ca="1">'4'!C66</f>
        <v>0</v>
      </c>
      <c r="D168" s="58">
        <f t="shared" ca="1" si="18"/>
        <v>0</v>
      </c>
      <c r="E168" s="58" t="e">
        <f t="shared" ca="1" si="19"/>
        <v>#DIV/0!</v>
      </c>
      <c r="F168" s="58" t="e">
        <f t="shared" ca="1" si="20"/>
        <v>#DIV/0!</v>
      </c>
      <c r="H168" s="81"/>
    </row>
    <row r="169" spans="1:8" x14ac:dyDescent="0.35">
      <c r="A169" s="75" t="s">
        <v>220</v>
      </c>
      <c r="B169" s="60">
        <f ca="1">'4'!C67</f>
        <v>0</v>
      </c>
      <c r="C169" s="59"/>
      <c r="D169" s="60">
        <f t="shared" ca="1" si="18"/>
        <v>0</v>
      </c>
      <c r="E169" s="60" t="e">
        <f t="shared" ca="1" si="19"/>
        <v>#DIV/0!</v>
      </c>
      <c r="F169" s="60" t="e">
        <f t="shared" ca="1" si="20"/>
        <v>#DIV/0!</v>
      </c>
      <c r="G169" s="59"/>
      <c r="H169" s="83"/>
    </row>
    <row r="170" spans="1:8" x14ac:dyDescent="0.35">
      <c r="A170" s="76" t="s">
        <v>222</v>
      </c>
      <c r="B170" s="58">
        <f ca="1">'4'!C68</f>
        <v>0</v>
      </c>
      <c r="D170" s="58">
        <f t="shared" ca="1" si="18"/>
        <v>0</v>
      </c>
      <c r="E170" s="58" t="e">
        <f t="shared" ca="1" si="19"/>
        <v>#DIV/0!</v>
      </c>
      <c r="F170" s="58" t="e">
        <f t="shared" ca="1" si="20"/>
        <v>#DIV/0!</v>
      </c>
      <c r="H170" s="81"/>
    </row>
    <row r="171" spans="1:8" x14ac:dyDescent="0.35">
      <c r="A171" s="75" t="s">
        <v>224</v>
      </c>
      <c r="B171" s="60">
        <f ca="1">'4'!C69</f>
        <v>0</v>
      </c>
      <c r="C171" s="59"/>
      <c r="D171" s="60">
        <f t="shared" ca="1" si="18"/>
        <v>0</v>
      </c>
      <c r="E171" s="60" t="e">
        <f t="shared" ca="1" si="19"/>
        <v>#DIV/0!</v>
      </c>
      <c r="F171" s="60" t="e">
        <f t="shared" ca="1" si="20"/>
        <v>#DIV/0!</v>
      </c>
      <c r="G171" s="59"/>
      <c r="H171" s="83"/>
    </row>
    <row r="172" spans="1:8" x14ac:dyDescent="0.35">
      <c r="A172" s="76" t="s">
        <v>226</v>
      </c>
      <c r="B172" s="58">
        <f ca="1">'4'!C70</f>
        <v>0</v>
      </c>
      <c r="D172" s="58">
        <f t="shared" ca="1" si="18"/>
        <v>0</v>
      </c>
      <c r="E172" s="58" t="e">
        <f t="shared" ca="1" si="19"/>
        <v>#DIV/0!</v>
      </c>
      <c r="F172" s="58" t="e">
        <f t="shared" ca="1" si="20"/>
        <v>#DIV/0!</v>
      </c>
      <c r="H172" s="81"/>
    </row>
    <row r="173" spans="1:8" ht="15" thickBot="1" x14ac:dyDescent="0.4">
      <c r="A173" s="76"/>
      <c r="H173" s="81"/>
    </row>
    <row r="174" spans="1:8" ht="15" thickTop="1" x14ac:dyDescent="0.35">
      <c r="A174" s="72" t="s">
        <v>477</v>
      </c>
      <c r="B174" s="64"/>
      <c r="C174" s="63" t="s">
        <v>480</v>
      </c>
      <c r="D174" s="63" t="s">
        <v>472</v>
      </c>
      <c r="E174" s="63" t="s">
        <v>473</v>
      </c>
      <c r="F174" s="63" t="s">
        <v>474</v>
      </c>
      <c r="G174" s="63" t="s">
        <v>478</v>
      </c>
      <c r="H174" s="84" t="s">
        <v>479</v>
      </c>
    </row>
    <row r="175" spans="1:8" x14ac:dyDescent="0.35">
      <c r="A175" s="75" t="s">
        <v>348</v>
      </c>
      <c r="B175" s="62">
        <f ca="1">'4'!B16</f>
        <v>129</v>
      </c>
      <c r="C175" s="62">
        <f t="shared" ref="C175:C181" ca="1" si="21">SUM(B175:B175)</f>
        <v>129</v>
      </c>
      <c r="D175" s="60">
        <f t="shared" ref="D175:D181" ca="1" si="22">AVERAGE(B175:B175)</f>
        <v>129</v>
      </c>
      <c r="E175" s="60" t="e">
        <f t="shared" ref="E175:E181" ca="1" si="23">STDEV(B175:B175)</f>
        <v>#DIV/0!</v>
      </c>
      <c r="F175" s="60" t="e">
        <f t="shared" ref="F175:F181" ca="1" si="24">E175/SQRT(1)</f>
        <v>#DIV/0!</v>
      </c>
      <c r="G175" s="60">
        <f ca="1">G185</f>
        <v>3.1726660152505599</v>
      </c>
      <c r="H175" s="87">
        <f ca="1">H185</f>
        <v>0.94225106664262959</v>
      </c>
    </row>
    <row r="176" spans="1:8" x14ac:dyDescent="0.35">
      <c r="A176" s="76" t="s">
        <v>349</v>
      </c>
      <c r="B176" s="61">
        <f ca="1">'4'!B17</f>
        <v>51</v>
      </c>
      <c r="C176" s="61">
        <f t="shared" ca="1" si="21"/>
        <v>51</v>
      </c>
      <c r="D176" s="58">
        <f t="shared" ca="1" si="22"/>
        <v>51</v>
      </c>
      <c r="E176" s="58" t="e">
        <f t="shared" ca="1" si="23"/>
        <v>#DIV/0!</v>
      </c>
      <c r="F176" s="58" t="e">
        <f t="shared" ca="1" si="24"/>
        <v>#DIV/0!</v>
      </c>
      <c r="G176" s="58">
        <f ca="1">G258</f>
        <v>0.84875313317339252</v>
      </c>
      <c r="H176" s="86">
        <f ca="1">H258</f>
        <v>0.52825836216839672</v>
      </c>
    </row>
    <row r="177" spans="1:8" x14ac:dyDescent="0.35">
      <c r="A177" s="75" t="s">
        <v>350</v>
      </c>
      <c r="B177" s="62">
        <f ca="1">'4'!B18</f>
        <v>1</v>
      </c>
      <c r="C177" s="62">
        <f t="shared" ca="1" si="21"/>
        <v>1</v>
      </c>
      <c r="D177" s="60">
        <f t="shared" ca="1" si="22"/>
        <v>1</v>
      </c>
      <c r="E177" s="60" t="e">
        <f t="shared" ca="1" si="23"/>
        <v>#DIV/0!</v>
      </c>
      <c r="F177" s="60" t="e">
        <f t="shared" ca="1" si="24"/>
        <v>#DIV/0!</v>
      </c>
      <c r="G177" s="60">
        <f ca="1">G264</f>
        <v>0</v>
      </c>
      <c r="H177" s="87">
        <f ca="1">H264</f>
        <v>0</v>
      </c>
    </row>
    <row r="178" spans="1:8" x14ac:dyDescent="0.35">
      <c r="A178" s="76" t="s">
        <v>351</v>
      </c>
      <c r="B178" s="61">
        <f ca="1">'4'!B19</f>
        <v>0</v>
      </c>
      <c r="C178" s="61">
        <f t="shared" ca="1" si="21"/>
        <v>0</v>
      </c>
      <c r="D178" s="58">
        <f t="shared" ca="1" si="22"/>
        <v>0</v>
      </c>
      <c r="E178" s="58" t="e">
        <f t="shared" ca="1" si="23"/>
        <v>#DIV/0!</v>
      </c>
      <c r="F178" s="58" t="e">
        <f t="shared" ca="1" si="24"/>
        <v>#DIV/0!</v>
      </c>
      <c r="G178" s="58">
        <f ca="1">G270</f>
        <v>0</v>
      </c>
      <c r="H178" s="86">
        <f ca="1">H270</f>
        <v>1</v>
      </c>
    </row>
    <row r="179" spans="1:8" x14ac:dyDescent="0.35">
      <c r="A179" s="75" t="s">
        <v>352</v>
      </c>
      <c r="B179" s="62">
        <f ca="1">'4'!B20</f>
        <v>0</v>
      </c>
      <c r="C179" s="62">
        <f t="shared" ca="1" si="21"/>
        <v>0</v>
      </c>
      <c r="D179" s="60">
        <f t="shared" ca="1" si="22"/>
        <v>0</v>
      </c>
      <c r="E179" s="60" t="e">
        <f t="shared" ca="1" si="23"/>
        <v>#DIV/0!</v>
      </c>
      <c r="F179" s="60" t="e">
        <f t="shared" ca="1" si="24"/>
        <v>#DIV/0!</v>
      </c>
      <c r="G179" s="60">
        <f ca="1">G275</f>
        <v>0</v>
      </c>
      <c r="H179" s="87">
        <f ca="1">H275</f>
        <v>1</v>
      </c>
    </row>
    <row r="180" spans="1:8" x14ac:dyDescent="0.35">
      <c r="A180" s="76" t="s">
        <v>353</v>
      </c>
      <c r="B180" s="61">
        <f ca="1">'4'!B21</f>
        <v>24</v>
      </c>
      <c r="C180" s="61">
        <f t="shared" ca="1" si="21"/>
        <v>24</v>
      </c>
      <c r="D180" s="58">
        <f t="shared" ca="1" si="22"/>
        <v>24</v>
      </c>
      <c r="E180" s="58" t="e">
        <f t="shared" ca="1" si="23"/>
        <v>#DIV/0!</v>
      </c>
      <c r="F180" s="58" t="e">
        <f t="shared" ca="1" si="24"/>
        <v>#DIV/0!</v>
      </c>
      <c r="G180" s="58">
        <f ca="1">G277</f>
        <v>0.54428373296943933</v>
      </c>
      <c r="H180" s="86">
        <f ca="1">H277</f>
        <v>0.28819444444444431</v>
      </c>
    </row>
    <row r="181" spans="1:8" x14ac:dyDescent="0.35">
      <c r="A181" s="75" t="s">
        <v>354</v>
      </c>
      <c r="B181" s="62">
        <f ca="1">'4'!B22</f>
        <v>15</v>
      </c>
      <c r="C181" s="62">
        <f t="shared" ca="1" si="21"/>
        <v>15</v>
      </c>
      <c r="D181" s="60">
        <f t="shared" ca="1" si="22"/>
        <v>15</v>
      </c>
      <c r="E181" s="60" t="e">
        <f t="shared" ca="1" si="23"/>
        <v>#DIV/0!</v>
      </c>
      <c r="F181" s="60" t="e">
        <f t="shared" ca="1" si="24"/>
        <v>#DIV/0!</v>
      </c>
      <c r="G181" s="59"/>
      <c r="H181" s="83"/>
    </row>
    <row r="182" spans="1:8" x14ac:dyDescent="0.35">
      <c r="A182" s="73" t="s">
        <v>481</v>
      </c>
      <c r="B182" s="56">
        <f ca="1">SUM(B175:B181)</f>
        <v>220</v>
      </c>
      <c r="C182" s="56">
        <f ca="1">SUM(C175:C181)</f>
        <v>220</v>
      </c>
      <c r="H182" s="81"/>
    </row>
    <row r="183" spans="1:8" x14ac:dyDescent="0.35">
      <c r="A183" s="76"/>
      <c r="H183" s="81"/>
    </row>
    <row r="184" spans="1:8" x14ac:dyDescent="0.35">
      <c r="A184" s="73" t="s">
        <v>482</v>
      </c>
      <c r="C184" s="55" t="s">
        <v>480</v>
      </c>
      <c r="D184" s="55" t="s">
        <v>472</v>
      </c>
      <c r="E184" s="55" t="s">
        <v>473</v>
      </c>
      <c r="F184" s="55" t="s">
        <v>474</v>
      </c>
      <c r="G184" s="55" t="s">
        <v>478</v>
      </c>
      <c r="H184" s="85" t="s">
        <v>479</v>
      </c>
    </row>
    <row r="185" spans="1:8" x14ac:dyDescent="0.35">
      <c r="A185" s="77" t="s">
        <v>348</v>
      </c>
      <c r="B185" s="59"/>
      <c r="C185" s="59"/>
      <c r="D185" s="59"/>
      <c r="E185" s="59"/>
      <c r="F185" s="59"/>
      <c r="G185" s="60">
        <f ca="1">SUM(G186:G257)</f>
        <v>3.1726660152505599</v>
      </c>
      <c r="H185" s="87">
        <f ca="1">1-SUM(H186:H257)</f>
        <v>0.94225106664262959</v>
      </c>
    </row>
    <row r="186" spans="1:8" x14ac:dyDescent="0.35">
      <c r="A186" s="76" t="s">
        <v>119</v>
      </c>
      <c r="B186" s="61">
        <f ca="1">'4'!H17</f>
        <v>0</v>
      </c>
      <c r="C186" s="61">
        <f t="shared" ref="C186:C217" ca="1" si="25">SUM(B186:B186)</f>
        <v>0</v>
      </c>
      <c r="D186" s="58">
        <f t="shared" ref="D186:D217" ca="1" si="26">AVERAGE(B186:B186)</f>
        <v>0</v>
      </c>
      <c r="E186" s="58" t="e">
        <f t="shared" ref="E186:E217" ca="1" si="27">STDEV(B186:B186)</f>
        <v>#DIV/0!</v>
      </c>
      <c r="F186" s="58" t="e">
        <f t="shared" ref="F186:F217" ca="1" si="28">E186/SQRT(1)</f>
        <v>#DIV/0!</v>
      </c>
      <c r="G186" s="58">
        <f ca="1">IF(C186=0,0,-1*((C186/C175)*(LN(C186/C175))))</f>
        <v>0</v>
      </c>
      <c r="H186" s="86">
        <f ca="1">IF(C186=0,0,(C186/C175)^2)</f>
        <v>0</v>
      </c>
    </row>
    <row r="187" spans="1:8" x14ac:dyDescent="0.35">
      <c r="A187" s="76" t="s">
        <v>121</v>
      </c>
      <c r="B187" s="61">
        <f ca="1">'4'!H18</f>
        <v>19</v>
      </c>
      <c r="C187" s="61">
        <f t="shared" ca="1" si="25"/>
        <v>19</v>
      </c>
      <c r="D187" s="58">
        <f t="shared" ca="1" si="26"/>
        <v>19</v>
      </c>
      <c r="E187" s="58" t="e">
        <f t="shared" ca="1" si="27"/>
        <v>#DIV/0!</v>
      </c>
      <c r="F187" s="58" t="e">
        <f t="shared" ca="1" si="28"/>
        <v>#DIV/0!</v>
      </c>
      <c r="G187" s="58">
        <f ca="1">IF(C187=0,0,-1*((C187/C175)*(LN(C187/C175))))</f>
        <v>0.28210926417604187</v>
      </c>
      <c r="H187" s="86">
        <f ca="1">IF(C187=0,0,(C187/C175)^2)</f>
        <v>2.1693407848086058E-2</v>
      </c>
    </row>
    <row r="188" spans="1:8" x14ac:dyDescent="0.35">
      <c r="A188" s="76" t="s">
        <v>122</v>
      </c>
      <c r="B188" s="61">
        <f ca="1">'4'!H19</f>
        <v>1</v>
      </c>
      <c r="C188" s="61">
        <f t="shared" ca="1" si="25"/>
        <v>1</v>
      </c>
      <c r="D188" s="58">
        <f t="shared" ca="1" si="26"/>
        <v>1</v>
      </c>
      <c r="E188" s="58" t="e">
        <f t="shared" ca="1" si="27"/>
        <v>#DIV/0!</v>
      </c>
      <c r="F188" s="58" t="e">
        <f t="shared" ca="1" si="28"/>
        <v>#DIV/0!</v>
      </c>
      <c r="G188" s="58">
        <f ca="1">IF(C188=0,0,-1*((C188/C175)*(LN(C188/C175))))</f>
        <v>3.7672964374896679E-2</v>
      </c>
      <c r="H188" s="86">
        <f ca="1">IF(C188=0,0,(C188/C175)^2)</f>
        <v>6.0092542515473829E-5</v>
      </c>
    </row>
    <row r="189" spans="1:8" x14ac:dyDescent="0.35">
      <c r="A189" s="76" t="s">
        <v>123</v>
      </c>
      <c r="B189" s="61">
        <f ca="1">'4'!H20</f>
        <v>0</v>
      </c>
      <c r="C189" s="61">
        <f t="shared" ca="1" si="25"/>
        <v>0</v>
      </c>
      <c r="D189" s="58">
        <f t="shared" ca="1" si="26"/>
        <v>0</v>
      </c>
      <c r="E189" s="58" t="e">
        <f t="shared" ca="1" si="27"/>
        <v>#DIV/0!</v>
      </c>
      <c r="F189" s="58" t="e">
        <f t="shared" ca="1" si="28"/>
        <v>#DIV/0!</v>
      </c>
      <c r="G189" s="58">
        <f ca="1">IF(C189=0,0,-1*((C189/C175)*(LN(C189/C175))))</f>
        <v>0</v>
      </c>
      <c r="H189" s="86">
        <f ca="1">IF(C189=0,0,(C189/C175)^2)</f>
        <v>0</v>
      </c>
    </row>
    <row r="190" spans="1:8" x14ac:dyDescent="0.35">
      <c r="A190" s="76" t="s">
        <v>125</v>
      </c>
      <c r="B190" s="61">
        <f ca="1">'4'!H21</f>
        <v>0</v>
      </c>
      <c r="C190" s="61">
        <f t="shared" ca="1" si="25"/>
        <v>0</v>
      </c>
      <c r="D190" s="58">
        <f t="shared" ca="1" si="26"/>
        <v>0</v>
      </c>
      <c r="E190" s="58" t="e">
        <f t="shared" ca="1" si="27"/>
        <v>#DIV/0!</v>
      </c>
      <c r="F190" s="58" t="e">
        <f t="shared" ca="1" si="28"/>
        <v>#DIV/0!</v>
      </c>
      <c r="G190" s="58">
        <f ca="1">IF(C190=0,0,-1*((C190/C175)*(LN(C190/C175))))</f>
        <v>0</v>
      </c>
      <c r="H190" s="86">
        <f ca="1">IF(C190=0,0,(C190/C175)^2)</f>
        <v>0</v>
      </c>
    </row>
    <row r="191" spans="1:8" x14ac:dyDescent="0.35">
      <c r="A191" s="76" t="s">
        <v>127</v>
      </c>
      <c r="B191" s="61">
        <f ca="1">'4'!H22</f>
        <v>13</v>
      </c>
      <c r="C191" s="61">
        <f t="shared" ca="1" si="25"/>
        <v>13</v>
      </c>
      <c r="D191" s="58">
        <f t="shared" ca="1" si="26"/>
        <v>13</v>
      </c>
      <c r="E191" s="58" t="e">
        <f t="shared" ca="1" si="27"/>
        <v>#DIV/0!</v>
      </c>
      <c r="F191" s="58" t="e">
        <f t="shared" ca="1" si="28"/>
        <v>#DIV/0!</v>
      </c>
      <c r="G191" s="58">
        <f ca="1">IF(C191=0,0,-1*((C191/C175)*(LN(C191/C175))))</f>
        <v>0.23126526829226168</v>
      </c>
      <c r="H191" s="86">
        <f ca="1">IF(C191=0,0,(C191/C175)^2)</f>
        <v>1.0155639685115077E-2</v>
      </c>
    </row>
    <row r="192" spans="1:8" x14ac:dyDescent="0.35">
      <c r="A192" s="76" t="s">
        <v>128</v>
      </c>
      <c r="B192" s="61">
        <f ca="1">'4'!H23</f>
        <v>2</v>
      </c>
      <c r="C192" s="61">
        <f t="shared" ca="1" si="25"/>
        <v>2</v>
      </c>
      <c r="D192" s="58">
        <f t="shared" ca="1" si="26"/>
        <v>2</v>
      </c>
      <c r="E192" s="58" t="e">
        <f t="shared" ca="1" si="27"/>
        <v>#DIV/0!</v>
      </c>
      <c r="F192" s="58" t="e">
        <f t="shared" ca="1" si="28"/>
        <v>#DIV/0!</v>
      </c>
      <c r="G192" s="58">
        <f ca="1">IF(C192=0,0,-1*((C192/C175)*(LN(C192/C175))))</f>
        <v>6.45994608341353E-2</v>
      </c>
      <c r="H192" s="86">
        <f ca="1">IF(C192=0,0,(C192/C175)^2)</f>
        <v>2.4037017006189532E-4</v>
      </c>
    </row>
    <row r="193" spans="1:8" x14ac:dyDescent="0.35">
      <c r="A193" s="76" t="s">
        <v>129</v>
      </c>
      <c r="B193" s="61">
        <f ca="1">'4'!H24</f>
        <v>0</v>
      </c>
      <c r="C193" s="61">
        <f t="shared" ca="1" si="25"/>
        <v>0</v>
      </c>
      <c r="D193" s="58">
        <f t="shared" ca="1" si="26"/>
        <v>0</v>
      </c>
      <c r="E193" s="58" t="e">
        <f t="shared" ca="1" si="27"/>
        <v>#DIV/0!</v>
      </c>
      <c r="F193" s="58" t="e">
        <f t="shared" ca="1" si="28"/>
        <v>#DIV/0!</v>
      </c>
      <c r="G193" s="58">
        <f ca="1">IF(C193=0,0,-1*((C193/C175)*(LN(C193/C175))))</f>
        <v>0</v>
      </c>
      <c r="H193" s="86">
        <f ca="1">IF(C193=0,0,(C193/C175)^2)</f>
        <v>0</v>
      </c>
    </row>
    <row r="194" spans="1:8" x14ac:dyDescent="0.35">
      <c r="A194" s="76" t="s">
        <v>131</v>
      </c>
      <c r="B194" s="61">
        <f ca="1">'4'!H25</f>
        <v>0</v>
      </c>
      <c r="C194" s="61">
        <f t="shared" ca="1" si="25"/>
        <v>0</v>
      </c>
      <c r="D194" s="58">
        <f t="shared" ca="1" si="26"/>
        <v>0</v>
      </c>
      <c r="E194" s="58" t="e">
        <f t="shared" ca="1" si="27"/>
        <v>#DIV/0!</v>
      </c>
      <c r="F194" s="58" t="e">
        <f t="shared" ca="1" si="28"/>
        <v>#DIV/0!</v>
      </c>
      <c r="G194" s="58">
        <f ca="1">IF(C194=0,0,-1*((C194/C175)*(LN(C194/C175))))</f>
        <v>0</v>
      </c>
      <c r="H194" s="86">
        <f ca="1">IF(C194=0,0,(C194/C175)^2)</f>
        <v>0</v>
      </c>
    </row>
    <row r="195" spans="1:8" x14ac:dyDescent="0.35">
      <c r="A195" s="76" t="s">
        <v>133</v>
      </c>
      <c r="B195" s="61">
        <f ca="1">'4'!H26</f>
        <v>0</v>
      </c>
      <c r="C195" s="61">
        <f t="shared" ca="1" si="25"/>
        <v>0</v>
      </c>
      <c r="D195" s="58">
        <f t="shared" ca="1" si="26"/>
        <v>0</v>
      </c>
      <c r="E195" s="58" t="e">
        <f t="shared" ca="1" si="27"/>
        <v>#DIV/0!</v>
      </c>
      <c r="F195" s="58" t="e">
        <f t="shared" ca="1" si="28"/>
        <v>#DIV/0!</v>
      </c>
      <c r="G195" s="58">
        <f ca="1">IF(C195=0,0,-1*((C195/C175)*(LN(C195/C175))))</f>
        <v>0</v>
      </c>
      <c r="H195" s="86">
        <f ca="1">IF(C195=0,0,(C195/C175)^2)</f>
        <v>0</v>
      </c>
    </row>
    <row r="196" spans="1:8" x14ac:dyDescent="0.35">
      <c r="A196" s="76" t="s">
        <v>135</v>
      </c>
      <c r="B196" s="61">
        <f ca="1">'4'!H27</f>
        <v>1</v>
      </c>
      <c r="C196" s="61">
        <f t="shared" ca="1" si="25"/>
        <v>1</v>
      </c>
      <c r="D196" s="58">
        <f t="shared" ca="1" si="26"/>
        <v>1</v>
      </c>
      <c r="E196" s="58" t="e">
        <f t="shared" ca="1" si="27"/>
        <v>#DIV/0!</v>
      </c>
      <c r="F196" s="58" t="e">
        <f t="shared" ca="1" si="28"/>
        <v>#DIV/0!</v>
      </c>
      <c r="G196" s="58">
        <f ca="1">IF(C196=0,0,-1*((C196/C175)*(LN(C196/C175))))</f>
        <v>3.7672964374896679E-2</v>
      </c>
      <c r="H196" s="86">
        <f ca="1">IF(C196=0,0,(C196/C175)^2)</f>
        <v>6.0092542515473829E-5</v>
      </c>
    </row>
    <row r="197" spans="1:8" x14ac:dyDescent="0.35">
      <c r="A197" s="76" t="s">
        <v>136</v>
      </c>
      <c r="B197" s="61">
        <f ca="1">'4'!H28</f>
        <v>4</v>
      </c>
      <c r="C197" s="61">
        <f t="shared" ca="1" si="25"/>
        <v>4</v>
      </c>
      <c r="D197" s="58">
        <f t="shared" ca="1" si="26"/>
        <v>4</v>
      </c>
      <c r="E197" s="58" t="e">
        <f t="shared" ca="1" si="27"/>
        <v>#DIV/0!</v>
      </c>
      <c r="F197" s="58" t="e">
        <f t="shared" ca="1" si="28"/>
        <v>#DIV/0!</v>
      </c>
      <c r="G197" s="58">
        <f ca="1">IF(C197=0,0,-1*((C197/C175)*(LN(C197/C175))))</f>
        <v>0.10770598583695447</v>
      </c>
      <c r="H197" s="86">
        <f ca="1">IF(C197=0,0,(C197/C175)^2)</f>
        <v>9.6148068024758126E-4</v>
      </c>
    </row>
    <row r="198" spans="1:8" x14ac:dyDescent="0.35">
      <c r="A198" s="76" t="s">
        <v>137</v>
      </c>
      <c r="B198" s="61">
        <f ca="1">'4'!H29</f>
        <v>0</v>
      </c>
      <c r="C198" s="61">
        <f t="shared" ca="1" si="25"/>
        <v>0</v>
      </c>
      <c r="D198" s="58">
        <f t="shared" ca="1" si="26"/>
        <v>0</v>
      </c>
      <c r="E198" s="58" t="e">
        <f t="shared" ca="1" si="27"/>
        <v>#DIV/0!</v>
      </c>
      <c r="F198" s="58" t="e">
        <f t="shared" ca="1" si="28"/>
        <v>#DIV/0!</v>
      </c>
      <c r="G198" s="58">
        <f ca="1">IF(C198=0,0,-1*((C198/C175)*(LN(C198/C175))))</f>
        <v>0</v>
      </c>
      <c r="H198" s="86">
        <f ca="1">IF(C198=0,0,(C198/C175)^2)</f>
        <v>0</v>
      </c>
    </row>
    <row r="199" spans="1:8" x14ac:dyDescent="0.35">
      <c r="A199" s="76" t="s">
        <v>139</v>
      </c>
      <c r="B199" s="61">
        <f ca="1">'4'!H30</f>
        <v>0</v>
      </c>
      <c r="C199" s="61">
        <f t="shared" ca="1" si="25"/>
        <v>0</v>
      </c>
      <c r="D199" s="58">
        <f t="shared" ca="1" si="26"/>
        <v>0</v>
      </c>
      <c r="E199" s="58" t="e">
        <f t="shared" ca="1" si="27"/>
        <v>#DIV/0!</v>
      </c>
      <c r="F199" s="58" t="e">
        <f t="shared" ca="1" si="28"/>
        <v>#DIV/0!</v>
      </c>
      <c r="G199" s="58">
        <f ca="1">IF(C199=0,0,-1*((C199/C175)*(LN(C199/C175))))</f>
        <v>0</v>
      </c>
      <c r="H199" s="86">
        <f ca="1">IF(C199=0,0,(C199/C175)^2)</f>
        <v>0</v>
      </c>
    </row>
    <row r="200" spans="1:8" x14ac:dyDescent="0.35">
      <c r="A200" s="76" t="s">
        <v>141</v>
      </c>
      <c r="B200" s="61">
        <f ca="1">'4'!H31</f>
        <v>0</v>
      </c>
      <c r="C200" s="61">
        <f t="shared" ca="1" si="25"/>
        <v>0</v>
      </c>
      <c r="D200" s="58">
        <f t="shared" ca="1" si="26"/>
        <v>0</v>
      </c>
      <c r="E200" s="58" t="e">
        <f t="shared" ca="1" si="27"/>
        <v>#DIV/0!</v>
      </c>
      <c r="F200" s="58" t="e">
        <f t="shared" ca="1" si="28"/>
        <v>#DIV/0!</v>
      </c>
      <c r="G200" s="58">
        <f ca="1">IF(C200=0,0,-1*((C200/C175)*(LN(C200/C175))))</f>
        <v>0</v>
      </c>
      <c r="H200" s="86">
        <f ca="1">IF(C200=0,0,(C200/C175)^2)</f>
        <v>0</v>
      </c>
    </row>
    <row r="201" spans="1:8" x14ac:dyDescent="0.35">
      <c r="A201" s="76" t="s">
        <v>143</v>
      </c>
      <c r="B201" s="61">
        <f ca="1">'4'!H32</f>
        <v>2</v>
      </c>
      <c r="C201" s="61">
        <f t="shared" ca="1" si="25"/>
        <v>2</v>
      </c>
      <c r="D201" s="58">
        <f t="shared" ca="1" si="26"/>
        <v>2</v>
      </c>
      <c r="E201" s="58" t="e">
        <f t="shared" ca="1" si="27"/>
        <v>#DIV/0!</v>
      </c>
      <c r="F201" s="58" t="e">
        <f t="shared" ca="1" si="28"/>
        <v>#DIV/0!</v>
      </c>
      <c r="G201" s="58">
        <f ca="1">IF(C201=0,0,-1*((C201/C175)*(LN(C201/C175))))</f>
        <v>6.45994608341353E-2</v>
      </c>
      <c r="H201" s="86">
        <f ca="1">IF(C201=0,0,(C201/C175)^2)</f>
        <v>2.4037017006189532E-4</v>
      </c>
    </row>
    <row r="202" spans="1:8" x14ac:dyDescent="0.35">
      <c r="A202" s="76" t="s">
        <v>144</v>
      </c>
      <c r="B202" s="61">
        <f ca="1">'4'!H33</f>
        <v>1</v>
      </c>
      <c r="C202" s="61">
        <f t="shared" ca="1" si="25"/>
        <v>1</v>
      </c>
      <c r="D202" s="58">
        <f t="shared" ca="1" si="26"/>
        <v>1</v>
      </c>
      <c r="E202" s="58" t="e">
        <f t="shared" ca="1" si="27"/>
        <v>#DIV/0!</v>
      </c>
      <c r="F202" s="58" t="e">
        <f t="shared" ca="1" si="28"/>
        <v>#DIV/0!</v>
      </c>
      <c r="G202" s="58">
        <f ca="1">IF(C202=0,0,-1*((C202/C175)*(LN(C202/C175))))</f>
        <v>3.7672964374896679E-2</v>
      </c>
      <c r="H202" s="86">
        <f ca="1">IF(C202=0,0,(C202/C175)^2)</f>
        <v>6.0092542515473829E-5</v>
      </c>
    </row>
    <row r="203" spans="1:8" x14ac:dyDescent="0.35">
      <c r="A203" s="76" t="s">
        <v>145</v>
      </c>
      <c r="B203" s="61">
        <f ca="1">'4'!H34</f>
        <v>0</v>
      </c>
      <c r="C203" s="61">
        <f t="shared" ca="1" si="25"/>
        <v>0</v>
      </c>
      <c r="D203" s="58">
        <f t="shared" ca="1" si="26"/>
        <v>0</v>
      </c>
      <c r="E203" s="58" t="e">
        <f t="shared" ca="1" si="27"/>
        <v>#DIV/0!</v>
      </c>
      <c r="F203" s="58" t="e">
        <f t="shared" ca="1" si="28"/>
        <v>#DIV/0!</v>
      </c>
      <c r="G203" s="58">
        <f ca="1">IF(C203=0,0,-1*((C203/C175)*(LN(C203/C175))))</f>
        <v>0</v>
      </c>
      <c r="H203" s="86">
        <f ca="1">IF(C203=0,0,(C203/C175)^2)</f>
        <v>0</v>
      </c>
    </row>
    <row r="204" spans="1:8" x14ac:dyDescent="0.35">
      <c r="A204" s="76" t="s">
        <v>147</v>
      </c>
      <c r="B204" s="61">
        <f ca="1">'4'!H35</f>
        <v>0</v>
      </c>
      <c r="C204" s="61">
        <f t="shared" ca="1" si="25"/>
        <v>0</v>
      </c>
      <c r="D204" s="58">
        <f t="shared" ca="1" si="26"/>
        <v>0</v>
      </c>
      <c r="E204" s="58" t="e">
        <f t="shared" ca="1" si="27"/>
        <v>#DIV/0!</v>
      </c>
      <c r="F204" s="58" t="e">
        <f t="shared" ca="1" si="28"/>
        <v>#DIV/0!</v>
      </c>
      <c r="G204" s="58">
        <f ca="1">IF(C204=0,0,-1*((C204/C175)*(LN(C204/C175))))</f>
        <v>0</v>
      </c>
      <c r="H204" s="86">
        <f ca="1">IF(C204=0,0,(C204/C175)^2)</f>
        <v>0</v>
      </c>
    </row>
    <row r="205" spans="1:8" x14ac:dyDescent="0.35">
      <c r="A205" s="76" t="s">
        <v>149</v>
      </c>
      <c r="B205" s="61">
        <f ca="1">'4'!H36</f>
        <v>0</v>
      </c>
      <c r="C205" s="61">
        <f t="shared" ca="1" si="25"/>
        <v>0</v>
      </c>
      <c r="D205" s="58">
        <f t="shared" ca="1" si="26"/>
        <v>0</v>
      </c>
      <c r="E205" s="58" t="e">
        <f t="shared" ca="1" si="27"/>
        <v>#DIV/0!</v>
      </c>
      <c r="F205" s="58" t="e">
        <f t="shared" ca="1" si="28"/>
        <v>#DIV/0!</v>
      </c>
      <c r="G205" s="58">
        <f ca="1">IF(C205=0,0,-1*((C205/C175)*(LN(C205/C175))))</f>
        <v>0</v>
      </c>
      <c r="H205" s="86">
        <f ca="1">IF(C205=0,0,(C205/C175)^2)</f>
        <v>0</v>
      </c>
    </row>
    <row r="206" spans="1:8" x14ac:dyDescent="0.35">
      <c r="A206" s="76" t="s">
        <v>151</v>
      </c>
      <c r="B206" s="61">
        <f ca="1">'4'!H37</f>
        <v>4</v>
      </c>
      <c r="C206" s="61">
        <f t="shared" ca="1" si="25"/>
        <v>4</v>
      </c>
      <c r="D206" s="58">
        <f t="shared" ca="1" si="26"/>
        <v>4</v>
      </c>
      <c r="E206" s="58" t="e">
        <f t="shared" ca="1" si="27"/>
        <v>#DIV/0!</v>
      </c>
      <c r="F206" s="58" t="e">
        <f t="shared" ca="1" si="28"/>
        <v>#DIV/0!</v>
      </c>
      <c r="G206" s="58">
        <f ca="1">IF(C206=0,0,-1*((C206/C175)*(LN(C206/C175))))</f>
        <v>0.10770598583695447</v>
      </c>
      <c r="H206" s="86">
        <f ca="1">IF(C206=0,0,(C206/C175)^2)</f>
        <v>9.6148068024758126E-4</v>
      </c>
    </row>
    <row r="207" spans="1:8" x14ac:dyDescent="0.35">
      <c r="A207" s="76" t="s">
        <v>152</v>
      </c>
      <c r="B207" s="61">
        <f ca="1">'4'!H38</f>
        <v>0</v>
      </c>
      <c r="C207" s="61">
        <f t="shared" ca="1" si="25"/>
        <v>0</v>
      </c>
      <c r="D207" s="58">
        <f t="shared" ca="1" si="26"/>
        <v>0</v>
      </c>
      <c r="E207" s="58" t="e">
        <f t="shared" ca="1" si="27"/>
        <v>#DIV/0!</v>
      </c>
      <c r="F207" s="58" t="e">
        <f t="shared" ca="1" si="28"/>
        <v>#DIV/0!</v>
      </c>
      <c r="G207" s="58">
        <f ca="1">IF(C207=0,0,-1*((C207/C175)*(LN(C207/C175))))</f>
        <v>0</v>
      </c>
      <c r="H207" s="86">
        <f ca="1">IF(C207=0,0,(C207/C175)^2)</f>
        <v>0</v>
      </c>
    </row>
    <row r="208" spans="1:8" x14ac:dyDescent="0.35">
      <c r="A208" s="76" t="s">
        <v>154</v>
      </c>
      <c r="B208" s="61">
        <f ca="1">'4'!H39</f>
        <v>1</v>
      </c>
      <c r="C208" s="61">
        <f t="shared" ca="1" si="25"/>
        <v>1</v>
      </c>
      <c r="D208" s="58">
        <f t="shared" ca="1" si="26"/>
        <v>1</v>
      </c>
      <c r="E208" s="58" t="e">
        <f t="shared" ca="1" si="27"/>
        <v>#DIV/0!</v>
      </c>
      <c r="F208" s="58" t="e">
        <f t="shared" ca="1" si="28"/>
        <v>#DIV/0!</v>
      </c>
      <c r="G208" s="58">
        <f ca="1">IF(C208=0,0,-1*((C208/C175)*(LN(C208/C175))))</f>
        <v>3.7672964374896679E-2</v>
      </c>
      <c r="H208" s="86">
        <f ca="1">IF(C208=0,0,(C208/C175)^2)</f>
        <v>6.0092542515473829E-5</v>
      </c>
    </row>
    <row r="209" spans="1:8" x14ac:dyDescent="0.35">
      <c r="A209" s="76" t="s">
        <v>155</v>
      </c>
      <c r="B209" s="61">
        <f ca="1">'4'!H40</f>
        <v>6</v>
      </c>
      <c r="C209" s="61">
        <f t="shared" ca="1" si="25"/>
        <v>6</v>
      </c>
      <c r="D209" s="58">
        <f t="shared" ca="1" si="26"/>
        <v>6</v>
      </c>
      <c r="E209" s="58" t="e">
        <f t="shared" ca="1" si="27"/>
        <v>#DIV/0!</v>
      </c>
      <c r="F209" s="58" t="e">
        <f t="shared" ca="1" si="28"/>
        <v>#DIV/0!</v>
      </c>
      <c r="G209" s="58">
        <f ca="1">IF(C209=0,0,-1*((C209/C175)*(LN(C209/C175))))</f>
        <v>0.14270013651784264</v>
      </c>
      <c r="H209" s="86">
        <f ca="1">IF(C209=0,0,(C209/C175)^2)</f>
        <v>2.1633315305570576E-3</v>
      </c>
    </row>
    <row r="210" spans="1:8" x14ac:dyDescent="0.35">
      <c r="A210" s="76" t="s">
        <v>156</v>
      </c>
      <c r="B210" s="61">
        <f ca="1">'4'!H41</f>
        <v>0</v>
      </c>
      <c r="C210" s="61">
        <f t="shared" ca="1" si="25"/>
        <v>0</v>
      </c>
      <c r="D210" s="58">
        <f t="shared" ca="1" si="26"/>
        <v>0</v>
      </c>
      <c r="E210" s="58" t="e">
        <f t="shared" ca="1" si="27"/>
        <v>#DIV/0!</v>
      </c>
      <c r="F210" s="58" t="e">
        <f t="shared" ca="1" si="28"/>
        <v>#DIV/0!</v>
      </c>
      <c r="G210" s="58">
        <f ca="1">IF(C210=0,0,-1*((C210/C175)*(LN(C210/C175))))</f>
        <v>0</v>
      </c>
      <c r="H210" s="86">
        <f ca="1">IF(C210=0,0,(C210/C175)^2)</f>
        <v>0</v>
      </c>
    </row>
    <row r="211" spans="1:8" x14ac:dyDescent="0.35">
      <c r="A211" s="76" t="s">
        <v>158</v>
      </c>
      <c r="B211" s="61">
        <f ca="1">'4'!H42</f>
        <v>0</v>
      </c>
      <c r="C211" s="61">
        <f t="shared" ca="1" si="25"/>
        <v>0</v>
      </c>
      <c r="D211" s="58">
        <f t="shared" ca="1" si="26"/>
        <v>0</v>
      </c>
      <c r="E211" s="58" t="e">
        <f t="shared" ca="1" si="27"/>
        <v>#DIV/0!</v>
      </c>
      <c r="F211" s="58" t="e">
        <f t="shared" ca="1" si="28"/>
        <v>#DIV/0!</v>
      </c>
      <c r="G211" s="58">
        <f ca="1">IF(C211=0,0,-1*((C211/C175)*(LN(C211/C175))))</f>
        <v>0</v>
      </c>
      <c r="H211" s="86">
        <f ca="1">IF(C211=0,0,(C211/C175)^2)</f>
        <v>0</v>
      </c>
    </row>
    <row r="212" spans="1:8" x14ac:dyDescent="0.35">
      <c r="A212" s="76" t="s">
        <v>160</v>
      </c>
      <c r="B212" s="61">
        <f ca="1">'4'!H43</f>
        <v>6</v>
      </c>
      <c r="C212" s="61">
        <f t="shared" ca="1" si="25"/>
        <v>6</v>
      </c>
      <c r="D212" s="58">
        <f t="shared" ca="1" si="26"/>
        <v>6</v>
      </c>
      <c r="E212" s="58" t="e">
        <f t="shared" ca="1" si="27"/>
        <v>#DIV/0!</v>
      </c>
      <c r="F212" s="58" t="e">
        <f t="shared" ca="1" si="28"/>
        <v>#DIV/0!</v>
      </c>
      <c r="G212" s="58">
        <f ca="1">IF(C212=0,0,-1*((C212/C175)*(LN(C212/C175))))</f>
        <v>0.14270013651784264</v>
      </c>
      <c r="H212" s="86">
        <f ca="1">IF(C212=0,0,(C212/C175)^2)</f>
        <v>2.1633315305570576E-3</v>
      </c>
    </row>
    <row r="213" spans="1:8" x14ac:dyDescent="0.35">
      <c r="A213" s="76" t="s">
        <v>161</v>
      </c>
      <c r="B213" s="61">
        <f ca="1">'4'!H44</f>
        <v>0</v>
      </c>
      <c r="C213" s="61">
        <f t="shared" ca="1" si="25"/>
        <v>0</v>
      </c>
      <c r="D213" s="58">
        <f t="shared" ca="1" si="26"/>
        <v>0</v>
      </c>
      <c r="E213" s="58" t="e">
        <f t="shared" ca="1" si="27"/>
        <v>#DIV/0!</v>
      </c>
      <c r="F213" s="58" t="e">
        <f t="shared" ca="1" si="28"/>
        <v>#DIV/0!</v>
      </c>
      <c r="G213" s="58">
        <f ca="1">IF(C213=0,0,-1*((C213/C175)*(LN(C213/C175))))</f>
        <v>0</v>
      </c>
      <c r="H213" s="86">
        <f ca="1">IF(C213=0,0,(C213/C175)^2)</f>
        <v>0</v>
      </c>
    </row>
    <row r="214" spans="1:8" x14ac:dyDescent="0.35">
      <c r="A214" s="76" t="s">
        <v>163</v>
      </c>
      <c r="B214" s="61">
        <f ca="1">'4'!H45</f>
        <v>1</v>
      </c>
      <c r="C214" s="61">
        <f t="shared" ca="1" si="25"/>
        <v>1</v>
      </c>
      <c r="D214" s="58">
        <f t="shared" ca="1" si="26"/>
        <v>1</v>
      </c>
      <c r="E214" s="58" t="e">
        <f t="shared" ca="1" si="27"/>
        <v>#DIV/0!</v>
      </c>
      <c r="F214" s="58" t="e">
        <f t="shared" ca="1" si="28"/>
        <v>#DIV/0!</v>
      </c>
      <c r="G214" s="58">
        <f ca="1">IF(C214=0,0,-1*((C214/C175)*(LN(C214/C175))))</f>
        <v>3.7672964374896679E-2</v>
      </c>
      <c r="H214" s="86">
        <f ca="1">IF(C214=0,0,(C214/C175)^2)</f>
        <v>6.0092542515473829E-5</v>
      </c>
    </row>
    <row r="215" spans="1:8" x14ac:dyDescent="0.35">
      <c r="A215" s="76" t="s">
        <v>164</v>
      </c>
      <c r="B215" s="61">
        <f ca="1">'4'!H46</f>
        <v>0</v>
      </c>
      <c r="C215" s="61">
        <f t="shared" ca="1" si="25"/>
        <v>0</v>
      </c>
      <c r="D215" s="58">
        <f t="shared" ca="1" si="26"/>
        <v>0</v>
      </c>
      <c r="E215" s="58" t="e">
        <f t="shared" ca="1" si="27"/>
        <v>#DIV/0!</v>
      </c>
      <c r="F215" s="58" t="e">
        <f t="shared" ca="1" si="28"/>
        <v>#DIV/0!</v>
      </c>
      <c r="G215" s="58">
        <f ca="1">IF(C215=0,0,-1*((C215/C175)*(LN(C215/C175))))</f>
        <v>0</v>
      </c>
      <c r="H215" s="86">
        <f ca="1">IF(C215=0,0,(C215/C175)^2)</f>
        <v>0</v>
      </c>
    </row>
    <row r="216" spans="1:8" x14ac:dyDescent="0.35">
      <c r="A216" s="76" t="s">
        <v>166</v>
      </c>
      <c r="B216" s="61">
        <f ca="1">'4'!H47</f>
        <v>4</v>
      </c>
      <c r="C216" s="61">
        <f t="shared" ca="1" si="25"/>
        <v>4</v>
      </c>
      <c r="D216" s="58">
        <f t="shared" ca="1" si="26"/>
        <v>4</v>
      </c>
      <c r="E216" s="58" t="e">
        <f t="shared" ca="1" si="27"/>
        <v>#DIV/0!</v>
      </c>
      <c r="F216" s="58" t="e">
        <f t="shared" ca="1" si="28"/>
        <v>#DIV/0!</v>
      </c>
      <c r="G216" s="58">
        <f ca="1">IF(C216=0,0,-1*((C216/C175)*(LN(C216/C175))))</f>
        <v>0.10770598583695447</v>
      </c>
      <c r="H216" s="86">
        <f ca="1">IF(C216=0,0,(C216/C175)^2)</f>
        <v>9.6148068024758126E-4</v>
      </c>
    </row>
    <row r="217" spans="1:8" x14ac:dyDescent="0.35">
      <c r="A217" s="76" t="s">
        <v>167</v>
      </c>
      <c r="B217" s="61">
        <f ca="1">'4'!H48</f>
        <v>0</v>
      </c>
      <c r="C217" s="61">
        <f t="shared" ca="1" si="25"/>
        <v>0</v>
      </c>
      <c r="D217" s="58">
        <f t="shared" ca="1" si="26"/>
        <v>0</v>
      </c>
      <c r="E217" s="58" t="e">
        <f t="shared" ca="1" si="27"/>
        <v>#DIV/0!</v>
      </c>
      <c r="F217" s="58" t="e">
        <f t="shared" ca="1" si="28"/>
        <v>#DIV/0!</v>
      </c>
      <c r="G217" s="58">
        <f ca="1">IF(C217=0,0,-1*((C217/C175)*(LN(C217/C175))))</f>
        <v>0</v>
      </c>
      <c r="H217" s="86">
        <f ca="1">IF(C217=0,0,(C217/C175)^2)</f>
        <v>0</v>
      </c>
    </row>
    <row r="218" spans="1:8" x14ac:dyDescent="0.35">
      <c r="A218" s="76" t="s">
        <v>169</v>
      </c>
      <c r="B218" s="61">
        <f ca="1">'4'!H49</f>
        <v>0</v>
      </c>
      <c r="C218" s="61">
        <f t="shared" ref="C218:C249" ca="1" si="29">SUM(B218:B218)</f>
        <v>0</v>
      </c>
      <c r="D218" s="58">
        <f t="shared" ref="D218:D249" ca="1" si="30">AVERAGE(B218:B218)</f>
        <v>0</v>
      </c>
      <c r="E218" s="58" t="e">
        <f t="shared" ref="E218:E249" ca="1" si="31">STDEV(B218:B218)</f>
        <v>#DIV/0!</v>
      </c>
      <c r="F218" s="58" t="e">
        <f t="shared" ref="F218:F249" ca="1" si="32">E218/SQRT(1)</f>
        <v>#DIV/0!</v>
      </c>
      <c r="G218" s="58">
        <f ca="1">IF(C218=0,0,-1*((C218/C175)*(LN(C218/C175))))</f>
        <v>0</v>
      </c>
      <c r="H218" s="86">
        <f ca="1">IF(C218=0,0,(C218/C175)^2)</f>
        <v>0</v>
      </c>
    </row>
    <row r="219" spans="1:8" x14ac:dyDescent="0.35">
      <c r="A219" s="76" t="s">
        <v>171</v>
      </c>
      <c r="B219" s="61">
        <f ca="1">'4'!H50</f>
        <v>3</v>
      </c>
      <c r="C219" s="61">
        <f t="shared" ca="1" si="29"/>
        <v>3</v>
      </c>
      <c r="D219" s="58">
        <f t="shared" ca="1" si="30"/>
        <v>3</v>
      </c>
      <c r="E219" s="58" t="e">
        <f t="shared" ca="1" si="31"/>
        <v>#DIV/0!</v>
      </c>
      <c r="F219" s="58" t="e">
        <f t="shared" ca="1" si="32"/>
        <v>#DIV/0!</v>
      </c>
      <c r="G219" s="58">
        <f ca="1">IF(C219=0,0,-1*((C219/C175)*(LN(C219/C175))))</f>
        <v>8.746977013240842E-2</v>
      </c>
      <c r="H219" s="86">
        <f ca="1">IF(C219=0,0,(C219/C175)^2)</f>
        <v>5.408328826392644E-4</v>
      </c>
    </row>
    <row r="220" spans="1:8" x14ac:dyDescent="0.35">
      <c r="A220" s="76" t="s">
        <v>172</v>
      </c>
      <c r="B220" s="61">
        <f ca="1">'4'!H51</f>
        <v>0</v>
      </c>
      <c r="C220" s="61">
        <f t="shared" ca="1" si="29"/>
        <v>0</v>
      </c>
      <c r="D220" s="58">
        <f t="shared" ca="1" si="30"/>
        <v>0</v>
      </c>
      <c r="E220" s="58" t="e">
        <f t="shared" ca="1" si="31"/>
        <v>#DIV/0!</v>
      </c>
      <c r="F220" s="58" t="e">
        <f t="shared" ca="1" si="32"/>
        <v>#DIV/0!</v>
      </c>
      <c r="G220" s="58">
        <f ca="1">IF(C220=0,0,-1*((C220/C175)*(LN(C220/C175))))</f>
        <v>0</v>
      </c>
      <c r="H220" s="86">
        <f ca="1">IF(C220=0,0,(C220/C175)^2)</f>
        <v>0</v>
      </c>
    </row>
    <row r="221" spans="1:8" x14ac:dyDescent="0.35">
      <c r="A221" s="76" t="s">
        <v>174</v>
      </c>
      <c r="B221" s="61">
        <f ca="1">'4'!H52</f>
        <v>0</v>
      </c>
      <c r="C221" s="61">
        <f t="shared" ca="1" si="29"/>
        <v>0</v>
      </c>
      <c r="D221" s="58">
        <f t="shared" ca="1" si="30"/>
        <v>0</v>
      </c>
      <c r="E221" s="58" t="e">
        <f t="shared" ca="1" si="31"/>
        <v>#DIV/0!</v>
      </c>
      <c r="F221" s="58" t="e">
        <f t="shared" ca="1" si="32"/>
        <v>#DIV/0!</v>
      </c>
      <c r="G221" s="58">
        <f ca="1">IF(C221=0,0,-1*((C221/C175)*(LN(C221/C175))))</f>
        <v>0</v>
      </c>
      <c r="H221" s="86">
        <f ca="1">IF(C221=0,0,(C221/C175)^2)</f>
        <v>0</v>
      </c>
    </row>
    <row r="222" spans="1:8" x14ac:dyDescent="0.35">
      <c r="A222" s="76" t="s">
        <v>176</v>
      </c>
      <c r="B222" s="61">
        <f ca="1">'4'!H53</f>
        <v>3</v>
      </c>
      <c r="C222" s="61">
        <f t="shared" ca="1" si="29"/>
        <v>3</v>
      </c>
      <c r="D222" s="58">
        <f t="shared" ca="1" si="30"/>
        <v>3</v>
      </c>
      <c r="E222" s="58" t="e">
        <f t="shared" ca="1" si="31"/>
        <v>#DIV/0!</v>
      </c>
      <c r="F222" s="58" t="e">
        <f t="shared" ca="1" si="32"/>
        <v>#DIV/0!</v>
      </c>
      <c r="G222" s="58">
        <f ca="1">IF(C222=0,0,-1*((C222/C175)*(LN(C222/C175))))</f>
        <v>8.746977013240842E-2</v>
      </c>
      <c r="H222" s="86">
        <f ca="1">IF(C222=0,0,(C222/C175)^2)</f>
        <v>5.408328826392644E-4</v>
      </c>
    </row>
    <row r="223" spans="1:8" x14ac:dyDescent="0.35">
      <c r="A223" s="76" t="s">
        <v>177</v>
      </c>
      <c r="B223" s="61">
        <f ca="1">'4'!H54</f>
        <v>3</v>
      </c>
      <c r="C223" s="61">
        <f t="shared" ca="1" si="29"/>
        <v>3</v>
      </c>
      <c r="D223" s="58">
        <f t="shared" ca="1" si="30"/>
        <v>3</v>
      </c>
      <c r="E223" s="58" t="e">
        <f t="shared" ca="1" si="31"/>
        <v>#DIV/0!</v>
      </c>
      <c r="F223" s="58" t="e">
        <f t="shared" ca="1" si="32"/>
        <v>#DIV/0!</v>
      </c>
      <c r="G223" s="58">
        <f ca="1">IF(C223=0,0,-1*((C223/C175)*(LN(C223/C175))))</f>
        <v>8.746977013240842E-2</v>
      </c>
      <c r="H223" s="86">
        <f ca="1">IF(C223=0,0,(C223/C175)^2)</f>
        <v>5.408328826392644E-4</v>
      </c>
    </row>
    <row r="224" spans="1:8" x14ac:dyDescent="0.35">
      <c r="A224" s="76" t="s">
        <v>178</v>
      </c>
      <c r="B224" s="61">
        <f ca="1">'4'!H55</f>
        <v>4</v>
      </c>
      <c r="C224" s="61">
        <f t="shared" ca="1" si="29"/>
        <v>4</v>
      </c>
      <c r="D224" s="58">
        <f t="shared" ca="1" si="30"/>
        <v>4</v>
      </c>
      <c r="E224" s="58" t="e">
        <f t="shared" ca="1" si="31"/>
        <v>#DIV/0!</v>
      </c>
      <c r="F224" s="58" t="e">
        <f t="shared" ca="1" si="32"/>
        <v>#DIV/0!</v>
      </c>
      <c r="G224" s="58">
        <f ca="1">IF(C224=0,0,-1*((C224/C175)*(LN(C224/C175))))</f>
        <v>0.10770598583695447</v>
      </c>
      <c r="H224" s="86">
        <f ca="1">IF(C224=0,0,(C224/C175)^2)</f>
        <v>9.6148068024758126E-4</v>
      </c>
    </row>
    <row r="225" spans="1:8" x14ac:dyDescent="0.35">
      <c r="A225" s="76" t="s">
        <v>179</v>
      </c>
      <c r="B225" s="61">
        <f ca="1">'4'!H56</f>
        <v>6</v>
      </c>
      <c r="C225" s="61">
        <f t="shared" ca="1" si="29"/>
        <v>6</v>
      </c>
      <c r="D225" s="58">
        <f t="shared" ca="1" si="30"/>
        <v>6</v>
      </c>
      <c r="E225" s="58" t="e">
        <f t="shared" ca="1" si="31"/>
        <v>#DIV/0!</v>
      </c>
      <c r="F225" s="58" t="e">
        <f t="shared" ca="1" si="32"/>
        <v>#DIV/0!</v>
      </c>
      <c r="G225" s="58">
        <f ca="1">IF(C225=0,0,-1*((C225/C175)*(LN(C225/C175))))</f>
        <v>0.14270013651784264</v>
      </c>
      <c r="H225" s="86">
        <f ca="1">IF(C225=0,0,(C225/C175)^2)</f>
        <v>2.1633315305570576E-3</v>
      </c>
    </row>
    <row r="226" spans="1:8" x14ac:dyDescent="0.35">
      <c r="A226" s="76" t="s">
        <v>180</v>
      </c>
      <c r="B226" s="61">
        <f ca="1">'4'!H57</f>
        <v>1</v>
      </c>
      <c r="C226" s="61">
        <f t="shared" ca="1" si="29"/>
        <v>1</v>
      </c>
      <c r="D226" s="58">
        <f t="shared" ca="1" si="30"/>
        <v>1</v>
      </c>
      <c r="E226" s="58" t="e">
        <f t="shared" ca="1" si="31"/>
        <v>#DIV/0!</v>
      </c>
      <c r="F226" s="58" t="e">
        <f t="shared" ca="1" si="32"/>
        <v>#DIV/0!</v>
      </c>
      <c r="G226" s="58">
        <f ca="1">IF(C226=0,0,-1*((C226/C175)*(LN(C226/C175))))</f>
        <v>3.7672964374896679E-2</v>
      </c>
      <c r="H226" s="86">
        <f ca="1">IF(C226=0,0,(C226/C175)^2)</f>
        <v>6.0092542515473829E-5</v>
      </c>
    </row>
    <row r="227" spans="1:8" x14ac:dyDescent="0.35">
      <c r="A227" s="76" t="s">
        <v>181</v>
      </c>
      <c r="B227" s="61">
        <f ca="1">'4'!H58</f>
        <v>0</v>
      </c>
      <c r="C227" s="61">
        <f t="shared" ca="1" si="29"/>
        <v>0</v>
      </c>
      <c r="D227" s="58">
        <f t="shared" ca="1" si="30"/>
        <v>0</v>
      </c>
      <c r="E227" s="58" t="e">
        <f t="shared" ca="1" si="31"/>
        <v>#DIV/0!</v>
      </c>
      <c r="F227" s="58" t="e">
        <f t="shared" ca="1" si="32"/>
        <v>#DIV/0!</v>
      </c>
      <c r="G227" s="58">
        <f ca="1">IF(C227=0,0,-1*((C227/C175)*(LN(C227/C175))))</f>
        <v>0</v>
      </c>
      <c r="H227" s="86">
        <f ca="1">IF(C227=0,0,(C227/C175)^2)</f>
        <v>0</v>
      </c>
    </row>
    <row r="228" spans="1:8" x14ac:dyDescent="0.35">
      <c r="A228" s="76" t="s">
        <v>183</v>
      </c>
      <c r="B228" s="61">
        <f ca="1">'4'!H59</f>
        <v>2</v>
      </c>
      <c r="C228" s="61">
        <f t="shared" ca="1" si="29"/>
        <v>2</v>
      </c>
      <c r="D228" s="58">
        <f t="shared" ca="1" si="30"/>
        <v>2</v>
      </c>
      <c r="E228" s="58" t="e">
        <f t="shared" ca="1" si="31"/>
        <v>#DIV/0!</v>
      </c>
      <c r="F228" s="58" t="e">
        <f t="shared" ca="1" si="32"/>
        <v>#DIV/0!</v>
      </c>
      <c r="G228" s="58">
        <f ca="1">IF(C228=0,0,-1*((C228/C175)*(LN(C228/C175))))</f>
        <v>6.45994608341353E-2</v>
      </c>
      <c r="H228" s="86">
        <f ca="1">IF(C228=0,0,(C228/C175)^2)</f>
        <v>2.4037017006189532E-4</v>
      </c>
    </row>
    <row r="229" spans="1:8" x14ac:dyDescent="0.35">
      <c r="A229" s="76" t="s">
        <v>184</v>
      </c>
      <c r="B229" s="61">
        <f ca="1">'4'!H60</f>
        <v>0</v>
      </c>
      <c r="C229" s="61">
        <f t="shared" ca="1" si="29"/>
        <v>0</v>
      </c>
      <c r="D229" s="58">
        <f t="shared" ca="1" si="30"/>
        <v>0</v>
      </c>
      <c r="E229" s="58" t="e">
        <f t="shared" ca="1" si="31"/>
        <v>#DIV/0!</v>
      </c>
      <c r="F229" s="58" t="e">
        <f t="shared" ca="1" si="32"/>
        <v>#DIV/0!</v>
      </c>
      <c r="G229" s="58">
        <f ca="1">IF(C229=0,0,-1*((C229/C175)*(LN(C229/C175))))</f>
        <v>0</v>
      </c>
      <c r="H229" s="86">
        <f ca="1">IF(C229=0,0,(C229/C175)^2)</f>
        <v>0</v>
      </c>
    </row>
    <row r="230" spans="1:8" x14ac:dyDescent="0.35">
      <c r="A230" s="76" t="s">
        <v>186</v>
      </c>
      <c r="B230" s="61">
        <f ca="1">'4'!H61</f>
        <v>0</v>
      </c>
      <c r="C230" s="61">
        <f t="shared" ca="1" si="29"/>
        <v>0</v>
      </c>
      <c r="D230" s="58">
        <f t="shared" ca="1" si="30"/>
        <v>0</v>
      </c>
      <c r="E230" s="58" t="e">
        <f t="shared" ca="1" si="31"/>
        <v>#DIV/0!</v>
      </c>
      <c r="F230" s="58" t="e">
        <f t="shared" ca="1" si="32"/>
        <v>#DIV/0!</v>
      </c>
      <c r="G230" s="58">
        <f ca="1">IF(C230=0,0,-1*((C230/C175)*(LN(C230/C175))))</f>
        <v>0</v>
      </c>
      <c r="H230" s="86">
        <f ca="1">IF(C230=0,0,(C230/C175)^2)</f>
        <v>0</v>
      </c>
    </row>
    <row r="231" spans="1:8" x14ac:dyDescent="0.35">
      <c r="A231" s="76" t="s">
        <v>188</v>
      </c>
      <c r="B231" s="61">
        <f ca="1">'4'!H62</f>
        <v>1</v>
      </c>
      <c r="C231" s="61">
        <f t="shared" ca="1" si="29"/>
        <v>1</v>
      </c>
      <c r="D231" s="58">
        <f t="shared" ca="1" si="30"/>
        <v>1</v>
      </c>
      <c r="E231" s="58" t="e">
        <f t="shared" ca="1" si="31"/>
        <v>#DIV/0!</v>
      </c>
      <c r="F231" s="58" t="e">
        <f t="shared" ca="1" si="32"/>
        <v>#DIV/0!</v>
      </c>
      <c r="G231" s="58">
        <f ca="1">IF(C231=0,0,-1*((C231/C175)*(LN(C231/C175))))</f>
        <v>3.7672964374896679E-2</v>
      </c>
      <c r="H231" s="86">
        <f ca="1">IF(C231=0,0,(C231/C175)^2)</f>
        <v>6.0092542515473829E-5</v>
      </c>
    </row>
    <row r="232" spans="1:8" x14ac:dyDescent="0.35">
      <c r="A232" s="76" t="s">
        <v>189</v>
      </c>
      <c r="B232" s="61">
        <f ca="1">'4'!H63</f>
        <v>5</v>
      </c>
      <c r="C232" s="61">
        <f t="shared" ca="1" si="29"/>
        <v>5</v>
      </c>
      <c r="D232" s="58">
        <f t="shared" ca="1" si="30"/>
        <v>5</v>
      </c>
      <c r="E232" s="58" t="e">
        <f t="shared" ca="1" si="31"/>
        <v>#DIV/0!</v>
      </c>
      <c r="F232" s="58" t="e">
        <f t="shared" ca="1" si="32"/>
        <v>#DIV/0!</v>
      </c>
      <c r="G232" s="58">
        <f ca="1">IF(C232=0,0,-1*((C232/C175)*(LN(C232/C175))))</f>
        <v>0.12598350743905318</v>
      </c>
      <c r="H232" s="86">
        <f ca="1">IF(C232=0,0,(C232/C175)^2)</f>
        <v>1.5023135628868458E-3</v>
      </c>
    </row>
    <row r="233" spans="1:8" x14ac:dyDescent="0.35">
      <c r="A233" s="76" t="s">
        <v>190</v>
      </c>
      <c r="B233" s="61">
        <f ca="1">'4'!H64</f>
        <v>6</v>
      </c>
      <c r="C233" s="61">
        <f t="shared" ca="1" si="29"/>
        <v>6</v>
      </c>
      <c r="D233" s="58">
        <f t="shared" ca="1" si="30"/>
        <v>6</v>
      </c>
      <c r="E233" s="58" t="e">
        <f t="shared" ca="1" si="31"/>
        <v>#DIV/0!</v>
      </c>
      <c r="F233" s="58" t="e">
        <f t="shared" ca="1" si="32"/>
        <v>#DIV/0!</v>
      </c>
      <c r="G233" s="58">
        <f ca="1">IF(C233=0,0,-1*((C233/C175)*(LN(C233/C175))))</f>
        <v>0.14270013651784264</v>
      </c>
      <c r="H233" s="86">
        <f ca="1">IF(C233=0,0,(C233/C175)^2)</f>
        <v>2.1633315305570576E-3</v>
      </c>
    </row>
    <row r="234" spans="1:8" x14ac:dyDescent="0.35">
      <c r="A234" s="76" t="s">
        <v>191</v>
      </c>
      <c r="B234" s="61">
        <f ca="1">'4'!H65</f>
        <v>1</v>
      </c>
      <c r="C234" s="61">
        <f t="shared" ca="1" si="29"/>
        <v>1</v>
      </c>
      <c r="D234" s="58">
        <f t="shared" ca="1" si="30"/>
        <v>1</v>
      </c>
      <c r="E234" s="58" t="e">
        <f t="shared" ca="1" si="31"/>
        <v>#DIV/0!</v>
      </c>
      <c r="F234" s="58" t="e">
        <f t="shared" ca="1" si="32"/>
        <v>#DIV/0!</v>
      </c>
      <c r="G234" s="58">
        <f ca="1">IF(C234=0,0,-1*((C234/C175)*(LN(C234/C175))))</f>
        <v>3.7672964374896679E-2</v>
      </c>
      <c r="H234" s="86">
        <f ca="1">IF(C234=0,0,(C234/C175)^2)</f>
        <v>6.0092542515473829E-5</v>
      </c>
    </row>
    <row r="235" spans="1:8" x14ac:dyDescent="0.35">
      <c r="A235" s="76" t="s">
        <v>192</v>
      </c>
      <c r="B235" s="61">
        <f ca="1">'4'!H66</f>
        <v>2</v>
      </c>
      <c r="C235" s="61">
        <f t="shared" ca="1" si="29"/>
        <v>2</v>
      </c>
      <c r="D235" s="58">
        <f t="shared" ca="1" si="30"/>
        <v>2</v>
      </c>
      <c r="E235" s="58" t="e">
        <f t="shared" ca="1" si="31"/>
        <v>#DIV/0!</v>
      </c>
      <c r="F235" s="58" t="e">
        <f t="shared" ca="1" si="32"/>
        <v>#DIV/0!</v>
      </c>
      <c r="G235" s="58">
        <f ca="1">IF(C235=0,0,-1*((C235/C175)*(LN(C235/C175))))</f>
        <v>6.45994608341353E-2</v>
      </c>
      <c r="H235" s="86">
        <f ca="1">IF(C235=0,0,(C235/C175)^2)</f>
        <v>2.4037017006189532E-4</v>
      </c>
    </row>
    <row r="236" spans="1:8" x14ac:dyDescent="0.35">
      <c r="A236" s="76" t="s">
        <v>193</v>
      </c>
      <c r="B236" s="61">
        <f ca="1">'4'!H67</f>
        <v>1</v>
      </c>
      <c r="C236" s="61">
        <f t="shared" ca="1" si="29"/>
        <v>1</v>
      </c>
      <c r="D236" s="58">
        <f t="shared" ca="1" si="30"/>
        <v>1</v>
      </c>
      <c r="E236" s="58" t="e">
        <f t="shared" ca="1" si="31"/>
        <v>#DIV/0!</v>
      </c>
      <c r="F236" s="58" t="e">
        <f t="shared" ca="1" si="32"/>
        <v>#DIV/0!</v>
      </c>
      <c r="G236" s="58">
        <f ca="1">IF(C236=0,0,-1*((C236/C175)*(LN(C236/C175))))</f>
        <v>3.7672964374896679E-2</v>
      </c>
      <c r="H236" s="86">
        <f ca="1">IF(C236=0,0,(C236/C175)^2)</f>
        <v>6.0092542515473829E-5</v>
      </c>
    </row>
    <row r="237" spans="1:8" x14ac:dyDescent="0.35">
      <c r="A237" s="76" t="s">
        <v>194</v>
      </c>
      <c r="B237" s="61">
        <f ca="1">'4'!H68</f>
        <v>1</v>
      </c>
      <c r="C237" s="61">
        <f t="shared" ca="1" si="29"/>
        <v>1</v>
      </c>
      <c r="D237" s="58">
        <f t="shared" ca="1" si="30"/>
        <v>1</v>
      </c>
      <c r="E237" s="58" t="e">
        <f t="shared" ca="1" si="31"/>
        <v>#DIV/0!</v>
      </c>
      <c r="F237" s="58" t="e">
        <f t="shared" ca="1" si="32"/>
        <v>#DIV/0!</v>
      </c>
      <c r="G237" s="58">
        <f ca="1">IF(C237=0,0,-1*((C237/C175)*(LN(C237/C175))))</f>
        <v>3.7672964374896679E-2</v>
      </c>
      <c r="H237" s="86">
        <f ca="1">IF(C237=0,0,(C237/C175)^2)</f>
        <v>6.0092542515473829E-5</v>
      </c>
    </row>
    <row r="238" spans="1:8" x14ac:dyDescent="0.35">
      <c r="A238" s="76" t="s">
        <v>195</v>
      </c>
      <c r="B238" s="61">
        <f ca="1">'4'!H69</f>
        <v>5</v>
      </c>
      <c r="C238" s="61">
        <f t="shared" ca="1" si="29"/>
        <v>5</v>
      </c>
      <c r="D238" s="58">
        <f t="shared" ca="1" si="30"/>
        <v>5</v>
      </c>
      <c r="E238" s="58" t="e">
        <f t="shared" ca="1" si="31"/>
        <v>#DIV/0!</v>
      </c>
      <c r="F238" s="58" t="e">
        <f t="shared" ca="1" si="32"/>
        <v>#DIV/0!</v>
      </c>
      <c r="G238" s="58">
        <f ca="1">IF(C238=0,0,-1*((C238/C175)*(LN(C238/C175))))</f>
        <v>0.12598350743905318</v>
      </c>
      <c r="H238" s="86">
        <f ca="1">IF(C238=0,0,(C238/C175)^2)</f>
        <v>1.5023135628868458E-3</v>
      </c>
    </row>
    <row r="239" spans="1:8" x14ac:dyDescent="0.35">
      <c r="A239" s="76" t="s">
        <v>196</v>
      </c>
      <c r="B239" s="61">
        <f ca="1">'4'!H70</f>
        <v>2</v>
      </c>
      <c r="C239" s="61">
        <f t="shared" ca="1" si="29"/>
        <v>2</v>
      </c>
      <c r="D239" s="58">
        <f t="shared" ca="1" si="30"/>
        <v>2</v>
      </c>
      <c r="E239" s="58" t="e">
        <f t="shared" ca="1" si="31"/>
        <v>#DIV/0!</v>
      </c>
      <c r="F239" s="58" t="e">
        <f t="shared" ca="1" si="32"/>
        <v>#DIV/0!</v>
      </c>
      <c r="G239" s="58">
        <f ca="1">IF(C239=0,0,-1*((C239/C175)*(LN(C239/C175))))</f>
        <v>6.45994608341353E-2</v>
      </c>
      <c r="H239" s="86">
        <f ca="1">IF(C239=0,0,(C239/C175)^2)</f>
        <v>2.4037017006189532E-4</v>
      </c>
    </row>
    <row r="240" spans="1:8" x14ac:dyDescent="0.35">
      <c r="A240" s="76" t="s">
        <v>197</v>
      </c>
      <c r="B240" s="61">
        <f ca="1">'4'!H71</f>
        <v>7</v>
      </c>
      <c r="C240" s="61">
        <f t="shared" ca="1" si="29"/>
        <v>7</v>
      </c>
      <c r="D240" s="58">
        <f t="shared" ca="1" si="30"/>
        <v>7</v>
      </c>
      <c r="E240" s="58" t="e">
        <f t="shared" ca="1" si="31"/>
        <v>#DIV/0!</v>
      </c>
      <c r="F240" s="58" t="e">
        <f t="shared" ca="1" si="32"/>
        <v>#DIV/0!</v>
      </c>
      <c r="G240" s="58">
        <f ca="1">IF(C240=0,0,-1*((C240/C175)*(LN(C240/C175))))</f>
        <v>0.15811872703212801</v>
      </c>
      <c r="H240" s="86">
        <f ca="1">IF(C240=0,0,(C240/C175)^2)</f>
        <v>2.9445345832582177E-3</v>
      </c>
    </row>
    <row r="241" spans="1:8" x14ac:dyDescent="0.35">
      <c r="A241" s="76" t="s">
        <v>198</v>
      </c>
      <c r="B241" s="61">
        <f ca="1">'4'!H72</f>
        <v>1</v>
      </c>
      <c r="C241" s="61">
        <f t="shared" ca="1" si="29"/>
        <v>1</v>
      </c>
      <c r="D241" s="58">
        <f t="shared" ca="1" si="30"/>
        <v>1</v>
      </c>
      <c r="E241" s="58" t="e">
        <f t="shared" ca="1" si="31"/>
        <v>#DIV/0!</v>
      </c>
      <c r="F241" s="58" t="e">
        <f t="shared" ca="1" si="32"/>
        <v>#DIV/0!</v>
      </c>
      <c r="G241" s="58">
        <f ca="1">IF(C241=0,0,-1*((C241/C175)*(LN(C241/C175))))</f>
        <v>3.7672964374896679E-2</v>
      </c>
      <c r="H241" s="86">
        <f ca="1">IF(C241=0,0,(C241/C175)^2)</f>
        <v>6.0092542515473829E-5</v>
      </c>
    </row>
    <row r="242" spans="1:8" x14ac:dyDescent="0.35">
      <c r="A242" s="76" t="s">
        <v>199</v>
      </c>
      <c r="B242" s="61">
        <f ca="1">'4'!H73</f>
        <v>1</v>
      </c>
      <c r="C242" s="61">
        <f t="shared" ca="1" si="29"/>
        <v>1</v>
      </c>
      <c r="D242" s="58">
        <f t="shared" ca="1" si="30"/>
        <v>1</v>
      </c>
      <c r="E242" s="58" t="e">
        <f t="shared" ca="1" si="31"/>
        <v>#DIV/0!</v>
      </c>
      <c r="F242" s="58" t="e">
        <f t="shared" ca="1" si="32"/>
        <v>#DIV/0!</v>
      </c>
      <c r="G242" s="58">
        <f ca="1">IF(C242=0,0,-1*((C242/C175)*(LN(C242/C175))))</f>
        <v>3.7672964374896679E-2</v>
      </c>
      <c r="H242" s="86">
        <f ca="1">IF(C242=0,0,(C242/C175)^2)</f>
        <v>6.0092542515473829E-5</v>
      </c>
    </row>
    <row r="243" spans="1:8" x14ac:dyDescent="0.35">
      <c r="A243" s="76" t="s">
        <v>200</v>
      </c>
      <c r="B243" s="61">
        <f ca="1">'4'!H74</f>
        <v>1</v>
      </c>
      <c r="C243" s="61">
        <f t="shared" ca="1" si="29"/>
        <v>1</v>
      </c>
      <c r="D243" s="58">
        <f t="shared" ca="1" si="30"/>
        <v>1</v>
      </c>
      <c r="E243" s="58" t="e">
        <f t="shared" ca="1" si="31"/>
        <v>#DIV/0!</v>
      </c>
      <c r="F243" s="58" t="e">
        <f t="shared" ca="1" si="32"/>
        <v>#DIV/0!</v>
      </c>
      <c r="G243" s="58">
        <f ca="1">IF(C243=0,0,-1*((C243/C175)*(LN(C243/C175))))</f>
        <v>3.7672964374896679E-2</v>
      </c>
      <c r="H243" s="86">
        <f ca="1">IF(C243=0,0,(C243/C175)^2)</f>
        <v>6.0092542515473829E-5</v>
      </c>
    </row>
    <row r="244" spans="1:8" x14ac:dyDescent="0.35">
      <c r="A244" s="76" t="s">
        <v>201</v>
      </c>
      <c r="B244" s="61">
        <f ca="1">'4'!H75</f>
        <v>0</v>
      </c>
      <c r="C244" s="61">
        <f t="shared" ca="1" si="29"/>
        <v>0</v>
      </c>
      <c r="D244" s="58">
        <f t="shared" ca="1" si="30"/>
        <v>0</v>
      </c>
      <c r="E244" s="58" t="e">
        <f t="shared" ca="1" si="31"/>
        <v>#DIV/0!</v>
      </c>
      <c r="F244" s="58" t="e">
        <f t="shared" ca="1" si="32"/>
        <v>#DIV/0!</v>
      </c>
      <c r="G244" s="58">
        <f ca="1">IF(C244=0,0,-1*((C244/C175)*(LN(C244/C175))))</f>
        <v>0</v>
      </c>
      <c r="H244" s="86">
        <f ca="1">IF(C244=0,0,(C244/C175)^2)</f>
        <v>0</v>
      </c>
    </row>
    <row r="245" spans="1:8" x14ac:dyDescent="0.35">
      <c r="A245" s="76" t="s">
        <v>203</v>
      </c>
      <c r="B245" s="61">
        <f ca="1">'4'!H76</f>
        <v>8</v>
      </c>
      <c r="C245" s="61">
        <f t="shared" ca="1" si="29"/>
        <v>8</v>
      </c>
      <c r="D245" s="58">
        <f t="shared" ca="1" si="30"/>
        <v>8</v>
      </c>
      <c r="E245" s="58" t="e">
        <f t="shared" ca="1" si="31"/>
        <v>#DIV/0!</v>
      </c>
      <c r="F245" s="58" t="e">
        <f t="shared" ca="1" si="32"/>
        <v>#DIV/0!</v>
      </c>
      <c r="G245" s="58">
        <f ca="1">IF(C245=0,0,-1*((C245/C175)*(LN(C245/C175))))</f>
        <v>0.17242610001127667</v>
      </c>
      <c r="H245" s="86">
        <f ca="1">IF(C245=0,0,(C245/C175)^2)</f>
        <v>3.8459227209903251E-3</v>
      </c>
    </row>
    <row r="246" spans="1:8" x14ac:dyDescent="0.35">
      <c r="A246" s="76" t="s">
        <v>204</v>
      </c>
      <c r="B246" s="61">
        <f ca="1">'4'!H77</f>
        <v>0</v>
      </c>
      <c r="C246" s="61">
        <f t="shared" ca="1" si="29"/>
        <v>0</v>
      </c>
      <c r="D246" s="58">
        <f t="shared" ca="1" si="30"/>
        <v>0</v>
      </c>
      <c r="E246" s="58" t="e">
        <f t="shared" ca="1" si="31"/>
        <v>#DIV/0!</v>
      </c>
      <c r="F246" s="58" t="e">
        <f t="shared" ca="1" si="32"/>
        <v>#DIV/0!</v>
      </c>
      <c r="G246" s="58">
        <f ca="1">IF(C246=0,0,-1*((C246/C175)*(LN(C246/C175))))</f>
        <v>0</v>
      </c>
      <c r="H246" s="86">
        <f ca="1">IF(C246=0,0,(C246/C175)^2)</f>
        <v>0</v>
      </c>
    </row>
    <row r="247" spans="1:8" x14ac:dyDescent="0.35">
      <c r="A247" s="76" t="s">
        <v>206</v>
      </c>
      <c r="B247" s="61">
        <f ca="1">'4'!H78</f>
        <v>0</v>
      </c>
      <c r="C247" s="61">
        <f t="shared" ca="1" si="29"/>
        <v>0</v>
      </c>
      <c r="D247" s="58">
        <f t="shared" ca="1" si="30"/>
        <v>0</v>
      </c>
      <c r="E247" s="58" t="e">
        <f t="shared" ca="1" si="31"/>
        <v>#DIV/0!</v>
      </c>
      <c r="F247" s="58" t="e">
        <f t="shared" ca="1" si="32"/>
        <v>#DIV/0!</v>
      </c>
      <c r="G247" s="58">
        <f ca="1">IF(C247=0,0,-1*((C247/C175)*(LN(C247/C175))))</f>
        <v>0</v>
      </c>
      <c r="H247" s="86">
        <f ca="1">IF(C247=0,0,(C247/C175)^2)</f>
        <v>0</v>
      </c>
    </row>
    <row r="248" spans="1:8" x14ac:dyDescent="0.35">
      <c r="A248" s="76" t="s">
        <v>208</v>
      </c>
      <c r="B248" s="61">
        <f ca="1">'4'!H79</f>
        <v>0</v>
      </c>
      <c r="C248" s="61">
        <f t="shared" ca="1" si="29"/>
        <v>0</v>
      </c>
      <c r="D248" s="58">
        <f t="shared" ca="1" si="30"/>
        <v>0</v>
      </c>
      <c r="E248" s="58" t="e">
        <f t="shared" ca="1" si="31"/>
        <v>#DIV/0!</v>
      </c>
      <c r="F248" s="58" t="e">
        <f t="shared" ca="1" si="32"/>
        <v>#DIV/0!</v>
      </c>
      <c r="G248" s="58">
        <f ca="1">IF(C248=0,0,-1*((C248/C175)*(LN(C248/C175))))</f>
        <v>0</v>
      </c>
      <c r="H248" s="86">
        <f ca="1">IF(C248=0,0,(C248/C175)^2)</f>
        <v>0</v>
      </c>
    </row>
    <row r="249" spans="1:8" x14ac:dyDescent="0.35">
      <c r="A249" s="76" t="s">
        <v>210</v>
      </c>
      <c r="B249" s="61">
        <f ca="1">'4'!H80</f>
        <v>0</v>
      </c>
      <c r="C249" s="61">
        <f t="shared" ca="1" si="29"/>
        <v>0</v>
      </c>
      <c r="D249" s="58">
        <f t="shared" ca="1" si="30"/>
        <v>0</v>
      </c>
      <c r="E249" s="58" t="e">
        <f t="shared" ca="1" si="31"/>
        <v>#DIV/0!</v>
      </c>
      <c r="F249" s="58" t="e">
        <f t="shared" ca="1" si="32"/>
        <v>#DIV/0!</v>
      </c>
      <c r="G249" s="58">
        <f ca="1">IF(C249=0,0,-1*((C249/C175)*(LN(C249/C175))))</f>
        <v>0</v>
      </c>
      <c r="H249" s="86">
        <f ca="1">IF(C249=0,0,(C249/C175)^2)</f>
        <v>0</v>
      </c>
    </row>
    <row r="250" spans="1:8" x14ac:dyDescent="0.35">
      <c r="A250" s="76" t="s">
        <v>212</v>
      </c>
      <c r="B250" s="61">
        <f ca="1">'4'!H81</f>
        <v>0</v>
      </c>
      <c r="C250" s="61">
        <f t="shared" ref="C250:C281" ca="1" si="33">SUM(B250:B250)</f>
        <v>0</v>
      </c>
      <c r="D250" s="58">
        <f t="shared" ref="D250:D257" ca="1" si="34">AVERAGE(B250:B250)</f>
        <v>0</v>
      </c>
      <c r="E250" s="58" t="e">
        <f t="shared" ref="E250:E257" ca="1" si="35">STDEV(B250:B250)</f>
        <v>#DIV/0!</v>
      </c>
      <c r="F250" s="58" t="e">
        <f t="shared" ref="F250:F281" ca="1" si="36">E250/SQRT(1)</f>
        <v>#DIV/0!</v>
      </c>
      <c r="G250" s="58">
        <f ca="1">IF(C250=0,0,-1*((C250/C175)*(LN(C250/C175))))</f>
        <v>0</v>
      </c>
      <c r="H250" s="86">
        <f ca="1">IF(C250=0,0,(C250/C175)^2)</f>
        <v>0</v>
      </c>
    </row>
    <row r="251" spans="1:8" x14ac:dyDescent="0.35">
      <c r="A251" s="76" t="s">
        <v>214</v>
      </c>
      <c r="B251" s="61">
        <f ca="1">'4'!H82</f>
        <v>0</v>
      </c>
      <c r="C251" s="61">
        <f t="shared" ca="1" si="33"/>
        <v>0</v>
      </c>
      <c r="D251" s="58">
        <f t="shared" ca="1" si="34"/>
        <v>0</v>
      </c>
      <c r="E251" s="58" t="e">
        <f t="shared" ca="1" si="35"/>
        <v>#DIV/0!</v>
      </c>
      <c r="F251" s="58" t="e">
        <f t="shared" ca="1" si="36"/>
        <v>#DIV/0!</v>
      </c>
      <c r="G251" s="58">
        <f ca="1">IF(C251=0,0,-1*((C251/C175)*(LN(C251/C175))))</f>
        <v>0</v>
      </c>
      <c r="H251" s="86">
        <f ca="1">IF(C251=0,0,(C251/C175)^2)</f>
        <v>0</v>
      </c>
    </row>
    <row r="252" spans="1:8" x14ac:dyDescent="0.35">
      <c r="A252" s="76" t="s">
        <v>216</v>
      </c>
      <c r="B252" s="61">
        <f ca="1">'4'!H83</f>
        <v>0</v>
      </c>
      <c r="C252" s="61">
        <f t="shared" ca="1" si="33"/>
        <v>0</v>
      </c>
      <c r="D252" s="58">
        <f t="shared" ca="1" si="34"/>
        <v>0</v>
      </c>
      <c r="E252" s="58" t="e">
        <f t="shared" ca="1" si="35"/>
        <v>#DIV/0!</v>
      </c>
      <c r="F252" s="58" t="e">
        <f t="shared" ca="1" si="36"/>
        <v>#DIV/0!</v>
      </c>
      <c r="G252" s="58">
        <f ca="1">IF(C252=0,0,-1*((C252/C175)*(LN(C252/C175))))</f>
        <v>0</v>
      </c>
      <c r="H252" s="86">
        <f ca="1">IF(C252=0,0,(C252/C175)^2)</f>
        <v>0</v>
      </c>
    </row>
    <row r="253" spans="1:8" x14ac:dyDescent="0.35">
      <c r="A253" s="76" t="s">
        <v>218</v>
      </c>
      <c r="B253" s="61">
        <f ca="1">'4'!H84</f>
        <v>0</v>
      </c>
      <c r="C253" s="61">
        <f t="shared" ca="1" si="33"/>
        <v>0</v>
      </c>
      <c r="D253" s="58">
        <f t="shared" ca="1" si="34"/>
        <v>0</v>
      </c>
      <c r="E253" s="58" t="e">
        <f t="shared" ca="1" si="35"/>
        <v>#DIV/0!</v>
      </c>
      <c r="F253" s="58" t="e">
        <f t="shared" ca="1" si="36"/>
        <v>#DIV/0!</v>
      </c>
      <c r="G253" s="58">
        <f ca="1">IF(C253=0,0,-1*((C253/C175)*(LN(C253/C175))))</f>
        <v>0</v>
      </c>
      <c r="H253" s="86">
        <f ca="1">IF(C253=0,0,(C253/C175)^2)</f>
        <v>0</v>
      </c>
    </row>
    <row r="254" spans="1:8" x14ac:dyDescent="0.35">
      <c r="A254" s="76" t="s">
        <v>220</v>
      </c>
      <c r="B254" s="61">
        <f ca="1">'4'!H85</f>
        <v>0</v>
      </c>
      <c r="C254" s="61">
        <f t="shared" ca="1" si="33"/>
        <v>0</v>
      </c>
      <c r="D254" s="58">
        <f t="shared" ca="1" si="34"/>
        <v>0</v>
      </c>
      <c r="E254" s="58" t="e">
        <f t="shared" ca="1" si="35"/>
        <v>#DIV/0!</v>
      </c>
      <c r="F254" s="58" t="e">
        <f t="shared" ca="1" si="36"/>
        <v>#DIV/0!</v>
      </c>
      <c r="G254" s="58">
        <f ca="1">IF(C254=0,0,-1*((C254/C175)*(LN(C254/C175))))</f>
        <v>0</v>
      </c>
      <c r="H254" s="86">
        <f ca="1">IF(C254=0,0,(C254/C175)^2)</f>
        <v>0</v>
      </c>
    </row>
    <row r="255" spans="1:8" x14ac:dyDescent="0.35">
      <c r="A255" s="76" t="s">
        <v>222</v>
      </c>
      <c r="B255" s="61">
        <f ca="1">'4'!H86</f>
        <v>0</v>
      </c>
      <c r="C255" s="61">
        <f t="shared" ca="1" si="33"/>
        <v>0</v>
      </c>
      <c r="D255" s="58">
        <f t="shared" ca="1" si="34"/>
        <v>0</v>
      </c>
      <c r="E255" s="58" t="e">
        <f t="shared" ca="1" si="35"/>
        <v>#DIV/0!</v>
      </c>
      <c r="F255" s="58" t="e">
        <f t="shared" ca="1" si="36"/>
        <v>#DIV/0!</v>
      </c>
      <c r="G255" s="58">
        <f ca="1">IF(C255=0,0,-1*((C255/C175)*(LN(C255/C175))))</f>
        <v>0</v>
      </c>
      <c r="H255" s="86">
        <f ca="1">IF(C255=0,0,(C255/C175)^2)</f>
        <v>0</v>
      </c>
    </row>
    <row r="256" spans="1:8" x14ac:dyDescent="0.35">
      <c r="A256" s="76" t="s">
        <v>224</v>
      </c>
      <c r="B256" s="61">
        <f ca="1">'4'!H87</f>
        <v>0</v>
      </c>
      <c r="C256" s="61">
        <f t="shared" ca="1" si="33"/>
        <v>0</v>
      </c>
      <c r="D256" s="58">
        <f t="shared" ca="1" si="34"/>
        <v>0</v>
      </c>
      <c r="E256" s="58" t="e">
        <f t="shared" ca="1" si="35"/>
        <v>#DIV/0!</v>
      </c>
      <c r="F256" s="58" t="e">
        <f t="shared" ca="1" si="36"/>
        <v>#DIV/0!</v>
      </c>
      <c r="G256" s="58">
        <f ca="1">IF(C256=0,0,-1*((C256/C175)*(LN(C256/C175))))</f>
        <v>0</v>
      </c>
      <c r="H256" s="86">
        <f ca="1">IF(C256=0,0,(C256/C175)^2)</f>
        <v>0</v>
      </c>
    </row>
    <row r="257" spans="1:8" x14ac:dyDescent="0.35">
      <c r="A257" s="76" t="s">
        <v>226</v>
      </c>
      <c r="B257" s="61">
        <f ca="1">'4'!H88</f>
        <v>0</v>
      </c>
      <c r="C257" s="61">
        <f t="shared" ca="1" si="33"/>
        <v>0</v>
      </c>
      <c r="D257" s="58">
        <f t="shared" ca="1" si="34"/>
        <v>0</v>
      </c>
      <c r="E257" s="58" t="e">
        <f t="shared" ca="1" si="35"/>
        <v>#DIV/0!</v>
      </c>
      <c r="F257" s="58" t="e">
        <f t="shared" ca="1" si="36"/>
        <v>#DIV/0!</v>
      </c>
      <c r="G257" s="58">
        <f ca="1">IF(C257=0,0,-1*((C257/C175)*(LN(C257/C175))))</f>
        <v>0</v>
      </c>
      <c r="H257" s="86">
        <f ca="1">IF(C257=0,0,(C257/C175)^2)</f>
        <v>0</v>
      </c>
    </row>
    <row r="258" spans="1:8" x14ac:dyDescent="0.35">
      <c r="A258" s="77" t="s">
        <v>349</v>
      </c>
      <c r="B258" s="59"/>
      <c r="C258" s="59"/>
      <c r="D258" s="59"/>
      <c r="E258" s="59"/>
      <c r="F258" s="59"/>
      <c r="G258" s="60">
        <f ca="1">SUM(G259:G263)</f>
        <v>0.84875313317339252</v>
      </c>
      <c r="H258" s="87">
        <f ca="1">1-SUM(H259:H263)</f>
        <v>0.52825836216839672</v>
      </c>
    </row>
    <row r="259" spans="1:8" x14ac:dyDescent="0.35">
      <c r="A259" s="76" t="s">
        <v>228</v>
      </c>
      <c r="B259" s="61">
        <f ca="1">'4'!H90</f>
        <v>28</v>
      </c>
      <c r="C259" s="61">
        <f ca="1">SUM(B259:B259)</f>
        <v>28</v>
      </c>
      <c r="D259" s="58">
        <f ca="1">AVERAGE(B259:B259)</f>
        <v>28</v>
      </c>
      <c r="E259" s="58" t="e">
        <f ca="1">STDEV(B259:B259)</f>
        <v>#DIV/0!</v>
      </c>
      <c r="F259" s="58" t="e">
        <f ca="1">E259/SQRT(1)</f>
        <v>#DIV/0!</v>
      </c>
      <c r="G259" s="58">
        <f ca="1">IF(C259=0,0,-1*((C259/C176)*(LN(C259/C176))))</f>
        <v>0.32920375355638065</v>
      </c>
      <c r="H259" s="86">
        <f ca="1">IF(C259=0,0,(C259/C176)^2)</f>
        <v>0.3014225297962323</v>
      </c>
    </row>
    <row r="260" spans="1:8" x14ac:dyDescent="0.35">
      <c r="A260" s="76" t="s">
        <v>229</v>
      </c>
      <c r="B260" s="61">
        <f ca="1">'4'!H91</f>
        <v>21</v>
      </c>
      <c r="C260" s="61">
        <f ca="1">SUM(B260:B260)</f>
        <v>21</v>
      </c>
      <c r="D260" s="58">
        <f ca="1">AVERAGE(B260:B260)</f>
        <v>21</v>
      </c>
      <c r="E260" s="58" t="e">
        <f ca="1">STDEV(B260:B260)</f>
        <v>#DIV/0!</v>
      </c>
      <c r="F260" s="58" t="e">
        <f ca="1">E260/SQRT(1)</f>
        <v>#DIV/0!</v>
      </c>
      <c r="G260" s="58">
        <f ca="1">IF(C260=0,0,-1*((C260/C176)*(LN(C260/C176))))</f>
        <v>0.36536013911801879</v>
      </c>
      <c r="H260" s="86">
        <f ca="1">IF(C260=0,0,(C260/C176)^2)</f>
        <v>0.16955017301038061</v>
      </c>
    </row>
    <row r="261" spans="1:8" x14ac:dyDescent="0.35">
      <c r="A261" s="76" t="s">
        <v>230</v>
      </c>
      <c r="B261" s="61">
        <f ca="1">'4'!H92</f>
        <v>1</v>
      </c>
      <c r="C261" s="61">
        <f ca="1">SUM(B261:B261)</f>
        <v>1</v>
      </c>
      <c r="D261" s="58">
        <f ca="1">AVERAGE(B261:B261)</f>
        <v>1</v>
      </c>
      <c r="E261" s="58" t="e">
        <f ca="1">STDEV(B261:B261)</f>
        <v>#DIV/0!</v>
      </c>
      <c r="F261" s="58" t="e">
        <f ca="1">E261/SQRT(1)</f>
        <v>#DIV/0!</v>
      </c>
      <c r="G261" s="58">
        <f ca="1">IF(C261=0,0,-1*((C261/C176)*(LN(C261/C176))))</f>
        <v>7.7094620249496579E-2</v>
      </c>
      <c r="H261" s="86">
        <f ca="1">IF(C261=0,0,(C261/C176)^2)</f>
        <v>3.8446751249519417E-4</v>
      </c>
    </row>
    <row r="262" spans="1:8" x14ac:dyDescent="0.35">
      <c r="A262" s="76" t="s">
        <v>231</v>
      </c>
      <c r="B262" s="61">
        <f ca="1">'4'!H93</f>
        <v>1</v>
      </c>
      <c r="C262" s="61">
        <f ca="1">SUM(B262:B262)</f>
        <v>1</v>
      </c>
      <c r="D262" s="58">
        <f ca="1">AVERAGE(B262:B262)</f>
        <v>1</v>
      </c>
      <c r="E262" s="58" t="e">
        <f ca="1">STDEV(B262:B262)</f>
        <v>#DIV/0!</v>
      </c>
      <c r="F262" s="58" t="e">
        <f ca="1">E262/SQRT(1)</f>
        <v>#DIV/0!</v>
      </c>
      <c r="G262" s="58">
        <f ca="1">IF(C262=0,0,-1*((C262/C176)*(LN(C262/C176))))</f>
        <v>7.7094620249496579E-2</v>
      </c>
      <c r="H262" s="86">
        <f ca="1">IF(C262=0,0,(C262/C176)^2)</f>
        <v>3.8446751249519417E-4</v>
      </c>
    </row>
    <row r="263" spans="1:8" x14ac:dyDescent="0.35">
      <c r="A263" s="76" t="s">
        <v>232</v>
      </c>
      <c r="B263" s="61">
        <f ca="1">'4'!H94</f>
        <v>0</v>
      </c>
      <c r="C263" s="61">
        <f ca="1">SUM(B263:B263)</f>
        <v>0</v>
      </c>
      <c r="D263" s="58">
        <f ca="1">AVERAGE(B263:B263)</f>
        <v>0</v>
      </c>
      <c r="E263" s="58" t="e">
        <f ca="1">STDEV(B263:B263)</f>
        <v>#DIV/0!</v>
      </c>
      <c r="F263" s="58" t="e">
        <f ca="1">E263/SQRT(1)</f>
        <v>#DIV/0!</v>
      </c>
      <c r="G263" s="58">
        <f ca="1">IF(C263=0,0,-1*((C263/C176)*(LN(C263/C176))))</f>
        <v>0</v>
      </c>
      <c r="H263" s="86">
        <f ca="1">IF(C263=0,0,(C263/C176)^2)</f>
        <v>0</v>
      </c>
    </row>
    <row r="264" spans="1:8" x14ac:dyDescent="0.35">
      <c r="A264" s="77" t="s">
        <v>350</v>
      </c>
      <c r="B264" s="59"/>
      <c r="C264" s="59"/>
      <c r="D264" s="59"/>
      <c r="E264" s="59"/>
      <c r="F264" s="59"/>
      <c r="G264" s="60">
        <f ca="1">SUM(G265:G269)</f>
        <v>0</v>
      </c>
      <c r="H264" s="87">
        <f ca="1">1-SUM(H265:H269)</f>
        <v>0</v>
      </c>
    </row>
    <row r="265" spans="1:8" x14ac:dyDescent="0.35">
      <c r="A265" s="76" t="s">
        <v>233</v>
      </c>
      <c r="B265" s="61">
        <f ca="1">'4'!H96</f>
        <v>0</v>
      </c>
      <c r="C265" s="61">
        <f ca="1">SUM(B265:B265)</f>
        <v>0</v>
      </c>
      <c r="D265" s="58">
        <f ca="1">AVERAGE(B265:B265)</f>
        <v>0</v>
      </c>
      <c r="E265" s="58" t="e">
        <f ca="1">STDEV(B265:B265)</f>
        <v>#DIV/0!</v>
      </c>
      <c r="F265" s="58" t="e">
        <f ca="1">E265/SQRT(1)</f>
        <v>#DIV/0!</v>
      </c>
      <c r="G265" s="58">
        <f ca="1">IF(C265=0,0,-1*((C265/C177)*(LN(C265/C177))))</f>
        <v>0</v>
      </c>
      <c r="H265" s="86">
        <f ca="1">IF(C265=0,0,(C265/C177)^2)</f>
        <v>0</v>
      </c>
    </row>
    <row r="266" spans="1:8" x14ac:dyDescent="0.35">
      <c r="A266" s="76" t="s">
        <v>235</v>
      </c>
      <c r="B266" s="61">
        <f ca="1">'4'!H97</f>
        <v>1</v>
      </c>
      <c r="C266" s="61">
        <f ca="1">SUM(B266:B266)</f>
        <v>1</v>
      </c>
      <c r="D266" s="58">
        <f ca="1">AVERAGE(B266:B266)</f>
        <v>1</v>
      </c>
      <c r="E266" s="58" t="e">
        <f ca="1">STDEV(B266:B266)</f>
        <v>#DIV/0!</v>
      </c>
      <c r="F266" s="58" t="e">
        <f ca="1">E266/SQRT(1)</f>
        <v>#DIV/0!</v>
      </c>
      <c r="G266" s="58">
        <f ca="1">IF(C266=0,0,-1*((C266/C177)*(LN(C266/C177))))</f>
        <v>0</v>
      </c>
      <c r="H266" s="86">
        <f ca="1">IF(C266=0,0,(C266/C177)^2)</f>
        <v>1</v>
      </c>
    </row>
    <row r="267" spans="1:8" x14ac:dyDescent="0.35">
      <c r="A267" s="76" t="s">
        <v>236</v>
      </c>
      <c r="B267" s="61">
        <f ca="1">'4'!H98</f>
        <v>0</v>
      </c>
      <c r="C267" s="61">
        <f ca="1">SUM(B267:B267)</f>
        <v>0</v>
      </c>
      <c r="D267" s="58">
        <f ca="1">AVERAGE(B267:B267)</f>
        <v>0</v>
      </c>
      <c r="E267" s="58" t="e">
        <f ca="1">STDEV(B267:B267)</f>
        <v>#DIV/0!</v>
      </c>
      <c r="F267" s="58" t="e">
        <f ca="1">E267/SQRT(1)</f>
        <v>#DIV/0!</v>
      </c>
      <c r="G267" s="58">
        <f ca="1">IF(C267=0,0,-1*((C267/C177)*(LN(C267/C177))))</f>
        <v>0</v>
      </c>
      <c r="H267" s="86">
        <f ca="1">IF(C267=0,0,(C267/C177)^2)</f>
        <v>0</v>
      </c>
    </row>
    <row r="268" spans="1:8" x14ac:dyDescent="0.35">
      <c r="A268" s="76" t="s">
        <v>238</v>
      </c>
      <c r="B268" s="61">
        <f ca="1">'4'!H99</f>
        <v>0</v>
      </c>
      <c r="C268" s="61">
        <f ca="1">SUM(B268:B268)</f>
        <v>0</v>
      </c>
      <c r="D268" s="58">
        <f ca="1">AVERAGE(B268:B268)</f>
        <v>0</v>
      </c>
      <c r="E268" s="58" t="e">
        <f ca="1">STDEV(B268:B268)</f>
        <v>#DIV/0!</v>
      </c>
      <c r="F268" s="58" t="e">
        <f ca="1">E268/SQRT(1)</f>
        <v>#DIV/0!</v>
      </c>
      <c r="G268" s="58">
        <f ca="1">IF(C268=0,0,-1*((C268/C177)*(LN(C268/C177))))</f>
        <v>0</v>
      </c>
      <c r="H268" s="86">
        <f ca="1">IF(C268=0,0,(C268/C177)^2)</f>
        <v>0</v>
      </c>
    </row>
    <row r="269" spans="1:8" x14ac:dyDescent="0.35">
      <c r="A269" s="76" t="s">
        <v>240</v>
      </c>
      <c r="B269" s="61">
        <f ca="1">'4'!H100</f>
        <v>0</v>
      </c>
      <c r="C269" s="61">
        <f ca="1">SUM(B269:B269)</f>
        <v>0</v>
      </c>
      <c r="D269" s="58">
        <f ca="1">AVERAGE(B269:B269)</f>
        <v>0</v>
      </c>
      <c r="E269" s="58" t="e">
        <f ca="1">STDEV(B269:B269)</f>
        <v>#DIV/0!</v>
      </c>
      <c r="F269" s="58" t="e">
        <f ca="1">E269/SQRT(1)</f>
        <v>#DIV/0!</v>
      </c>
      <c r="G269" s="58">
        <f ca="1">IF(C269=0,0,-1*((C269/C177)*(LN(C269/C177))))</f>
        <v>0</v>
      </c>
      <c r="H269" s="86">
        <f ca="1">IF(C269=0,0,(C269/C177)^2)</f>
        <v>0</v>
      </c>
    </row>
    <row r="270" spans="1:8" x14ac:dyDescent="0.35">
      <c r="A270" s="77" t="s">
        <v>351</v>
      </c>
      <c r="B270" s="59"/>
      <c r="C270" s="59"/>
      <c r="D270" s="59"/>
      <c r="E270" s="59"/>
      <c r="F270" s="59"/>
      <c r="G270" s="60">
        <f ca="1">SUM(G271:G274)</f>
        <v>0</v>
      </c>
      <c r="H270" s="87">
        <f ca="1">1-SUM(H271:H274)</f>
        <v>1</v>
      </c>
    </row>
    <row r="271" spans="1:8" x14ac:dyDescent="0.35">
      <c r="A271" s="76" t="s">
        <v>242</v>
      </c>
      <c r="B271" s="61">
        <f ca="1">'4'!H102</f>
        <v>0</v>
      </c>
      <c r="C271" s="61">
        <f ca="1">SUM(B271:B271)</f>
        <v>0</v>
      </c>
      <c r="D271" s="58">
        <f ca="1">AVERAGE(B271:B271)</f>
        <v>0</v>
      </c>
      <c r="E271" s="58" t="e">
        <f ca="1">STDEV(B271:B271)</f>
        <v>#DIV/0!</v>
      </c>
      <c r="F271" s="58" t="e">
        <f ca="1">E271/SQRT(1)</f>
        <v>#DIV/0!</v>
      </c>
      <c r="G271" s="58">
        <f ca="1">IF(C271=0,0,-1*((C271/C178)*(LN(C271/C178))))</f>
        <v>0</v>
      </c>
      <c r="H271" s="86">
        <f ca="1">IF(C271=0,0,(C271/C178)^2)</f>
        <v>0</v>
      </c>
    </row>
    <row r="272" spans="1:8" x14ac:dyDescent="0.35">
      <c r="A272" s="76" t="s">
        <v>244</v>
      </c>
      <c r="B272" s="61">
        <f ca="1">'4'!H103</f>
        <v>0</v>
      </c>
      <c r="C272" s="61">
        <f ca="1">SUM(B272:B272)</f>
        <v>0</v>
      </c>
      <c r="D272" s="58">
        <f ca="1">AVERAGE(B272:B272)</f>
        <v>0</v>
      </c>
      <c r="E272" s="58" t="e">
        <f ca="1">STDEV(B272:B272)</f>
        <v>#DIV/0!</v>
      </c>
      <c r="F272" s="58" t="e">
        <f ca="1">E272/SQRT(1)</f>
        <v>#DIV/0!</v>
      </c>
      <c r="G272" s="58">
        <f ca="1">IF(C272=0,0,-1*((C272/C178)*(LN(C272/C178))))</f>
        <v>0</v>
      </c>
      <c r="H272" s="86">
        <f ca="1">IF(C272=0,0,(C272/C178)^2)</f>
        <v>0</v>
      </c>
    </row>
    <row r="273" spans="1:8" x14ac:dyDescent="0.35">
      <c r="A273" s="76" t="s">
        <v>246</v>
      </c>
      <c r="B273" s="61">
        <f ca="1">'4'!H104</f>
        <v>0</v>
      </c>
      <c r="C273" s="61">
        <f ca="1">SUM(B273:B273)</f>
        <v>0</v>
      </c>
      <c r="D273" s="58">
        <f ca="1">AVERAGE(B273:B273)</f>
        <v>0</v>
      </c>
      <c r="E273" s="58" t="e">
        <f ca="1">STDEV(B273:B273)</f>
        <v>#DIV/0!</v>
      </c>
      <c r="F273" s="58" t="e">
        <f ca="1">E273/SQRT(1)</f>
        <v>#DIV/0!</v>
      </c>
      <c r="G273" s="58">
        <f ca="1">IF(C273=0,0,-1*((C273/C178)*(LN(C273/C178))))</f>
        <v>0</v>
      </c>
      <c r="H273" s="86">
        <f ca="1">IF(C273=0,0,(C273/C178)^2)</f>
        <v>0</v>
      </c>
    </row>
    <row r="274" spans="1:8" x14ac:dyDescent="0.35">
      <c r="A274" s="76" t="s">
        <v>247</v>
      </c>
      <c r="B274" s="61">
        <f ca="1">'4'!H105</f>
        <v>0</v>
      </c>
      <c r="C274" s="61">
        <f ca="1">SUM(B274:B274)</f>
        <v>0</v>
      </c>
      <c r="D274" s="58">
        <f ca="1">AVERAGE(B274:B274)</f>
        <v>0</v>
      </c>
      <c r="E274" s="58" t="e">
        <f ca="1">STDEV(B274:B274)</f>
        <v>#DIV/0!</v>
      </c>
      <c r="F274" s="58" t="e">
        <f ca="1">E274/SQRT(1)</f>
        <v>#DIV/0!</v>
      </c>
      <c r="G274" s="58">
        <f ca="1">IF(C274=0,0,-1*((C274/C178)*(LN(C274/C178))))</f>
        <v>0</v>
      </c>
      <c r="H274" s="86">
        <f ca="1">IF(C274=0,0,(C274/C178)^2)</f>
        <v>0</v>
      </c>
    </row>
    <row r="275" spans="1:8" x14ac:dyDescent="0.35">
      <c r="A275" s="77" t="s">
        <v>352</v>
      </c>
      <c r="B275" s="59"/>
      <c r="C275" s="59"/>
      <c r="D275" s="59"/>
      <c r="E275" s="59"/>
      <c r="F275" s="59"/>
      <c r="G275" s="60">
        <f ca="1">SUM(G276:G276)</f>
        <v>0</v>
      </c>
      <c r="H275" s="87">
        <f ca="1">1-SUM(H276:H276)</f>
        <v>1</v>
      </c>
    </row>
    <row r="276" spans="1:8" x14ac:dyDescent="0.35">
      <c r="A276" s="76" t="s">
        <v>249</v>
      </c>
      <c r="B276" s="61">
        <f ca="1">'4'!H107</f>
        <v>0</v>
      </c>
      <c r="C276" s="61">
        <f ca="1">SUM(B276:B276)</f>
        <v>0</v>
      </c>
      <c r="D276" s="58">
        <f ca="1">AVERAGE(B276:B276)</f>
        <v>0</v>
      </c>
      <c r="E276" s="58" t="e">
        <f ca="1">STDEV(B276:B276)</f>
        <v>#DIV/0!</v>
      </c>
      <c r="F276" s="58" t="e">
        <f ca="1">E276/SQRT(1)</f>
        <v>#DIV/0!</v>
      </c>
      <c r="G276" s="58">
        <f ca="1">IF(C276=0,0,-1*((C276/C179)*(LN(C276/C179))))</f>
        <v>0</v>
      </c>
      <c r="H276" s="86">
        <f ca="1">IF(C276=0,0,(C276/C179)^2)</f>
        <v>0</v>
      </c>
    </row>
    <row r="277" spans="1:8" x14ac:dyDescent="0.35">
      <c r="A277" s="77" t="s">
        <v>353</v>
      </c>
      <c r="B277" s="59"/>
      <c r="C277" s="59"/>
      <c r="D277" s="59"/>
      <c r="E277" s="59"/>
      <c r="F277" s="59"/>
      <c r="G277" s="60">
        <f ca="1">SUM(G278:G287)</f>
        <v>0.54428373296943933</v>
      </c>
      <c r="H277" s="87">
        <f ca="1">1-SUM(H278:H287)</f>
        <v>0.28819444444444431</v>
      </c>
    </row>
    <row r="278" spans="1:8" x14ac:dyDescent="0.35">
      <c r="A278" s="76" t="s">
        <v>250</v>
      </c>
      <c r="B278" s="61">
        <f ca="1">'4'!H109</f>
        <v>0</v>
      </c>
      <c r="C278" s="61">
        <f t="shared" ref="C278:C287" ca="1" si="37">SUM(B278:B278)</f>
        <v>0</v>
      </c>
      <c r="D278" s="58">
        <f t="shared" ref="D278:D287" ca="1" si="38">AVERAGE(B278:B278)</f>
        <v>0</v>
      </c>
      <c r="E278" s="58" t="e">
        <f t="shared" ref="E278:E287" ca="1" si="39">STDEV(B278:B278)</f>
        <v>#DIV/0!</v>
      </c>
      <c r="F278" s="58" t="e">
        <f t="shared" ref="F278:F287" ca="1" si="40">E278/SQRT(1)</f>
        <v>#DIV/0!</v>
      </c>
      <c r="G278" s="58">
        <f ca="1">IF(C278=0,0,-1*((C278/C180)*(LN(C278/C180))))</f>
        <v>0</v>
      </c>
      <c r="H278" s="86">
        <f ca="1">IF(C278=0,0,(C278/C180)^2)</f>
        <v>0</v>
      </c>
    </row>
    <row r="279" spans="1:8" x14ac:dyDescent="0.35">
      <c r="A279" s="76" t="s">
        <v>252</v>
      </c>
      <c r="B279" s="61">
        <f ca="1">'4'!H110</f>
        <v>0</v>
      </c>
      <c r="C279" s="61">
        <f t="shared" ca="1" si="37"/>
        <v>0</v>
      </c>
      <c r="D279" s="58">
        <f t="shared" ca="1" si="38"/>
        <v>0</v>
      </c>
      <c r="E279" s="58" t="e">
        <f t="shared" ca="1" si="39"/>
        <v>#DIV/0!</v>
      </c>
      <c r="F279" s="58" t="e">
        <f t="shared" ca="1" si="40"/>
        <v>#DIV/0!</v>
      </c>
      <c r="G279" s="58">
        <f ca="1">IF(C279=0,0,-1*((C279/C180)*(LN(C279/C180))))</f>
        <v>0</v>
      </c>
      <c r="H279" s="86">
        <f ca="1">IF(C279=0,0,(C279/C180)^2)</f>
        <v>0</v>
      </c>
    </row>
    <row r="280" spans="1:8" x14ac:dyDescent="0.35">
      <c r="A280" s="76" t="s">
        <v>254</v>
      </c>
      <c r="B280" s="61">
        <f ca="1">'4'!H111</f>
        <v>0</v>
      </c>
      <c r="C280" s="61">
        <f t="shared" ca="1" si="37"/>
        <v>0</v>
      </c>
      <c r="D280" s="58">
        <f t="shared" ca="1" si="38"/>
        <v>0</v>
      </c>
      <c r="E280" s="58" t="e">
        <f t="shared" ca="1" si="39"/>
        <v>#DIV/0!</v>
      </c>
      <c r="F280" s="58" t="e">
        <f t="shared" ca="1" si="40"/>
        <v>#DIV/0!</v>
      </c>
      <c r="G280" s="58">
        <f ca="1">IF(C280=0,0,-1*((C280/C180)*(LN(C280/C180))))</f>
        <v>0</v>
      </c>
      <c r="H280" s="86">
        <f ca="1">IF(C280=0,0,(C280/C180)^2)</f>
        <v>0</v>
      </c>
    </row>
    <row r="281" spans="1:8" x14ac:dyDescent="0.35">
      <c r="A281" s="76" t="s">
        <v>256</v>
      </c>
      <c r="B281" s="61">
        <f ca="1">'4'!H112</f>
        <v>0</v>
      </c>
      <c r="C281" s="61">
        <f t="shared" ca="1" si="37"/>
        <v>0</v>
      </c>
      <c r="D281" s="58">
        <f t="shared" ca="1" si="38"/>
        <v>0</v>
      </c>
      <c r="E281" s="58" t="e">
        <f t="shared" ca="1" si="39"/>
        <v>#DIV/0!</v>
      </c>
      <c r="F281" s="58" t="e">
        <f t="shared" ca="1" si="40"/>
        <v>#DIV/0!</v>
      </c>
      <c r="G281" s="58">
        <f ca="1">IF(C281=0,0,-1*((C281/C180)*(LN(C281/C180))))</f>
        <v>0</v>
      </c>
      <c r="H281" s="86">
        <f ca="1">IF(C281=0,0,(C281/C180)^2)</f>
        <v>0</v>
      </c>
    </row>
    <row r="282" spans="1:8" x14ac:dyDescent="0.35">
      <c r="A282" s="76" t="s">
        <v>257</v>
      </c>
      <c r="B282" s="61">
        <f ca="1">'4'!H113</f>
        <v>0</v>
      </c>
      <c r="C282" s="61">
        <f t="shared" ca="1" si="37"/>
        <v>0</v>
      </c>
      <c r="D282" s="58">
        <f t="shared" ca="1" si="38"/>
        <v>0</v>
      </c>
      <c r="E282" s="58" t="e">
        <f t="shared" ca="1" si="39"/>
        <v>#DIV/0!</v>
      </c>
      <c r="F282" s="58" t="e">
        <f t="shared" ca="1" si="40"/>
        <v>#DIV/0!</v>
      </c>
      <c r="G282" s="58">
        <f ca="1">IF(C282=0,0,-1*((C282/C180)*(LN(C282/C180))))</f>
        <v>0</v>
      </c>
      <c r="H282" s="86">
        <f ca="1">IF(C282=0,0,(C282/C180)^2)</f>
        <v>0</v>
      </c>
    </row>
    <row r="283" spans="1:8" x14ac:dyDescent="0.35">
      <c r="A283" s="76" t="s">
        <v>259</v>
      </c>
      <c r="B283" s="61">
        <f ca="1">'4'!H114</f>
        <v>3</v>
      </c>
      <c r="C283" s="61">
        <f t="shared" ca="1" si="37"/>
        <v>3</v>
      </c>
      <c r="D283" s="58">
        <f t="shared" ca="1" si="38"/>
        <v>3</v>
      </c>
      <c r="E283" s="58" t="e">
        <f t="shared" ca="1" si="39"/>
        <v>#DIV/0!</v>
      </c>
      <c r="F283" s="58" t="e">
        <f t="shared" ca="1" si="40"/>
        <v>#DIV/0!</v>
      </c>
      <c r="G283" s="58">
        <f ca="1">IF(C283=0,0,-1*((C283/C180)*(LN(C283/C180))))</f>
        <v>0.25993019270997947</v>
      </c>
      <c r="H283" s="86">
        <f ca="1">IF(C283=0,0,(C283/C180)^2)</f>
        <v>1.5625E-2</v>
      </c>
    </row>
    <row r="284" spans="1:8" x14ac:dyDescent="0.35">
      <c r="A284" s="76" t="s">
        <v>260</v>
      </c>
      <c r="B284" s="61">
        <f ca="1">'4'!H115</f>
        <v>0</v>
      </c>
      <c r="C284" s="61">
        <f t="shared" ca="1" si="37"/>
        <v>0</v>
      </c>
      <c r="D284" s="58">
        <f t="shared" ca="1" si="38"/>
        <v>0</v>
      </c>
      <c r="E284" s="58" t="e">
        <f t="shared" ca="1" si="39"/>
        <v>#DIV/0!</v>
      </c>
      <c r="F284" s="58" t="e">
        <f t="shared" ca="1" si="40"/>
        <v>#DIV/0!</v>
      </c>
      <c r="G284" s="58">
        <f ca="1">IF(C284=0,0,-1*((C284/C180)*(LN(C284/C180))))</f>
        <v>0</v>
      </c>
      <c r="H284" s="86">
        <f ca="1">IF(C284=0,0,(C284/C180)^2)</f>
        <v>0</v>
      </c>
    </row>
    <row r="285" spans="1:8" x14ac:dyDescent="0.35">
      <c r="A285" s="76" t="s">
        <v>262</v>
      </c>
      <c r="B285" s="61">
        <f ca="1">'4'!H116</f>
        <v>1</v>
      </c>
      <c r="C285" s="61">
        <f t="shared" ca="1" si="37"/>
        <v>1</v>
      </c>
      <c r="D285" s="58">
        <f t="shared" ca="1" si="38"/>
        <v>1</v>
      </c>
      <c r="E285" s="58" t="e">
        <f t="shared" ca="1" si="39"/>
        <v>#DIV/0!</v>
      </c>
      <c r="F285" s="58" t="e">
        <f t="shared" ca="1" si="40"/>
        <v>#DIV/0!</v>
      </c>
      <c r="G285" s="58">
        <f ca="1">IF(C285=0,0,-1*((C285/C180)*(LN(C285/C180))))</f>
        <v>0.13241890959783106</v>
      </c>
      <c r="H285" s="86">
        <f ca="1">IF(C285=0,0,(C285/C180)^2)</f>
        <v>1.736111111111111E-3</v>
      </c>
    </row>
    <row r="286" spans="1:8" x14ac:dyDescent="0.35">
      <c r="A286" s="76" t="s">
        <v>263</v>
      </c>
      <c r="B286" s="61">
        <f ca="1">'4'!H117</f>
        <v>20</v>
      </c>
      <c r="C286" s="61">
        <f t="shared" ca="1" si="37"/>
        <v>20</v>
      </c>
      <c r="D286" s="58">
        <f t="shared" ca="1" si="38"/>
        <v>20</v>
      </c>
      <c r="E286" s="58" t="e">
        <f t="shared" ca="1" si="39"/>
        <v>#DIV/0!</v>
      </c>
      <c r="F286" s="58" t="e">
        <f t="shared" ca="1" si="40"/>
        <v>#DIV/0!</v>
      </c>
      <c r="G286" s="58">
        <f ca="1">IF(C286=0,0,-1*((C286/C180)*(LN(C286/C180))))</f>
        <v>0.15193463066162882</v>
      </c>
      <c r="H286" s="86">
        <f ca="1">IF(C286=0,0,(C286/C180)^2)</f>
        <v>0.69444444444444453</v>
      </c>
    </row>
    <row r="287" spans="1:8" x14ac:dyDescent="0.35">
      <c r="A287" s="76" t="s">
        <v>264</v>
      </c>
      <c r="B287" s="61">
        <f ca="1">'4'!H118</f>
        <v>0</v>
      </c>
      <c r="C287" s="61">
        <f t="shared" ca="1" si="37"/>
        <v>0</v>
      </c>
      <c r="D287" s="58">
        <f t="shared" ca="1" si="38"/>
        <v>0</v>
      </c>
      <c r="E287" s="58" t="e">
        <f t="shared" ca="1" si="39"/>
        <v>#DIV/0!</v>
      </c>
      <c r="F287" s="58" t="e">
        <f t="shared" ca="1" si="40"/>
        <v>#DIV/0!</v>
      </c>
      <c r="G287" s="58">
        <f ca="1">IF(C287=0,0,-1*((C287/C180)*(LN(C287/C180))))</f>
        <v>0</v>
      </c>
      <c r="H287" s="86">
        <f ca="1">IF(C287=0,0,(C287/C180)^2)</f>
        <v>0</v>
      </c>
    </row>
    <row r="288" spans="1:8" x14ac:dyDescent="0.35">
      <c r="A288" s="77" t="s">
        <v>354</v>
      </c>
      <c r="B288" s="59"/>
      <c r="C288" s="59"/>
      <c r="D288" s="59"/>
      <c r="E288" s="59"/>
      <c r="F288" s="59"/>
      <c r="G288" s="59"/>
      <c r="H288" s="83"/>
    </row>
    <row r="289" spans="1:8" x14ac:dyDescent="0.35">
      <c r="A289" s="76" t="s">
        <v>266</v>
      </c>
      <c r="B289" s="61">
        <f ca="1">'4'!H120</f>
        <v>15</v>
      </c>
      <c r="C289" s="61">
        <f ca="1">SUM(B289:B289)</f>
        <v>15</v>
      </c>
      <c r="D289" s="58">
        <f ca="1">AVERAGE(B289:B289)</f>
        <v>15</v>
      </c>
      <c r="E289" s="58" t="e">
        <f ca="1">STDEV(B289:B289)</f>
        <v>#DIV/0!</v>
      </c>
      <c r="F289" s="58" t="e">
        <f ca="1">E289/SQRT(1)</f>
        <v>#DIV/0!</v>
      </c>
      <c r="G289" s="58"/>
      <c r="H289" s="86">
        <f ca="1">IF(C289=0,0,(C289/C181)^2)</f>
        <v>1</v>
      </c>
    </row>
    <row r="290" spans="1:8" x14ac:dyDescent="0.35">
      <c r="A290" s="76"/>
      <c r="H290" s="81"/>
    </row>
    <row r="291" spans="1:8" x14ac:dyDescent="0.35">
      <c r="A291" s="73" t="s">
        <v>483</v>
      </c>
      <c r="C291" s="55" t="s">
        <v>480</v>
      </c>
      <c r="D291" s="55" t="s">
        <v>472</v>
      </c>
      <c r="E291" s="55" t="s">
        <v>473</v>
      </c>
      <c r="F291" s="55" t="s">
        <v>474</v>
      </c>
      <c r="H291" s="81"/>
    </row>
    <row r="292" spans="1:8" x14ac:dyDescent="0.35">
      <c r="A292" s="75" t="s">
        <v>250</v>
      </c>
      <c r="B292" s="62">
        <f ca="1">'4'!B26</f>
        <v>0</v>
      </c>
      <c r="C292" s="62">
        <f t="shared" ref="C292:C313" ca="1" si="41">SUM(B292:B292)</f>
        <v>0</v>
      </c>
      <c r="D292" s="60">
        <f t="shared" ref="D292:D313" ca="1" si="42">AVERAGE(B292:B292)</f>
        <v>0</v>
      </c>
      <c r="E292" s="60" t="e">
        <f t="shared" ref="E292:E313" ca="1" si="43">STDEV(B292:B292)</f>
        <v>#DIV/0!</v>
      </c>
      <c r="F292" s="60" t="e">
        <f t="shared" ref="F292:F313" ca="1" si="44">E292/SQRT(1)</f>
        <v>#DIV/0!</v>
      </c>
      <c r="G292" s="59"/>
      <c r="H292" s="83"/>
    </row>
    <row r="293" spans="1:8" x14ac:dyDescent="0.35">
      <c r="A293" s="76" t="s">
        <v>133</v>
      </c>
      <c r="B293" s="61">
        <f ca="1">'4'!B27</f>
        <v>0</v>
      </c>
      <c r="C293" s="61">
        <f t="shared" ca="1" si="41"/>
        <v>0</v>
      </c>
      <c r="D293" s="58">
        <f t="shared" ca="1" si="42"/>
        <v>0</v>
      </c>
      <c r="E293" s="58" t="e">
        <f t="shared" ca="1" si="43"/>
        <v>#DIV/0!</v>
      </c>
      <c r="F293" s="58" t="e">
        <f t="shared" ca="1" si="44"/>
        <v>#DIV/0!</v>
      </c>
      <c r="H293" s="81"/>
    </row>
    <row r="294" spans="1:8" x14ac:dyDescent="0.35">
      <c r="A294" s="75" t="s">
        <v>242</v>
      </c>
      <c r="B294" s="62">
        <f ca="1">'4'!B28</f>
        <v>0</v>
      </c>
      <c r="C294" s="62">
        <f t="shared" ca="1" si="41"/>
        <v>0</v>
      </c>
      <c r="D294" s="60">
        <f t="shared" ca="1" si="42"/>
        <v>0</v>
      </c>
      <c r="E294" s="60" t="e">
        <f t="shared" ca="1" si="43"/>
        <v>#DIV/0!</v>
      </c>
      <c r="F294" s="60" t="e">
        <f t="shared" ca="1" si="44"/>
        <v>#DIV/0!</v>
      </c>
      <c r="G294" s="59"/>
      <c r="H294" s="83"/>
    </row>
    <row r="295" spans="1:8" x14ac:dyDescent="0.35">
      <c r="A295" s="76" t="s">
        <v>252</v>
      </c>
      <c r="B295" s="61">
        <f ca="1">'4'!B29</f>
        <v>0</v>
      </c>
      <c r="C295" s="61">
        <f t="shared" ca="1" si="41"/>
        <v>0</v>
      </c>
      <c r="D295" s="58">
        <f t="shared" ca="1" si="42"/>
        <v>0</v>
      </c>
      <c r="E295" s="58" t="e">
        <f t="shared" ca="1" si="43"/>
        <v>#DIV/0!</v>
      </c>
      <c r="F295" s="58" t="e">
        <f t="shared" ca="1" si="44"/>
        <v>#DIV/0!</v>
      </c>
      <c r="H295" s="81"/>
    </row>
    <row r="296" spans="1:8" x14ac:dyDescent="0.35">
      <c r="A296" s="75" t="s">
        <v>254</v>
      </c>
      <c r="B296" s="62">
        <f ca="1">'4'!B30</f>
        <v>0</v>
      </c>
      <c r="C296" s="62">
        <f t="shared" ca="1" si="41"/>
        <v>0</v>
      </c>
      <c r="D296" s="60">
        <f t="shared" ca="1" si="42"/>
        <v>0</v>
      </c>
      <c r="E296" s="60" t="e">
        <f t="shared" ca="1" si="43"/>
        <v>#DIV/0!</v>
      </c>
      <c r="F296" s="60" t="e">
        <f t="shared" ca="1" si="44"/>
        <v>#DIV/0!</v>
      </c>
      <c r="G296" s="59"/>
      <c r="H296" s="83"/>
    </row>
    <row r="297" spans="1:8" x14ac:dyDescent="0.35">
      <c r="A297" s="76" t="s">
        <v>232</v>
      </c>
      <c r="B297" s="61">
        <f ca="1">'4'!B31</f>
        <v>1</v>
      </c>
      <c r="C297" s="61">
        <f t="shared" ca="1" si="41"/>
        <v>1</v>
      </c>
      <c r="D297" s="58">
        <f t="shared" ca="1" si="42"/>
        <v>1</v>
      </c>
      <c r="E297" s="58" t="e">
        <f t="shared" ca="1" si="43"/>
        <v>#DIV/0!</v>
      </c>
      <c r="F297" s="58" t="e">
        <f t="shared" ca="1" si="44"/>
        <v>#DIV/0!</v>
      </c>
      <c r="H297" s="81"/>
    </row>
    <row r="298" spans="1:8" x14ac:dyDescent="0.35">
      <c r="A298" s="75" t="s">
        <v>256</v>
      </c>
      <c r="B298" s="62">
        <f ca="1">'4'!B32</f>
        <v>3</v>
      </c>
      <c r="C298" s="62">
        <f t="shared" ca="1" si="41"/>
        <v>3</v>
      </c>
      <c r="D298" s="60">
        <f t="shared" ca="1" si="42"/>
        <v>3</v>
      </c>
      <c r="E298" s="60" t="e">
        <f t="shared" ca="1" si="43"/>
        <v>#DIV/0!</v>
      </c>
      <c r="F298" s="60" t="e">
        <f t="shared" ca="1" si="44"/>
        <v>#DIV/0!</v>
      </c>
      <c r="G298" s="59"/>
      <c r="H298" s="83"/>
    </row>
    <row r="299" spans="1:8" x14ac:dyDescent="0.35">
      <c r="A299" s="76" t="s">
        <v>257</v>
      </c>
      <c r="B299" s="61">
        <f ca="1">'4'!B33</f>
        <v>0</v>
      </c>
      <c r="C299" s="61">
        <f t="shared" ca="1" si="41"/>
        <v>0</v>
      </c>
      <c r="D299" s="58">
        <f t="shared" ca="1" si="42"/>
        <v>0</v>
      </c>
      <c r="E299" s="58" t="e">
        <f t="shared" ca="1" si="43"/>
        <v>#DIV/0!</v>
      </c>
      <c r="F299" s="58" t="e">
        <f t="shared" ca="1" si="44"/>
        <v>#DIV/0!</v>
      </c>
      <c r="H299" s="81"/>
    </row>
    <row r="300" spans="1:8" x14ac:dyDescent="0.35">
      <c r="A300" s="75" t="s">
        <v>244</v>
      </c>
      <c r="B300" s="62">
        <f ca="1">'4'!B34</f>
        <v>0</v>
      </c>
      <c r="C300" s="62">
        <f t="shared" ca="1" si="41"/>
        <v>0</v>
      </c>
      <c r="D300" s="60">
        <f t="shared" ca="1" si="42"/>
        <v>0</v>
      </c>
      <c r="E300" s="60" t="e">
        <f t="shared" ca="1" si="43"/>
        <v>#DIV/0!</v>
      </c>
      <c r="F300" s="60" t="e">
        <f t="shared" ca="1" si="44"/>
        <v>#DIV/0!</v>
      </c>
      <c r="G300" s="59"/>
      <c r="H300" s="83"/>
    </row>
    <row r="301" spans="1:8" x14ac:dyDescent="0.35">
      <c r="A301" s="76" t="s">
        <v>247</v>
      </c>
      <c r="B301" s="61">
        <f ca="1">'4'!B35</f>
        <v>0</v>
      </c>
      <c r="C301" s="61">
        <f t="shared" ca="1" si="41"/>
        <v>0</v>
      </c>
      <c r="D301" s="58">
        <f t="shared" ca="1" si="42"/>
        <v>0</v>
      </c>
      <c r="E301" s="58" t="e">
        <f t="shared" ca="1" si="43"/>
        <v>#DIV/0!</v>
      </c>
      <c r="F301" s="58" t="e">
        <f t="shared" ca="1" si="44"/>
        <v>#DIV/0!</v>
      </c>
      <c r="H301" s="81"/>
    </row>
    <row r="302" spans="1:8" x14ac:dyDescent="0.35">
      <c r="A302" s="75" t="s">
        <v>204</v>
      </c>
      <c r="B302" s="62">
        <f ca="1">'4'!B36</f>
        <v>0</v>
      </c>
      <c r="C302" s="62">
        <f t="shared" ca="1" si="41"/>
        <v>0</v>
      </c>
      <c r="D302" s="60">
        <f t="shared" ca="1" si="42"/>
        <v>0</v>
      </c>
      <c r="E302" s="60" t="e">
        <f t="shared" ca="1" si="43"/>
        <v>#DIV/0!</v>
      </c>
      <c r="F302" s="60" t="e">
        <f t="shared" ca="1" si="44"/>
        <v>#DIV/0!</v>
      </c>
      <c r="G302" s="59"/>
      <c r="H302" s="83"/>
    </row>
    <row r="303" spans="1:8" x14ac:dyDescent="0.35">
      <c r="A303" s="76" t="s">
        <v>206</v>
      </c>
      <c r="B303" s="61">
        <f ca="1">'4'!B37</f>
        <v>0</v>
      </c>
      <c r="C303" s="61">
        <f t="shared" ca="1" si="41"/>
        <v>0</v>
      </c>
      <c r="D303" s="58">
        <f t="shared" ca="1" si="42"/>
        <v>0</v>
      </c>
      <c r="E303" s="58" t="e">
        <f t="shared" ca="1" si="43"/>
        <v>#DIV/0!</v>
      </c>
      <c r="F303" s="58" t="e">
        <f t="shared" ca="1" si="44"/>
        <v>#DIV/0!</v>
      </c>
      <c r="H303" s="81"/>
    </row>
    <row r="304" spans="1:8" x14ac:dyDescent="0.35">
      <c r="A304" s="75" t="s">
        <v>208</v>
      </c>
      <c r="B304" s="62">
        <f ca="1">'4'!B38</f>
        <v>0</v>
      </c>
      <c r="C304" s="62">
        <f t="shared" ca="1" si="41"/>
        <v>0</v>
      </c>
      <c r="D304" s="60">
        <f t="shared" ca="1" si="42"/>
        <v>0</v>
      </c>
      <c r="E304" s="60" t="e">
        <f t="shared" ca="1" si="43"/>
        <v>#DIV/0!</v>
      </c>
      <c r="F304" s="60" t="e">
        <f t="shared" ca="1" si="44"/>
        <v>#DIV/0!</v>
      </c>
      <c r="G304" s="59"/>
      <c r="H304" s="83"/>
    </row>
    <row r="305" spans="1:8" x14ac:dyDescent="0.35">
      <c r="A305" s="76" t="s">
        <v>210</v>
      </c>
      <c r="B305" s="61">
        <f ca="1">'4'!B39</f>
        <v>0</v>
      </c>
      <c r="C305" s="61">
        <f t="shared" ca="1" si="41"/>
        <v>0</v>
      </c>
      <c r="D305" s="58">
        <f t="shared" ca="1" si="42"/>
        <v>0</v>
      </c>
      <c r="E305" s="58" t="e">
        <f t="shared" ca="1" si="43"/>
        <v>#DIV/0!</v>
      </c>
      <c r="F305" s="58" t="e">
        <f t="shared" ca="1" si="44"/>
        <v>#DIV/0!</v>
      </c>
      <c r="H305" s="81"/>
    </row>
    <row r="306" spans="1:8" x14ac:dyDescent="0.35">
      <c r="A306" s="75" t="s">
        <v>212</v>
      </c>
      <c r="B306" s="62">
        <f ca="1">'4'!B40</f>
        <v>0</v>
      </c>
      <c r="C306" s="62">
        <f t="shared" ca="1" si="41"/>
        <v>0</v>
      </c>
      <c r="D306" s="60">
        <f t="shared" ca="1" si="42"/>
        <v>0</v>
      </c>
      <c r="E306" s="60" t="e">
        <f t="shared" ca="1" si="43"/>
        <v>#DIV/0!</v>
      </c>
      <c r="F306" s="60" t="e">
        <f t="shared" ca="1" si="44"/>
        <v>#DIV/0!</v>
      </c>
      <c r="G306" s="59"/>
      <c r="H306" s="83"/>
    </row>
    <row r="307" spans="1:8" x14ac:dyDescent="0.35">
      <c r="A307" s="76" t="s">
        <v>214</v>
      </c>
      <c r="B307" s="61">
        <f ca="1">'4'!B41</f>
        <v>0</v>
      </c>
      <c r="C307" s="61">
        <f t="shared" ca="1" si="41"/>
        <v>0</v>
      </c>
      <c r="D307" s="58">
        <f t="shared" ca="1" si="42"/>
        <v>0</v>
      </c>
      <c r="E307" s="58" t="e">
        <f t="shared" ca="1" si="43"/>
        <v>#DIV/0!</v>
      </c>
      <c r="F307" s="58" t="e">
        <f t="shared" ca="1" si="44"/>
        <v>#DIV/0!</v>
      </c>
      <c r="H307" s="81"/>
    </row>
    <row r="308" spans="1:8" x14ac:dyDescent="0.35">
      <c r="A308" s="75" t="s">
        <v>216</v>
      </c>
      <c r="B308" s="62">
        <f ca="1">'4'!B42</f>
        <v>0</v>
      </c>
      <c r="C308" s="62">
        <f t="shared" ca="1" si="41"/>
        <v>0</v>
      </c>
      <c r="D308" s="60">
        <f t="shared" ca="1" si="42"/>
        <v>0</v>
      </c>
      <c r="E308" s="60" t="e">
        <f t="shared" ca="1" si="43"/>
        <v>#DIV/0!</v>
      </c>
      <c r="F308" s="60" t="e">
        <f t="shared" ca="1" si="44"/>
        <v>#DIV/0!</v>
      </c>
      <c r="G308" s="59"/>
      <c r="H308" s="83"/>
    </row>
    <row r="309" spans="1:8" x14ac:dyDescent="0.35">
      <c r="A309" s="76" t="s">
        <v>218</v>
      </c>
      <c r="B309" s="61">
        <f ca="1">'4'!B43</f>
        <v>0</v>
      </c>
      <c r="C309" s="61">
        <f t="shared" ca="1" si="41"/>
        <v>0</v>
      </c>
      <c r="D309" s="58">
        <f t="shared" ca="1" si="42"/>
        <v>0</v>
      </c>
      <c r="E309" s="58" t="e">
        <f t="shared" ca="1" si="43"/>
        <v>#DIV/0!</v>
      </c>
      <c r="F309" s="58" t="e">
        <f t="shared" ca="1" si="44"/>
        <v>#DIV/0!</v>
      </c>
      <c r="H309" s="81"/>
    </row>
    <row r="310" spans="1:8" x14ac:dyDescent="0.35">
      <c r="A310" s="75" t="s">
        <v>220</v>
      </c>
      <c r="B310" s="62">
        <f ca="1">'4'!B44</f>
        <v>0</v>
      </c>
      <c r="C310" s="62">
        <f t="shared" ca="1" si="41"/>
        <v>0</v>
      </c>
      <c r="D310" s="60">
        <f t="shared" ca="1" si="42"/>
        <v>0</v>
      </c>
      <c r="E310" s="60" t="e">
        <f t="shared" ca="1" si="43"/>
        <v>#DIV/0!</v>
      </c>
      <c r="F310" s="60" t="e">
        <f t="shared" ca="1" si="44"/>
        <v>#DIV/0!</v>
      </c>
      <c r="G310" s="59"/>
      <c r="H310" s="83"/>
    </row>
    <row r="311" spans="1:8" x14ac:dyDescent="0.35">
      <c r="A311" s="76" t="s">
        <v>222</v>
      </c>
      <c r="B311" s="61">
        <f ca="1">'4'!B45</f>
        <v>0</v>
      </c>
      <c r="C311" s="61">
        <f t="shared" ca="1" si="41"/>
        <v>0</v>
      </c>
      <c r="D311" s="58">
        <f t="shared" ca="1" si="42"/>
        <v>0</v>
      </c>
      <c r="E311" s="58" t="e">
        <f t="shared" ca="1" si="43"/>
        <v>#DIV/0!</v>
      </c>
      <c r="F311" s="58" t="e">
        <f t="shared" ca="1" si="44"/>
        <v>#DIV/0!</v>
      </c>
      <c r="H311" s="81"/>
    </row>
    <row r="312" spans="1:8" x14ac:dyDescent="0.35">
      <c r="A312" s="75" t="s">
        <v>224</v>
      </c>
      <c r="B312" s="62">
        <f ca="1">'4'!B46</f>
        <v>0</v>
      </c>
      <c r="C312" s="62">
        <f t="shared" ca="1" si="41"/>
        <v>0</v>
      </c>
      <c r="D312" s="60">
        <f t="shared" ca="1" si="42"/>
        <v>0</v>
      </c>
      <c r="E312" s="60" t="e">
        <f t="shared" ca="1" si="43"/>
        <v>#DIV/0!</v>
      </c>
      <c r="F312" s="60" t="e">
        <f t="shared" ca="1" si="44"/>
        <v>#DIV/0!</v>
      </c>
      <c r="G312" s="59"/>
      <c r="H312" s="83"/>
    </row>
    <row r="313" spans="1:8" x14ac:dyDescent="0.35">
      <c r="A313" s="76" t="s">
        <v>226</v>
      </c>
      <c r="B313" s="61">
        <f ca="1">'4'!B47</f>
        <v>0</v>
      </c>
      <c r="C313" s="61">
        <f t="shared" ca="1" si="41"/>
        <v>0</v>
      </c>
      <c r="D313" s="58">
        <f t="shared" ca="1" si="42"/>
        <v>0</v>
      </c>
      <c r="E313" s="58" t="e">
        <f t="shared" ca="1" si="43"/>
        <v>#DIV/0!</v>
      </c>
      <c r="F313" s="58" t="e">
        <f t="shared" ca="1" si="44"/>
        <v>#DIV/0!</v>
      </c>
      <c r="H313" s="81"/>
    </row>
    <row r="314" spans="1:8" x14ac:dyDescent="0.35">
      <c r="A314" s="73" t="s">
        <v>484</v>
      </c>
      <c r="H314" s="81"/>
    </row>
    <row r="315" spans="1:8" x14ac:dyDescent="0.35">
      <c r="A315" s="75" t="s">
        <v>250</v>
      </c>
      <c r="B315" s="62">
        <f ca="1">'4'!B49</f>
        <v>0</v>
      </c>
      <c r="C315" s="62">
        <f t="shared" ref="C315:C336" ca="1" si="45">SUM(B315:B315)</f>
        <v>0</v>
      </c>
      <c r="D315" s="60">
        <f t="shared" ref="D315:D336" ca="1" si="46">AVERAGE(B315:B315)</f>
        <v>0</v>
      </c>
      <c r="E315" s="60" t="e">
        <f t="shared" ref="E315:E336" ca="1" si="47">STDEV(B315:B315)</f>
        <v>#DIV/0!</v>
      </c>
      <c r="F315" s="60" t="e">
        <f t="shared" ref="F315:F336" ca="1" si="48">E315/SQRT(1)</f>
        <v>#DIV/0!</v>
      </c>
      <c r="G315" s="59"/>
      <c r="H315" s="83"/>
    </row>
    <row r="316" spans="1:8" x14ac:dyDescent="0.35">
      <c r="A316" s="76" t="s">
        <v>133</v>
      </c>
      <c r="B316" s="61">
        <f ca="1">'4'!B50</f>
        <v>0</v>
      </c>
      <c r="C316" s="61">
        <f t="shared" ca="1" si="45"/>
        <v>0</v>
      </c>
      <c r="D316" s="58">
        <f t="shared" ca="1" si="46"/>
        <v>0</v>
      </c>
      <c r="E316" s="58" t="e">
        <f t="shared" ca="1" si="47"/>
        <v>#DIV/0!</v>
      </c>
      <c r="F316" s="58" t="e">
        <f t="shared" ca="1" si="48"/>
        <v>#DIV/0!</v>
      </c>
      <c r="H316" s="81"/>
    </row>
    <row r="317" spans="1:8" x14ac:dyDescent="0.35">
      <c r="A317" s="75" t="s">
        <v>242</v>
      </c>
      <c r="B317" s="62">
        <f ca="1">'4'!B51</f>
        <v>0</v>
      </c>
      <c r="C317" s="62">
        <f t="shared" ca="1" si="45"/>
        <v>0</v>
      </c>
      <c r="D317" s="60">
        <f t="shared" ca="1" si="46"/>
        <v>0</v>
      </c>
      <c r="E317" s="60" t="e">
        <f t="shared" ca="1" si="47"/>
        <v>#DIV/0!</v>
      </c>
      <c r="F317" s="60" t="e">
        <f t="shared" ca="1" si="48"/>
        <v>#DIV/0!</v>
      </c>
      <c r="G317" s="59"/>
      <c r="H317" s="83"/>
    </row>
    <row r="318" spans="1:8" x14ac:dyDescent="0.35">
      <c r="A318" s="76" t="s">
        <v>252</v>
      </c>
      <c r="B318" s="61">
        <f ca="1">'4'!B52</f>
        <v>0</v>
      </c>
      <c r="C318" s="61">
        <f t="shared" ca="1" si="45"/>
        <v>0</v>
      </c>
      <c r="D318" s="58">
        <f t="shared" ca="1" si="46"/>
        <v>0</v>
      </c>
      <c r="E318" s="58" t="e">
        <f t="shared" ca="1" si="47"/>
        <v>#DIV/0!</v>
      </c>
      <c r="F318" s="58" t="e">
        <f t="shared" ca="1" si="48"/>
        <v>#DIV/0!</v>
      </c>
      <c r="H318" s="81"/>
    </row>
    <row r="319" spans="1:8" x14ac:dyDescent="0.35">
      <c r="A319" s="75" t="s">
        <v>254</v>
      </c>
      <c r="B319" s="62">
        <f ca="1">'4'!B53</f>
        <v>0</v>
      </c>
      <c r="C319" s="62">
        <f t="shared" ca="1" si="45"/>
        <v>0</v>
      </c>
      <c r="D319" s="60">
        <f t="shared" ca="1" si="46"/>
        <v>0</v>
      </c>
      <c r="E319" s="60" t="e">
        <f t="shared" ca="1" si="47"/>
        <v>#DIV/0!</v>
      </c>
      <c r="F319" s="60" t="e">
        <f t="shared" ca="1" si="48"/>
        <v>#DIV/0!</v>
      </c>
      <c r="G319" s="59"/>
      <c r="H319" s="83"/>
    </row>
    <row r="320" spans="1:8" x14ac:dyDescent="0.35">
      <c r="A320" s="76" t="s">
        <v>232</v>
      </c>
      <c r="B320" s="61">
        <f ca="1">'4'!B54</f>
        <v>1</v>
      </c>
      <c r="C320" s="61">
        <f t="shared" ca="1" si="45"/>
        <v>1</v>
      </c>
      <c r="D320" s="58">
        <f t="shared" ca="1" si="46"/>
        <v>1</v>
      </c>
      <c r="E320" s="58" t="e">
        <f t="shared" ca="1" si="47"/>
        <v>#DIV/0!</v>
      </c>
      <c r="F320" s="58" t="e">
        <f t="shared" ca="1" si="48"/>
        <v>#DIV/0!</v>
      </c>
      <c r="H320" s="81"/>
    </row>
    <row r="321" spans="1:8" x14ac:dyDescent="0.35">
      <c r="A321" s="75" t="s">
        <v>256</v>
      </c>
      <c r="B321" s="62">
        <f ca="1">'4'!B55</f>
        <v>0</v>
      </c>
      <c r="C321" s="62">
        <f t="shared" ca="1" si="45"/>
        <v>0</v>
      </c>
      <c r="D321" s="60">
        <f t="shared" ca="1" si="46"/>
        <v>0</v>
      </c>
      <c r="E321" s="60" t="e">
        <f t="shared" ca="1" si="47"/>
        <v>#DIV/0!</v>
      </c>
      <c r="F321" s="60" t="e">
        <f t="shared" ca="1" si="48"/>
        <v>#DIV/0!</v>
      </c>
      <c r="G321" s="59"/>
      <c r="H321" s="83"/>
    </row>
    <row r="322" spans="1:8" x14ac:dyDescent="0.35">
      <c r="A322" s="76" t="s">
        <v>257</v>
      </c>
      <c r="B322" s="61">
        <f ca="1">'4'!B56</f>
        <v>0</v>
      </c>
      <c r="C322" s="61">
        <f t="shared" ca="1" si="45"/>
        <v>0</v>
      </c>
      <c r="D322" s="58">
        <f t="shared" ca="1" si="46"/>
        <v>0</v>
      </c>
      <c r="E322" s="58" t="e">
        <f t="shared" ca="1" si="47"/>
        <v>#DIV/0!</v>
      </c>
      <c r="F322" s="58" t="e">
        <f t="shared" ca="1" si="48"/>
        <v>#DIV/0!</v>
      </c>
      <c r="H322" s="81"/>
    </row>
    <row r="323" spans="1:8" x14ac:dyDescent="0.35">
      <c r="A323" s="75" t="s">
        <v>244</v>
      </c>
      <c r="B323" s="62">
        <f ca="1">'4'!B57</f>
        <v>0</v>
      </c>
      <c r="C323" s="62">
        <f t="shared" ca="1" si="45"/>
        <v>0</v>
      </c>
      <c r="D323" s="60">
        <f t="shared" ca="1" si="46"/>
        <v>0</v>
      </c>
      <c r="E323" s="60" t="e">
        <f t="shared" ca="1" si="47"/>
        <v>#DIV/0!</v>
      </c>
      <c r="F323" s="60" t="e">
        <f t="shared" ca="1" si="48"/>
        <v>#DIV/0!</v>
      </c>
      <c r="G323" s="59"/>
      <c r="H323" s="83"/>
    </row>
    <row r="324" spans="1:8" x14ac:dyDescent="0.35">
      <c r="A324" s="76" t="s">
        <v>247</v>
      </c>
      <c r="B324" s="61">
        <f ca="1">'4'!B58</f>
        <v>0</v>
      </c>
      <c r="C324" s="61">
        <f t="shared" ca="1" si="45"/>
        <v>0</v>
      </c>
      <c r="D324" s="58">
        <f t="shared" ca="1" si="46"/>
        <v>0</v>
      </c>
      <c r="E324" s="58" t="e">
        <f t="shared" ca="1" si="47"/>
        <v>#DIV/0!</v>
      </c>
      <c r="F324" s="58" t="e">
        <f t="shared" ca="1" si="48"/>
        <v>#DIV/0!</v>
      </c>
      <c r="H324" s="81"/>
    </row>
    <row r="325" spans="1:8" x14ac:dyDescent="0.35">
      <c r="A325" s="75" t="s">
        <v>204</v>
      </c>
      <c r="B325" s="62">
        <f ca="1">'4'!B59</f>
        <v>0</v>
      </c>
      <c r="C325" s="62">
        <f t="shared" ca="1" si="45"/>
        <v>0</v>
      </c>
      <c r="D325" s="60">
        <f t="shared" ca="1" si="46"/>
        <v>0</v>
      </c>
      <c r="E325" s="60" t="e">
        <f t="shared" ca="1" si="47"/>
        <v>#DIV/0!</v>
      </c>
      <c r="F325" s="60" t="e">
        <f t="shared" ca="1" si="48"/>
        <v>#DIV/0!</v>
      </c>
      <c r="G325" s="59"/>
      <c r="H325" s="83"/>
    </row>
    <row r="326" spans="1:8" x14ac:dyDescent="0.35">
      <c r="A326" s="76" t="s">
        <v>206</v>
      </c>
      <c r="B326" s="61">
        <f ca="1">'4'!B60</f>
        <v>0</v>
      </c>
      <c r="C326" s="61">
        <f t="shared" ca="1" si="45"/>
        <v>0</v>
      </c>
      <c r="D326" s="58">
        <f t="shared" ca="1" si="46"/>
        <v>0</v>
      </c>
      <c r="E326" s="58" t="e">
        <f t="shared" ca="1" si="47"/>
        <v>#DIV/0!</v>
      </c>
      <c r="F326" s="58" t="e">
        <f t="shared" ca="1" si="48"/>
        <v>#DIV/0!</v>
      </c>
      <c r="H326" s="81"/>
    </row>
    <row r="327" spans="1:8" x14ac:dyDescent="0.35">
      <c r="A327" s="75" t="s">
        <v>208</v>
      </c>
      <c r="B327" s="62">
        <f ca="1">'4'!B61</f>
        <v>0</v>
      </c>
      <c r="C327" s="62">
        <f t="shared" ca="1" si="45"/>
        <v>0</v>
      </c>
      <c r="D327" s="60">
        <f t="shared" ca="1" si="46"/>
        <v>0</v>
      </c>
      <c r="E327" s="60" t="e">
        <f t="shared" ca="1" si="47"/>
        <v>#DIV/0!</v>
      </c>
      <c r="F327" s="60" t="e">
        <f t="shared" ca="1" si="48"/>
        <v>#DIV/0!</v>
      </c>
      <c r="G327" s="59"/>
      <c r="H327" s="83"/>
    </row>
    <row r="328" spans="1:8" x14ac:dyDescent="0.35">
      <c r="A328" s="76" t="s">
        <v>210</v>
      </c>
      <c r="B328" s="61">
        <f ca="1">'4'!B62</f>
        <v>0</v>
      </c>
      <c r="C328" s="61">
        <f t="shared" ca="1" si="45"/>
        <v>0</v>
      </c>
      <c r="D328" s="58">
        <f t="shared" ca="1" si="46"/>
        <v>0</v>
      </c>
      <c r="E328" s="58" t="e">
        <f t="shared" ca="1" si="47"/>
        <v>#DIV/0!</v>
      </c>
      <c r="F328" s="58" t="e">
        <f t="shared" ca="1" si="48"/>
        <v>#DIV/0!</v>
      </c>
      <c r="H328" s="81"/>
    </row>
    <row r="329" spans="1:8" x14ac:dyDescent="0.35">
      <c r="A329" s="75" t="s">
        <v>212</v>
      </c>
      <c r="B329" s="62">
        <f ca="1">'4'!B63</f>
        <v>0</v>
      </c>
      <c r="C329" s="62">
        <f t="shared" ca="1" si="45"/>
        <v>0</v>
      </c>
      <c r="D329" s="60">
        <f t="shared" ca="1" si="46"/>
        <v>0</v>
      </c>
      <c r="E329" s="60" t="e">
        <f t="shared" ca="1" si="47"/>
        <v>#DIV/0!</v>
      </c>
      <c r="F329" s="60" t="e">
        <f t="shared" ca="1" si="48"/>
        <v>#DIV/0!</v>
      </c>
      <c r="G329" s="59"/>
      <c r="H329" s="83"/>
    </row>
    <row r="330" spans="1:8" x14ac:dyDescent="0.35">
      <c r="A330" s="76" t="s">
        <v>214</v>
      </c>
      <c r="B330" s="61">
        <f ca="1">'4'!B64</f>
        <v>0</v>
      </c>
      <c r="C330" s="61">
        <f t="shared" ca="1" si="45"/>
        <v>0</v>
      </c>
      <c r="D330" s="58">
        <f t="shared" ca="1" si="46"/>
        <v>0</v>
      </c>
      <c r="E330" s="58" t="e">
        <f t="shared" ca="1" si="47"/>
        <v>#DIV/0!</v>
      </c>
      <c r="F330" s="58" t="e">
        <f t="shared" ca="1" si="48"/>
        <v>#DIV/0!</v>
      </c>
      <c r="H330" s="81"/>
    </row>
    <row r="331" spans="1:8" x14ac:dyDescent="0.35">
      <c r="A331" s="75" t="s">
        <v>216</v>
      </c>
      <c r="B331" s="62">
        <f ca="1">'4'!B65</f>
        <v>0</v>
      </c>
      <c r="C331" s="62">
        <f t="shared" ca="1" si="45"/>
        <v>0</v>
      </c>
      <c r="D331" s="60">
        <f t="shared" ca="1" si="46"/>
        <v>0</v>
      </c>
      <c r="E331" s="60" t="e">
        <f t="shared" ca="1" si="47"/>
        <v>#DIV/0!</v>
      </c>
      <c r="F331" s="60" t="e">
        <f t="shared" ca="1" si="48"/>
        <v>#DIV/0!</v>
      </c>
      <c r="G331" s="59"/>
      <c r="H331" s="83"/>
    </row>
    <row r="332" spans="1:8" x14ac:dyDescent="0.35">
      <c r="A332" s="76" t="s">
        <v>218</v>
      </c>
      <c r="B332" s="61">
        <f ca="1">'4'!B66</f>
        <v>0</v>
      </c>
      <c r="C332" s="61">
        <f t="shared" ca="1" si="45"/>
        <v>0</v>
      </c>
      <c r="D332" s="58">
        <f t="shared" ca="1" si="46"/>
        <v>0</v>
      </c>
      <c r="E332" s="58" t="e">
        <f t="shared" ca="1" si="47"/>
        <v>#DIV/0!</v>
      </c>
      <c r="F332" s="58" t="e">
        <f t="shared" ca="1" si="48"/>
        <v>#DIV/0!</v>
      </c>
      <c r="H332" s="81"/>
    </row>
    <row r="333" spans="1:8" x14ac:dyDescent="0.35">
      <c r="A333" s="75" t="s">
        <v>220</v>
      </c>
      <c r="B333" s="62">
        <f ca="1">'4'!B67</f>
        <v>0</v>
      </c>
      <c r="C333" s="62">
        <f t="shared" ca="1" si="45"/>
        <v>0</v>
      </c>
      <c r="D333" s="60">
        <f t="shared" ca="1" si="46"/>
        <v>0</v>
      </c>
      <c r="E333" s="60" t="e">
        <f t="shared" ca="1" si="47"/>
        <v>#DIV/0!</v>
      </c>
      <c r="F333" s="60" t="e">
        <f t="shared" ca="1" si="48"/>
        <v>#DIV/0!</v>
      </c>
      <c r="G333" s="59"/>
      <c r="H333" s="83"/>
    </row>
    <row r="334" spans="1:8" x14ac:dyDescent="0.35">
      <c r="A334" s="76" t="s">
        <v>222</v>
      </c>
      <c r="B334" s="61">
        <f ca="1">'4'!B68</f>
        <v>0</v>
      </c>
      <c r="C334" s="61">
        <f t="shared" ca="1" si="45"/>
        <v>0</v>
      </c>
      <c r="D334" s="58">
        <f t="shared" ca="1" si="46"/>
        <v>0</v>
      </c>
      <c r="E334" s="58" t="e">
        <f t="shared" ca="1" si="47"/>
        <v>#DIV/0!</v>
      </c>
      <c r="F334" s="58" t="e">
        <f t="shared" ca="1" si="48"/>
        <v>#DIV/0!</v>
      </c>
      <c r="H334" s="81"/>
    </row>
    <row r="335" spans="1:8" x14ac:dyDescent="0.35">
      <c r="A335" s="75" t="s">
        <v>224</v>
      </c>
      <c r="B335" s="62">
        <f ca="1">'4'!B69</f>
        <v>0</v>
      </c>
      <c r="C335" s="62">
        <f t="shared" ca="1" si="45"/>
        <v>0</v>
      </c>
      <c r="D335" s="60">
        <f t="shared" ca="1" si="46"/>
        <v>0</v>
      </c>
      <c r="E335" s="60" t="e">
        <f t="shared" ca="1" si="47"/>
        <v>#DIV/0!</v>
      </c>
      <c r="F335" s="60" t="e">
        <f t="shared" ca="1" si="48"/>
        <v>#DIV/0!</v>
      </c>
      <c r="G335" s="59"/>
      <c r="H335" s="83"/>
    </row>
    <row r="336" spans="1:8" x14ac:dyDescent="0.35">
      <c r="A336" s="76" t="s">
        <v>226</v>
      </c>
      <c r="B336" s="61">
        <f ca="1">'4'!B70</f>
        <v>0</v>
      </c>
      <c r="C336" s="61">
        <f t="shared" ca="1" si="45"/>
        <v>0</v>
      </c>
      <c r="D336" s="58">
        <f t="shared" ca="1" si="46"/>
        <v>0</v>
      </c>
      <c r="E336" s="58" t="e">
        <f t="shared" ca="1" si="47"/>
        <v>#DIV/0!</v>
      </c>
      <c r="F336" s="58" t="e">
        <f t="shared" ca="1" si="48"/>
        <v>#DIV/0!</v>
      </c>
      <c r="H336" s="81"/>
    </row>
    <row r="337" spans="1:8" ht="15" thickBot="1" x14ac:dyDescent="0.4">
      <c r="A337" s="76"/>
      <c r="H337" s="81"/>
    </row>
    <row r="338" spans="1:8" ht="15" thickTop="1" x14ac:dyDescent="0.35">
      <c r="A338" s="72" t="s">
        <v>485</v>
      </c>
      <c r="B338" s="70">
        <f ca="1">SUM(B339:B344)</f>
        <v>0.91465778713866652</v>
      </c>
      <c r="C338" s="64"/>
      <c r="D338" s="64"/>
      <c r="E338" s="64"/>
      <c r="F338" s="64"/>
      <c r="G338" s="64"/>
      <c r="H338" s="80"/>
    </row>
    <row r="339" spans="1:8" x14ac:dyDescent="0.35">
      <c r="A339" s="76" t="s">
        <v>348</v>
      </c>
      <c r="B339" s="58">
        <f ca="1">IF(B175=0,0,-1*((B175/B9)*(LN(B175/B9))))</f>
        <v>0.29147554705462903</v>
      </c>
      <c r="H339" s="81"/>
    </row>
    <row r="340" spans="1:8" x14ac:dyDescent="0.35">
      <c r="A340" s="76" t="s">
        <v>349</v>
      </c>
      <c r="B340" s="58">
        <f ca="1">IF(B176=0,0,-1*((B176/B9)*(LN(B176/B9))))</f>
        <v>0.34609952032740587</v>
      </c>
      <c r="H340" s="81"/>
    </row>
    <row r="341" spans="1:8" x14ac:dyDescent="0.35">
      <c r="A341" s="76" t="s">
        <v>350</v>
      </c>
      <c r="B341" s="58">
        <f ca="1">IF(B177=0,0,-1*((B177/B9)*(LN(B177/B9))))</f>
        <v>2.5965902337260528E-2</v>
      </c>
      <c r="H341" s="81"/>
    </row>
    <row r="342" spans="1:8" x14ac:dyDescent="0.35">
      <c r="A342" s="76" t="s">
        <v>351</v>
      </c>
      <c r="B342" s="58">
        <f ca="1">IF(B178=0,0,-1*((B178/B9)*(LN(B178/B9))))</f>
        <v>0</v>
      </c>
      <c r="H342" s="81"/>
    </row>
    <row r="343" spans="1:8" x14ac:dyDescent="0.35">
      <c r="A343" s="76" t="s">
        <v>352</v>
      </c>
      <c r="B343" s="58">
        <f ca="1">IF(B179=0,0,-1*((B179/B9)*(LN(B179/B9))))</f>
        <v>0</v>
      </c>
      <c r="H343" s="81"/>
    </row>
    <row r="344" spans="1:8" x14ac:dyDescent="0.35">
      <c r="A344" s="76" t="s">
        <v>353</v>
      </c>
      <c r="B344" s="58">
        <f ca="1">IF(B180=0,0,-1*((B180/B9)*(LN(B180/B9))))</f>
        <v>0.25111681741937125</v>
      </c>
      <c r="H344" s="81"/>
    </row>
    <row r="345" spans="1:8" ht="15" thickBot="1" x14ac:dyDescent="0.4">
      <c r="A345" s="78" t="s">
        <v>354</v>
      </c>
      <c r="B345" s="65"/>
      <c r="C345" s="65"/>
      <c r="D345" s="65"/>
      <c r="E345" s="65"/>
      <c r="F345" s="65"/>
      <c r="G345" s="65"/>
      <c r="H345" s="82"/>
    </row>
    <row r="346" spans="1:8" ht="15" thickTop="1" x14ac:dyDescent="0.35">
      <c r="A346" s="72" t="s">
        <v>486</v>
      </c>
      <c r="B346" s="70">
        <f ca="1">1-SUM(B347:B352)</f>
        <v>0.52839976204640093</v>
      </c>
      <c r="C346" s="64"/>
      <c r="D346" s="64"/>
      <c r="E346" s="64"/>
      <c r="F346" s="64"/>
      <c r="G346" s="64"/>
      <c r="H346" s="80"/>
    </row>
    <row r="347" spans="1:8" x14ac:dyDescent="0.35">
      <c r="A347" s="76" t="s">
        <v>348</v>
      </c>
      <c r="B347" s="58">
        <f ca="1">IF(B175=0,0,(B175/B9)^2)</f>
        <v>0.39597858417608567</v>
      </c>
      <c r="H347" s="81"/>
    </row>
    <row r="348" spans="1:8" x14ac:dyDescent="0.35">
      <c r="A348" s="76" t="s">
        <v>349</v>
      </c>
      <c r="B348" s="58">
        <f ca="1">IF(B176=0,0,(B176/B9)^2)</f>
        <v>6.1891731112433075E-2</v>
      </c>
      <c r="H348" s="81"/>
    </row>
    <row r="349" spans="1:8" x14ac:dyDescent="0.35">
      <c r="A349" s="76" t="s">
        <v>350</v>
      </c>
      <c r="B349" s="58">
        <f ca="1">IF(B177=0,0,(B177/B9)^2)</f>
        <v>2.3795359904818562E-5</v>
      </c>
      <c r="H349" s="81"/>
    </row>
    <row r="350" spans="1:8" x14ac:dyDescent="0.35">
      <c r="A350" s="76" t="s">
        <v>351</v>
      </c>
      <c r="B350" s="58">
        <f ca="1">IF(B178=0,0,(B178/B9)^2)</f>
        <v>0</v>
      </c>
      <c r="H350" s="81"/>
    </row>
    <row r="351" spans="1:8" x14ac:dyDescent="0.35">
      <c r="A351" s="76" t="s">
        <v>352</v>
      </c>
      <c r="B351" s="58">
        <f ca="1">IF(B179=0,0,(B179/B9)^2)</f>
        <v>0</v>
      </c>
      <c r="H351" s="81"/>
    </row>
    <row r="352" spans="1:8" x14ac:dyDescent="0.35">
      <c r="A352" s="76" t="s">
        <v>353</v>
      </c>
      <c r="B352" s="58">
        <f ca="1">IF(B180=0,0,(B180/B9)^2)</f>
        <v>1.3706127305175493E-2</v>
      </c>
      <c r="H352" s="81"/>
    </row>
    <row r="353" spans="1:8" ht="15" thickBot="1" x14ac:dyDescent="0.4">
      <c r="A353" s="78" t="s">
        <v>354</v>
      </c>
      <c r="B353" s="65"/>
      <c r="C353" s="65"/>
      <c r="D353" s="65"/>
      <c r="E353" s="65"/>
      <c r="F353" s="65"/>
      <c r="G353" s="65"/>
      <c r="H353" s="82"/>
    </row>
    <row r="354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4_raw</vt:lpstr>
      <vt:lpstr>4_imgsummary</vt:lpstr>
      <vt:lpstr>4_%cover</vt:lpstr>
      <vt:lpstr>4</vt:lpstr>
      <vt:lpstr>4_archive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EMED</dc:creator>
  <cp:lastModifiedBy>EMED</cp:lastModifiedBy>
  <dcterms:created xsi:type="dcterms:W3CDTF">2022-11-01T06:12:32Z</dcterms:created>
  <dcterms:modified xsi:type="dcterms:W3CDTF">2022-11-01T06:15:13Z</dcterms:modified>
</cp:coreProperties>
</file>